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showInkAnnotation="0" codeName="ThisWorkbook" autoCompressPictures="0"/>
  <mc:AlternateContent xmlns:mc="http://schemas.openxmlformats.org/markup-compatibility/2006">
    <mc:Choice Requires="x15">
      <x15ac:absPath xmlns:x15ac="http://schemas.microsoft.com/office/spreadsheetml/2010/11/ac" url="/Users/michaelmorton/Dropbox (CTSFP)/CTSFP Team Folder/Website - School Finance/ECS Updates - FYs 2022 and 2023/"/>
    </mc:Choice>
  </mc:AlternateContent>
  <xr:revisionPtr revIDLastSave="0" documentId="8_{1D4797C5-CFF1-AA42-9B66-9E867C7D9A87}" xr6:coauthVersionLast="47" xr6:coauthVersionMax="47" xr10:uidLastSave="{00000000-0000-0000-0000-000000000000}"/>
  <workbookProtection workbookAlgorithmName="SHA-512" workbookHashValue="3cBGDbaKVmN1zQ+AZlmHAAZy+K01DReAETG0miIxAe2957GpscC7NZ+JtWighxCBCHxZnLyS8UucXKgkEvYG3Q==" workbookSaltValue="bFvnZO9/9WleJB1kGcDKyw==" workbookSpinCount="100000" lockStructure="1"/>
  <bookViews>
    <workbookView xWindow="0" yWindow="1200" windowWidth="24980" windowHeight="14780" tabRatio="812" xr2:uid="{00000000-000D-0000-FFFF-FFFF00000000}"/>
  </bookViews>
  <sheets>
    <sheet name="Overview" sheetId="5" r:id="rId1"/>
    <sheet name="Inputs" sheetId="1" r:id="rId2"/>
    <sheet name="Outputs" sheetId="6" r:id="rId3"/>
    <sheet name="Data" sheetId="2" state="hidden" r:id="rId4"/>
    <sheet name="FY 21 OFA Shell" sheetId="7" state="hidden" r:id="rId5"/>
    <sheet name="Data Match" sheetId="3" state="hidden" r:id="rId6"/>
    <sheet name="FY 22 OFA Shell" sheetId="9" state="hidden" r:id="rId7"/>
    <sheet name="FY 23 OFA Shell" sheetId="8" state="hidden" r:id="rId8"/>
    <sheet name="Duplicate" sheetId="4" state="hidden" r:id="rId9"/>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L183" i="2" l="1"/>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C183" i="2" l="1"/>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T176" i="2"/>
  <c r="E181" i="6" s="1"/>
  <c r="R183" i="2"/>
  <c r="C188" i="6" s="1"/>
  <c r="R182" i="2"/>
  <c r="C187" i="6" s="1"/>
  <c r="R181" i="2"/>
  <c r="C186" i="6" s="1"/>
  <c r="R180" i="2"/>
  <c r="C185" i="6" s="1"/>
  <c r="R179" i="2"/>
  <c r="C184" i="6" s="1"/>
  <c r="R178" i="2"/>
  <c r="C183" i="6" s="1"/>
  <c r="R177" i="2"/>
  <c r="C182" i="6" s="1"/>
  <c r="R176" i="2"/>
  <c r="C181" i="6" s="1"/>
  <c r="R175" i="2"/>
  <c r="C180" i="6" s="1"/>
  <c r="R174" i="2"/>
  <c r="C179" i="6" s="1"/>
  <c r="R173" i="2"/>
  <c r="C178" i="6" s="1"/>
  <c r="R172" i="2"/>
  <c r="C177" i="6" s="1"/>
  <c r="R171" i="2"/>
  <c r="C176" i="6" s="1"/>
  <c r="R170" i="2"/>
  <c r="C175" i="6" s="1"/>
  <c r="R169" i="2"/>
  <c r="C174" i="6" s="1"/>
  <c r="R168" i="2"/>
  <c r="C173" i="6" s="1"/>
  <c r="R167" i="2"/>
  <c r="C172" i="6" s="1"/>
  <c r="R166" i="2"/>
  <c r="C171" i="6" s="1"/>
  <c r="R165" i="2"/>
  <c r="C170" i="6" s="1"/>
  <c r="R164" i="2"/>
  <c r="C169" i="6" s="1"/>
  <c r="R163" i="2"/>
  <c r="C168" i="6" s="1"/>
  <c r="R162" i="2"/>
  <c r="C167" i="6" s="1"/>
  <c r="R161" i="2"/>
  <c r="C166" i="6" s="1"/>
  <c r="R160" i="2"/>
  <c r="C165" i="6" s="1"/>
  <c r="R159" i="2"/>
  <c r="C164" i="6" s="1"/>
  <c r="R158" i="2"/>
  <c r="C163" i="6" s="1"/>
  <c r="R157" i="2"/>
  <c r="C162" i="6" s="1"/>
  <c r="R156" i="2"/>
  <c r="C161" i="6" s="1"/>
  <c r="R155" i="2"/>
  <c r="C160" i="6" s="1"/>
  <c r="R154" i="2"/>
  <c r="C159" i="6" s="1"/>
  <c r="R153" i="2"/>
  <c r="C158" i="6" s="1"/>
  <c r="R152" i="2"/>
  <c r="C157" i="6" s="1"/>
  <c r="R151" i="2"/>
  <c r="C156" i="6" s="1"/>
  <c r="R150" i="2"/>
  <c r="C155" i="6" s="1"/>
  <c r="R149" i="2"/>
  <c r="C154" i="6" s="1"/>
  <c r="R148" i="2"/>
  <c r="C153" i="6" s="1"/>
  <c r="R147" i="2"/>
  <c r="C152" i="6" s="1"/>
  <c r="R146" i="2"/>
  <c r="C151" i="6" s="1"/>
  <c r="R145" i="2"/>
  <c r="C150" i="6" s="1"/>
  <c r="R144" i="2"/>
  <c r="C149" i="6" s="1"/>
  <c r="R143" i="2"/>
  <c r="C148" i="6" s="1"/>
  <c r="R142" i="2"/>
  <c r="C147" i="6" s="1"/>
  <c r="R141" i="2"/>
  <c r="C146" i="6" s="1"/>
  <c r="R140" i="2"/>
  <c r="C145" i="6" s="1"/>
  <c r="R139" i="2"/>
  <c r="C144" i="6" s="1"/>
  <c r="R138" i="2"/>
  <c r="C143" i="6" s="1"/>
  <c r="R137" i="2"/>
  <c r="C142" i="6" s="1"/>
  <c r="R136" i="2"/>
  <c r="C141" i="6" s="1"/>
  <c r="R135" i="2"/>
  <c r="C140" i="6" s="1"/>
  <c r="R134" i="2"/>
  <c r="C139" i="6" s="1"/>
  <c r="R133" i="2"/>
  <c r="C138" i="6" s="1"/>
  <c r="R132" i="2"/>
  <c r="C137" i="6" s="1"/>
  <c r="R131" i="2"/>
  <c r="C136" i="6" s="1"/>
  <c r="R130" i="2"/>
  <c r="C135" i="6" s="1"/>
  <c r="R129" i="2"/>
  <c r="C134" i="6" s="1"/>
  <c r="R128" i="2"/>
  <c r="C133" i="6" s="1"/>
  <c r="R127" i="2"/>
  <c r="C132" i="6" s="1"/>
  <c r="R126" i="2"/>
  <c r="C131" i="6" s="1"/>
  <c r="R125" i="2"/>
  <c r="C130" i="6" s="1"/>
  <c r="R124" i="2"/>
  <c r="C129" i="6" s="1"/>
  <c r="R123" i="2"/>
  <c r="C128" i="6" s="1"/>
  <c r="R122" i="2"/>
  <c r="C127" i="6" s="1"/>
  <c r="R121" i="2"/>
  <c r="C126" i="6" s="1"/>
  <c r="R120" i="2"/>
  <c r="C125" i="6" s="1"/>
  <c r="R119" i="2"/>
  <c r="C124" i="6" s="1"/>
  <c r="R118" i="2"/>
  <c r="C123" i="6" s="1"/>
  <c r="R117" i="2"/>
  <c r="C122" i="6" s="1"/>
  <c r="R116" i="2"/>
  <c r="C121" i="6" s="1"/>
  <c r="R115" i="2"/>
  <c r="C120" i="6" s="1"/>
  <c r="R114" i="2"/>
  <c r="C119" i="6" s="1"/>
  <c r="R113" i="2"/>
  <c r="C118" i="6" s="1"/>
  <c r="R112" i="2"/>
  <c r="C117" i="6" s="1"/>
  <c r="R111" i="2"/>
  <c r="C116" i="6" s="1"/>
  <c r="R110" i="2"/>
  <c r="C115" i="6" s="1"/>
  <c r="R109" i="2"/>
  <c r="C114" i="6" s="1"/>
  <c r="R108" i="2"/>
  <c r="C113" i="6" s="1"/>
  <c r="R107" i="2"/>
  <c r="C112" i="6" s="1"/>
  <c r="R106" i="2"/>
  <c r="C111" i="6" s="1"/>
  <c r="R105" i="2"/>
  <c r="C110" i="6" s="1"/>
  <c r="R104" i="2"/>
  <c r="C109" i="6" s="1"/>
  <c r="R103" i="2"/>
  <c r="C108" i="6" s="1"/>
  <c r="R102" i="2"/>
  <c r="C107" i="6" s="1"/>
  <c r="R101" i="2"/>
  <c r="C106" i="6" s="1"/>
  <c r="R100" i="2"/>
  <c r="C105" i="6" s="1"/>
  <c r="R99" i="2"/>
  <c r="C104" i="6" s="1"/>
  <c r="R98" i="2"/>
  <c r="C103" i="6" s="1"/>
  <c r="R97" i="2"/>
  <c r="C102" i="6" s="1"/>
  <c r="R96" i="2"/>
  <c r="C101" i="6" s="1"/>
  <c r="R95" i="2"/>
  <c r="C100" i="6" s="1"/>
  <c r="R94" i="2"/>
  <c r="C99" i="6" s="1"/>
  <c r="R93" i="2"/>
  <c r="C98" i="6" s="1"/>
  <c r="R92" i="2"/>
  <c r="C97" i="6" s="1"/>
  <c r="R91" i="2"/>
  <c r="C96" i="6" s="1"/>
  <c r="R90" i="2"/>
  <c r="C95" i="6" s="1"/>
  <c r="R89" i="2"/>
  <c r="C94" i="6" s="1"/>
  <c r="R88" i="2"/>
  <c r="C93" i="6" s="1"/>
  <c r="R87" i="2"/>
  <c r="C92" i="6" s="1"/>
  <c r="R86" i="2"/>
  <c r="C91" i="6" s="1"/>
  <c r="R85" i="2"/>
  <c r="C90" i="6" s="1"/>
  <c r="R84" i="2"/>
  <c r="C89" i="6" s="1"/>
  <c r="R83" i="2"/>
  <c r="C88" i="6" s="1"/>
  <c r="R82" i="2"/>
  <c r="C87" i="6" s="1"/>
  <c r="R81" i="2"/>
  <c r="C86" i="6" s="1"/>
  <c r="R80" i="2"/>
  <c r="C85" i="6" s="1"/>
  <c r="R79" i="2"/>
  <c r="C84" i="6" s="1"/>
  <c r="R78" i="2"/>
  <c r="C83" i="6" s="1"/>
  <c r="R77" i="2"/>
  <c r="C82" i="6" s="1"/>
  <c r="R76" i="2"/>
  <c r="C81" i="6" s="1"/>
  <c r="R75" i="2"/>
  <c r="C80" i="6" s="1"/>
  <c r="R74" i="2"/>
  <c r="C79" i="6" s="1"/>
  <c r="R73" i="2"/>
  <c r="C78" i="6" s="1"/>
  <c r="R72" i="2"/>
  <c r="C77" i="6" s="1"/>
  <c r="R71" i="2"/>
  <c r="C76" i="6" s="1"/>
  <c r="R70" i="2"/>
  <c r="C75" i="6" s="1"/>
  <c r="R69" i="2"/>
  <c r="C74" i="6" s="1"/>
  <c r="R68" i="2"/>
  <c r="C73" i="6" s="1"/>
  <c r="R67" i="2"/>
  <c r="C72" i="6" s="1"/>
  <c r="R66" i="2"/>
  <c r="C71" i="6" s="1"/>
  <c r="R65" i="2"/>
  <c r="C70" i="6" s="1"/>
  <c r="R64" i="2"/>
  <c r="C69" i="6" s="1"/>
  <c r="R63" i="2"/>
  <c r="C68" i="6" s="1"/>
  <c r="R62" i="2"/>
  <c r="C67" i="6" s="1"/>
  <c r="R61" i="2"/>
  <c r="C66" i="6" s="1"/>
  <c r="R60" i="2"/>
  <c r="C65" i="6" s="1"/>
  <c r="R59" i="2"/>
  <c r="C64" i="6" s="1"/>
  <c r="R58" i="2"/>
  <c r="C63" i="6" s="1"/>
  <c r="R57" i="2"/>
  <c r="C62" i="6" s="1"/>
  <c r="R56" i="2"/>
  <c r="C61" i="6" s="1"/>
  <c r="R55" i="2"/>
  <c r="C60" i="6" s="1"/>
  <c r="R54" i="2"/>
  <c r="C59" i="6" s="1"/>
  <c r="R53" i="2"/>
  <c r="C58" i="6" s="1"/>
  <c r="R52" i="2"/>
  <c r="C57" i="6" s="1"/>
  <c r="R51" i="2"/>
  <c r="C56" i="6" s="1"/>
  <c r="R50" i="2"/>
  <c r="C55" i="6" s="1"/>
  <c r="R49" i="2"/>
  <c r="C54" i="6" s="1"/>
  <c r="R48" i="2"/>
  <c r="C53" i="6" s="1"/>
  <c r="R47" i="2"/>
  <c r="C52" i="6" s="1"/>
  <c r="R46" i="2"/>
  <c r="C51" i="6" s="1"/>
  <c r="R45" i="2"/>
  <c r="C50" i="6" s="1"/>
  <c r="R44" i="2"/>
  <c r="C49" i="6" s="1"/>
  <c r="R43" i="2"/>
  <c r="C48" i="6" s="1"/>
  <c r="R42" i="2"/>
  <c r="C47" i="6" s="1"/>
  <c r="R41" i="2"/>
  <c r="C46" i="6" s="1"/>
  <c r="R40" i="2"/>
  <c r="C45" i="6" s="1"/>
  <c r="R39" i="2"/>
  <c r="C44" i="6" s="1"/>
  <c r="R38" i="2"/>
  <c r="C43" i="6" s="1"/>
  <c r="R37" i="2"/>
  <c r="C42" i="6" s="1"/>
  <c r="R36" i="2"/>
  <c r="C41" i="6" s="1"/>
  <c r="R35" i="2"/>
  <c r="C40" i="6" s="1"/>
  <c r="R34" i="2"/>
  <c r="C39" i="6" s="1"/>
  <c r="R33" i="2"/>
  <c r="C38" i="6" s="1"/>
  <c r="R32" i="2"/>
  <c r="C37" i="6" s="1"/>
  <c r="R31" i="2"/>
  <c r="C36" i="6" s="1"/>
  <c r="R30" i="2"/>
  <c r="C35" i="6" s="1"/>
  <c r="R29" i="2"/>
  <c r="C34" i="6" s="1"/>
  <c r="R28" i="2"/>
  <c r="C33" i="6" s="1"/>
  <c r="R27" i="2"/>
  <c r="C32" i="6" s="1"/>
  <c r="R26" i="2"/>
  <c r="C31" i="6" s="1"/>
  <c r="R25" i="2"/>
  <c r="C30" i="6" s="1"/>
  <c r="R24" i="2"/>
  <c r="C29" i="6" s="1"/>
  <c r="R23" i="2"/>
  <c r="C28" i="6" s="1"/>
  <c r="R22" i="2"/>
  <c r="C27" i="6" s="1"/>
  <c r="R21" i="2"/>
  <c r="C26" i="6" s="1"/>
  <c r="R20" i="2"/>
  <c r="C25" i="6" s="1"/>
  <c r="R19" i="2"/>
  <c r="C24" i="6" s="1"/>
  <c r="R18" i="2"/>
  <c r="C23" i="6" s="1"/>
  <c r="R17" i="2"/>
  <c r="C22" i="6" s="1"/>
  <c r="R16" i="2"/>
  <c r="C21" i="6" s="1"/>
  <c r="R15" i="2"/>
  <c r="C20" i="6" s="1"/>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L61" i="1"/>
  <c r="K61" i="1"/>
  <c r="J61" i="1"/>
  <c r="I61" i="1"/>
  <c r="H61" i="1"/>
  <c r="G61" i="1"/>
  <c r="F61" i="1"/>
  <c r="L54" i="1"/>
  <c r="K54" i="1"/>
  <c r="J54" i="1"/>
  <c r="I54" i="1"/>
  <c r="H54" i="1"/>
  <c r="G54" i="1"/>
  <c r="F54" i="1"/>
  <c r="D60" i="1"/>
  <c r="J53" i="1"/>
  <c r="L53" i="1" s="1"/>
  <c r="I53" i="1"/>
  <c r="H53" i="1"/>
  <c r="G53" i="1"/>
  <c r="F53" i="1"/>
  <c r="E53" i="1"/>
  <c r="D53" i="1"/>
  <c r="AK195" i="9"/>
  <c r="AH195" i="9"/>
  <c r="AI195" i="9" s="1"/>
  <c r="AD195" i="9"/>
  <c r="X195" i="9"/>
  <c r="T195" i="9"/>
  <c r="O195" i="9"/>
  <c r="P195" i="9" s="1"/>
  <c r="Q195" i="9" s="1"/>
  <c r="AK194" i="9"/>
  <c r="AH194" i="9"/>
  <c r="AI194" i="9" s="1"/>
  <c r="AD194" i="9"/>
  <c r="X194" i="9"/>
  <c r="T194" i="9"/>
  <c r="O194" i="9"/>
  <c r="P194" i="9" s="1"/>
  <c r="Q194" i="9" s="1"/>
  <c r="R194" i="9" s="1"/>
  <c r="S181" i="2"/>
  <c r="AH193" i="9"/>
  <c r="AI193" i="9" s="1"/>
  <c r="AD193" i="9"/>
  <c r="X193" i="9"/>
  <c r="T193" i="9"/>
  <c r="O193" i="9"/>
  <c r="P193" i="9" s="1"/>
  <c r="Q193" i="9" s="1"/>
  <c r="R193" i="9" s="1"/>
  <c r="AK192" i="9"/>
  <c r="S180" i="2"/>
  <c r="AH192" i="9"/>
  <c r="AI192" i="9" s="1"/>
  <c r="AD192" i="9"/>
  <c r="X192" i="9"/>
  <c r="T192" i="9"/>
  <c r="O192" i="9"/>
  <c r="P192" i="9" s="1"/>
  <c r="Q192" i="9" s="1"/>
  <c r="R192" i="9" s="1"/>
  <c r="AK191" i="9"/>
  <c r="T179" i="2" s="1"/>
  <c r="E184" i="6" s="1"/>
  <c r="AH191" i="9"/>
  <c r="AI191" i="9" s="1"/>
  <c r="AD191" i="9"/>
  <c r="X191" i="9"/>
  <c r="T191" i="9"/>
  <c r="O191" i="9"/>
  <c r="P191" i="9" s="1"/>
  <c r="Q191" i="9" s="1"/>
  <c r="R191" i="9" s="1"/>
  <c r="S178" i="2"/>
  <c r="AH190" i="9"/>
  <c r="AI190" i="9" s="1"/>
  <c r="AD190" i="9"/>
  <c r="X190" i="9"/>
  <c r="T190" i="9"/>
  <c r="Q190" i="9"/>
  <c r="R190" i="9" s="1"/>
  <c r="O190" i="9"/>
  <c r="P190" i="9" s="1"/>
  <c r="AK189" i="9"/>
  <c r="S177" i="2"/>
  <c r="AH189" i="9"/>
  <c r="AI189" i="9" s="1"/>
  <c r="AD189" i="9"/>
  <c r="X189" i="9"/>
  <c r="T189" i="9"/>
  <c r="R189" i="9"/>
  <c r="O189" i="9"/>
  <c r="P189" i="9" s="1"/>
  <c r="Q189" i="9" s="1"/>
  <c r="AL188" i="9"/>
  <c r="S176" i="2"/>
  <c r="AH188" i="9"/>
  <c r="AI188" i="9" s="1"/>
  <c r="AD188" i="9"/>
  <c r="X188" i="9"/>
  <c r="T188" i="9"/>
  <c r="O188" i="9"/>
  <c r="P188" i="9" s="1"/>
  <c r="Q188" i="9" s="1"/>
  <c r="R188" i="9" s="1"/>
  <c r="AK187" i="9"/>
  <c r="T175" i="2" s="1"/>
  <c r="E180" i="6" s="1"/>
  <c r="S175" i="2"/>
  <c r="AH187" i="9"/>
  <c r="AI187" i="9" s="1"/>
  <c r="AD187" i="9"/>
  <c r="X187" i="9"/>
  <c r="T187" i="9"/>
  <c r="O187" i="9"/>
  <c r="P187" i="9" s="1"/>
  <c r="Q187" i="9" s="1"/>
  <c r="AK186" i="9"/>
  <c r="AH186" i="9"/>
  <c r="AI186" i="9" s="1"/>
  <c r="AD186" i="9"/>
  <c r="X186" i="9"/>
  <c r="T186" i="9"/>
  <c r="O186" i="9"/>
  <c r="P186" i="9" s="1"/>
  <c r="Q186" i="9" s="1"/>
  <c r="AK185" i="9"/>
  <c r="AH185" i="9"/>
  <c r="AI185" i="9" s="1"/>
  <c r="AD185" i="9"/>
  <c r="X185" i="9"/>
  <c r="T185" i="9"/>
  <c r="O185" i="9"/>
  <c r="P185" i="9" s="1"/>
  <c r="Q185" i="9" s="1"/>
  <c r="R185" i="9" s="1"/>
  <c r="S172" i="2"/>
  <c r="AH184" i="9"/>
  <c r="AI184" i="9" s="1"/>
  <c r="AD184" i="9"/>
  <c r="X184" i="9"/>
  <c r="T184" i="9"/>
  <c r="O184" i="9"/>
  <c r="P184" i="9" s="1"/>
  <c r="Q184" i="9" s="1"/>
  <c r="AH183" i="9"/>
  <c r="AI183" i="9" s="1"/>
  <c r="AD183" i="9"/>
  <c r="X183" i="9"/>
  <c r="T183" i="9"/>
  <c r="O183" i="9"/>
  <c r="P183" i="9" s="1"/>
  <c r="Q183" i="9" s="1"/>
  <c r="AK182" i="9"/>
  <c r="T170" i="2" s="1"/>
  <c r="E175" i="6" s="1"/>
  <c r="AH182" i="9"/>
  <c r="AI182" i="9" s="1"/>
  <c r="AD182" i="9"/>
  <c r="X182" i="9"/>
  <c r="T182" i="9"/>
  <c r="O182" i="9"/>
  <c r="P182" i="9" s="1"/>
  <c r="Q182" i="9" s="1"/>
  <c r="AK181" i="9"/>
  <c r="S169" i="2"/>
  <c r="AH181" i="9"/>
  <c r="AI181" i="9" s="1"/>
  <c r="AD181" i="9"/>
  <c r="X181" i="9"/>
  <c r="T181" i="9"/>
  <c r="O181" i="9"/>
  <c r="P181" i="9" s="1"/>
  <c r="Q181" i="9" s="1"/>
  <c r="R181" i="9" s="1"/>
  <c r="S168" i="2"/>
  <c r="AH180" i="9"/>
  <c r="AI180" i="9" s="1"/>
  <c r="AD180" i="9"/>
  <c r="X180" i="9"/>
  <c r="T180" i="9"/>
  <c r="O180" i="9"/>
  <c r="P180" i="9" s="1"/>
  <c r="Q180" i="9" s="1"/>
  <c r="S167" i="2"/>
  <c r="AH179" i="9"/>
  <c r="AI179" i="9" s="1"/>
  <c r="AD179" i="9"/>
  <c r="X179" i="9"/>
  <c r="T179" i="9"/>
  <c r="O179" i="9"/>
  <c r="P179" i="9" s="1"/>
  <c r="Q179" i="9" s="1"/>
  <c r="S166" i="2"/>
  <c r="AH178" i="9"/>
  <c r="AI178" i="9" s="1"/>
  <c r="AD178" i="9"/>
  <c r="X178" i="9"/>
  <c r="T178" i="9"/>
  <c r="O178" i="9"/>
  <c r="P178" i="9" s="1"/>
  <c r="Q178" i="9" s="1"/>
  <c r="R178" i="9" s="1"/>
  <c r="AK177" i="9"/>
  <c r="S165" i="2"/>
  <c r="AH177" i="9"/>
  <c r="AI177" i="9" s="1"/>
  <c r="AD177" i="9"/>
  <c r="X177" i="9"/>
  <c r="T177" i="9"/>
  <c r="O177" i="9"/>
  <c r="P177" i="9" s="1"/>
  <c r="Q177" i="9" s="1"/>
  <c r="AK176" i="9"/>
  <c r="S164" i="2"/>
  <c r="AH176" i="9"/>
  <c r="AI176" i="9" s="1"/>
  <c r="AD176" i="9"/>
  <c r="X176" i="9"/>
  <c r="T176" i="9"/>
  <c r="O176" i="9"/>
  <c r="P176" i="9" s="1"/>
  <c r="Q176" i="9" s="1"/>
  <c r="S163" i="2"/>
  <c r="AH175" i="9"/>
  <c r="AI175" i="9" s="1"/>
  <c r="AD175" i="9"/>
  <c r="X175" i="9"/>
  <c r="T175" i="9"/>
  <c r="O175" i="9"/>
  <c r="P175" i="9" s="1"/>
  <c r="Q175" i="9" s="1"/>
  <c r="R175" i="9" s="1"/>
  <c r="AK174" i="9"/>
  <c r="T162" i="2" s="1"/>
  <c r="E167" i="6" s="1"/>
  <c r="S162" i="2"/>
  <c r="AH174" i="9"/>
  <c r="AI174" i="9" s="1"/>
  <c r="AD174" i="9"/>
  <c r="X174" i="9"/>
  <c r="T174" i="9"/>
  <c r="O174" i="9"/>
  <c r="P174" i="9" s="1"/>
  <c r="Q174" i="9" s="1"/>
  <c r="R174" i="9" s="1"/>
  <c r="AK173" i="9"/>
  <c r="AI173" i="9"/>
  <c r="AH173" i="9"/>
  <c r="AD173" i="9"/>
  <c r="X173" i="9"/>
  <c r="T173" i="9"/>
  <c r="O173" i="9"/>
  <c r="P173" i="9" s="1"/>
  <c r="Q173" i="9" s="1"/>
  <c r="AK172" i="9"/>
  <c r="AH172" i="9"/>
  <c r="AI172" i="9" s="1"/>
  <c r="AD172" i="9"/>
  <c r="X172" i="9"/>
  <c r="T172" i="9"/>
  <c r="O172" i="9"/>
  <c r="P172" i="9" s="1"/>
  <c r="Q172" i="9" s="1"/>
  <c r="R172" i="9" s="1"/>
  <c r="S159" i="2"/>
  <c r="AH171" i="9"/>
  <c r="AI171" i="9" s="1"/>
  <c r="AD171" i="9"/>
  <c r="X171" i="9"/>
  <c r="T171" i="9"/>
  <c r="O171" i="9"/>
  <c r="P171" i="9" s="1"/>
  <c r="Q171" i="9" s="1"/>
  <c r="R171" i="9" s="1"/>
  <c r="S158" i="2"/>
  <c r="AH170" i="9"/>
  <c r="AI170" i="9" s="1"/>
  <c r="AD170" i="9"/>
  <c r="X170" i="9"/>
  <c r="T170" i="9"/>
  <c r="O170" i="9"/>
  <c r="P170" i="9" s="1"/>
  <c r="Q170" i="9" s="1"/>
  <c r="R170" i="9" s="1"/>
  <c r="AK169" i="9"/>
  <c r="T157" i="2" s="1"/>
  <c r="E162" i="6" s="1"/>
  <c r="AH169" i="9"/>
  <c r="AI169" i="9" s="1"/>
  <c r="AD169" i="9"/>
  <c r="X169" i="9"/>
  <c r="T169" i="9"/>
  <c r="P169" i="9"/>
  <c r="Q169" i="9" s="1"/>
  <c r="R169" i="9" s="1"/>
  <c r="O169" i="9"/>
  <c r="S156" i="2"/>
  <c r="AH168" i="9"/>
  <c r="AI168" i="9" s="1"/>
  <c r="AD168" i="9"/>
  <c r="X168" i="9"/>
  <c r="T168" i="9"/>
  <c r="O168" i="9"/>
  <c r="P168" i="9" s="1"/>
  <c r="Q168" i="9" s="1"/>
  <c r="R168" i="9" s="1"/>
  <c r="AK167" i="9"/>
  <c r="S155" i="2"/>
  <c r="AH167" i="9"/>
  <c r="AI167" i="9" s="1"/>
  <c r="AD167" i="9"/>
  <c r="X167" i="9"/>
  <c r="T167" i="9"/>
  <c r="O167" i="9"/>
  <c r="P167" i="9" s="1"/>
  <c r="Q167" i="9" s="1"/>
  <c r="R167" i="9" s="1"/>
  <c r="AK166" i="9"/>
  <c r="AH166" i="9"/>
  <c r="AI166" i="9" s="1"/>
  <c r="AD166" i="9"/>
  <c r="X166" i="9"/>
  <c r="T166" i="9"/>
  <c r="O166" i="9"/>
  <c r="P166" i="9" s="1"/>
  <c r="Q166" i="9" s="1"/>
  <c r="AK165" i="9"/>
  <c r="AH165" i="9"/>
  <c r="AI165" i="9" s="1"/>
  <c r="AD165" i="9"/>
  <c r="X165" i="9"/>
  <c r="T165" i="9"/>
  <c r="O165" i="9"/>
  <c r="P165" i="9" s="1"/>
  <c r="Q165" i="9" s="1"/>
  <c r="AK164" i="9"/>
  <c r="AH164" i="9"/>
  <c r="AI164" i="9" s="1"/>
  <c r="AD164" i="9"/>
  <c r="X164" i="9"/>
  <c r="T164" i="9"/>
  <c r="O164" i="9"/>
  <c r="P164" i="9" s="1"/>
  <c r="Q164" i="9" s="1"/>
  <c r="R164" i="9" s="1"/>
  <c r="S151" i="2"/>
  <c r="AH163" i="9"/>
  <c r="AI163" i="9" s="1"/>
  <c r="AD163" i="9"/>
  <c r="X163" i="9"/>
  <c r="T163" i="9"/>
  <c r="O163" i="9"/>
  <c r="P163" i="9" s="1"/>
  <c r="Q163" i="9" s="1"/>
  <c r="R163" i="9" s="1"/>
  <c r="AK162" i="9"/>
  <c r="S150" i="2"/>
  <c r="AH162" i="9"/>
  <c r="AI162" i="9" s="1"/>
  <c r="AD162" i="9"/>
  <c r="X162" i="9"/>
  <c r="T162" i="9"/>
  <c r="O162" i="9"/>
  <c r="P162" i="9" s="1"/>
  <c r="Q162" i="9" s="1"/>
  <c r="R162" i="9" s="1"/>
  <c r="AK161" i="9"/>
  <c r="T149" i="2" s="1"/>
  <c r="E154" i="6" s="1"/>
  <c r="AH161" i="9"/>
  <c r="AI161" i="9" s="1"/>
  <c r="AD161" i="9"/>
  <c r="X161" i="9"/>
  <c r="T161" i="9"/>
  <c r="O161" i="9"/>
  <c r="P161" i="9" s="1"/>
  <c r="Q161" i="9" s="1"/>
  <c r="R161" i="9" s="1"/>
  <c r="S148" i="2"/>
  <c r="AH160" i="9"/>
  <c r="AI160" i="9" s="1"/>
  <c r="AD160" i="9"/>
  <c r="X160" i="9"/>
  <c r="T160" i="9"/>
  <c r="O160" i="9"/>
  <c r="P160" i="9" s="1"/>
  <c r="Q160" i="9" s="1"/>
  <c r="R160" i="9" s="1"/>
  <c r="AK159" i="9"/>
  <c r="S147" i="2"/>
  <c r="AH159" i="9"/>
  <c r="AI159" i="9" s="1"/>
  <c r="AD159" i="9"/>
  <c r="X159" i="9"/>
  <c r="T159" i="9"/>
  <c r="O159" i="9"/>
  <c r="P159" i="9" s="1"/>
  <c r="Q159" i="9" s="1"/>
  <c r="R159" i="9" s="1"/>
  <c r="AK158" i="9"/>
  <c r="AH158" i="9"/>
  <c r="AI158" i="9" s="1"/>
  <c r="AD158" i="9"/>
  <c r="X158" i="9"/>
  <c r="T158" i="9"/>
  <c r="O158" i="9"/>
  <c r="P158" i="9" s="1"/>
  <c r="Q158" i="9" s="1"/>
  <c r="AK157" i="9"/>
  <c r="AH157" i="9"/>
  <c r="AI157" i="9" s="1"/>
  <c r="AD157" i="9"/>
  <c r="X157" i="9"/>
  <c r="T157" i="9"/>
  <c r="P157" i="9"/>
  <c r="Q157" i="9" s="1"/>
  <c r="R157" i="9" s="1"/>
  <c r="O157" i="9"/>
  <c r="S144" i="2"/>
  <c r="AH156" i="9"/>
  <c r="AI156" i="9" s="1"/>
  <c r="AD156" i="9"/>
  <c r="X156" i="9"/>
  <c r="T156" i="9"/>
  <c r="O156" i="9"/>
  <c r="P156" i="9" s="1"/>
  <c r="Q156" i="9" s="1"/>
  <c r="R156" i="9" s="1"/>
  <c r="AK155" i="9"/>
  <c r="T143" i="2" s="1"/>
  <c r="E148" i="6" s="1"/>
  <c r="S143" i="2"/>
  <c r="AH155" i="9"/>
  <c r="AI155" i="9" s="1"/>
  <c r="AD155" i="9"/>
  <c r="X155" i="9"/>
  <c r="T155" i="9"/>
  <c r="O155" i="9"/>
  <c r="P155" i="9" s="1"/>
  <c r="Q155" i="9" s="1"/>
  <c r="R155" i="9" s="1"/>
  <c r="S142" i="2"/>
  <c r="AH154" i="9"/>
  <c r="AI154" i="9" s="1"/>
  <c r="AD154" i="9"/>
  <c r="X154" i="9"/>
  <c r="T154" i="9"/>
  <c r="O154" i="9"/>
  <c r="P154" i="9" s="1"/>
  <c r="Q154" i="9" s="1"/>
  <c r="R154" i="9" s="1"/>
  <c r="S141" i="2"/>
  <c r="AH153" i="9"/>
  <c r="AI153" i="9" s="1"/>
  <c r="AD153" i="9"/>
  <c r="X153" i="9"/>
  <c r="T153" i="9"/>
  <c r="O153" i="9"/>
  <c r="P153" i="9" s="1"/>
  <c r="Q153" i="9" s="1"/>
  <c r="R153" i="9" s="1"/>
  <c r="AK152" i="9"/>
  <c r="S140" i="2"/>
  <c r="AH152" i="9"/>
  <c r="AI152" i="9" s="1"/>
  <c r="AD152" i="9"/>
  <c r="X152" i="9"/>
  <c r="T152" i="9"/>
  <c r="O152" i="9"/>
  <c r="P152" i="9" s="1"/>
  <c r="Q152" i="9" s="1"/>
  <c r="R152" i="9" s="1"/>
  <c r="S139" i="2"/>
  <c r="AH151" i="9"/>
  <c r="AI151" i="9" s="1"/>
  <c r="AD151" i="9"/>
  <c r="X151" i="9"/>
  <c r="T151" i="9"/>
  <c r="O151" i="9"/>
  <c r="P151" i="9" s="1"/>
  <c r="Q151" i="9" s="1"/>
  <c r="S138" i="2"/>
  <c r="AH150" i="9"/>
  <c r="AI150" i="9" s="1"/>
  <c r="AD150" i="9"/>
  <c r="X150" i="9"/>
  <c r="T150" i="9"/>
  <c r="O150" i="9"/>
  <c r="P150" i="9" s="1"/>
  <c r="Q150" i="9" s="1"/>
  <c r="R150" i="9" s="1"/>
  <c r="S137" i="2"/>
  <c r="AH149" i="9"/>
  <c r="AI149" i="9" s="1"/>
  <c r="AD149" i="9"/>
  <c r="X149" i="9"/>
  <c r="T149" i="9"/>
  <c r="U149" i="9" s="1"/>
  <c r="O149" i="9"/>
  <c r="P149" i="9" s="1"/>
  <c r="Q149" i="9" s="1"/>
  <c r="R149" i="9" s="1"/>
  <c r="AK148" i="9"/>
  <c r="T136" i="2" s="1"/>
  <c r="E141" i="6" s="1"/>
  <c r="S136" i="2"/>
  <c r="AH148" i="9"/>
  <c r="AI148" i="9" s="1"/>
  <c r="AD148" i="9"/>
  <c r="X148" i="9"/>
  <c r="T148" i="9"/>
  <c r="O148" i="9"/>
  <c r="P148" i="9" s="1"/>
  <c r="Q148" i="9" s="1"/>
  <c r="R148" i="9" s="1"/>
  <c r="AK147" i="9"/>
  <c r="T135" i="2" s="1"/>
  <c r="E140" i="6" s="1"/>
  <c r="AH147" i="9"/>
  <c r="AI147" i="9" s="1"/>
  <c r="AD147" i="9"/>
  <c r="X147" i="9"/>
  <c r="T147" i="9"/>
  <c r="O147" i="9"/>
  <c r="P147" i="9" s="1"/>
  <c r="Q147" i="9" s="1"/>
  <c r="U147" i="9" s="1"/>
  <c r="S134" i="2"/>
  <c r="AH146" i="9"/>
  <c r="AI146" i="9" s="1"/>
  <c r="AD146" i="9"/>
  <c r="X146" i="9"/>
  <c r="T146" i="9"/>
  <c r="O146" i="9"/>
  <c r="P146" i="9" s="1"/>
  <c r="Q146" i="9" s="1"/>
  <c r="R146" i="9" s="1"/>
  <c r="S133" i="2"/>
  <c r="AH145" i="9"/>
  <c r="AI145" i="9" s="1"/>
  <c r="AD145" i="9"/>
  <c r="X145" i="9"/>
  <c r="T145" i="9"/>
  <c r="O145" i="9"/>
  <c r="P145" i="9" s="1"/>
  <c r="Q145" i="9" s="1"/>
  <c r="S132" i="2"/>
  <c r="AH144" i="9"/>
  <c r="AI144" i="9" s="1"/>
  <c r="AD144" i="9"/>
  <c r="X144" i="9"/>
  <c r="T144" i="9"/>
  <c r="O144" i="9"/>
  <c r="P144" i="9" s="1"/>
  <c r="Q144" i="9" s="1"/>
  <c r="AK143" i="9"/>
  <c r="AH143" i="9"/>
  <c r="AI143" i="9" s="1"/>
  <c r="AD143" i="9"/>
  <c r="X143" i="9"/>
  <c r="T143" i="9"/>
  <c r="O143" i="9"/>
  <c r="P143" i="9" s="1"/>
  <c r="Q143" i="9" s="1"/>
  <c r="AK142" i="9"/>
  <c r="AI142" i="9"/>
  <c r="AH142" i="9"/>
  <c r="AD142" i="9"/>
  <c r="X142" i="9"/>
  <c r="T142" i="9"/>
  <c r="O142" i="9"/>
  <c r="P142" i="9" s="1"/>
  <c r="Q142" i="9" s="1"/>
  <c r="R142" i="9" s="1"/>
  <c r="S129" i="2"/>
  <c r="AH141" i="9"/>
  <c r="AI141" i="9" s="1"/>
  <c r="AD141" i="9"/>
  <c r="X141" i="9"/>
  <c r="T141" i="9"/>
  <c r="O141" i="9"/>
  <c r="P141" i="9" s="1"/>
  <c r="Q141" i="9" s="1"/>
  <c r="R141" i="9" s="1"/>
  <c r="S128" i="2"/>
  <c r="AH140" i="9"/>
  <c r="AI140" i="9" s="1"/>
  <c r="AD140" i="9"/>
  <c r="X140" i="9"/>
  <c r="T140" i="9"/>
  <c r="O140" i="9"/>
  <c r="P140" i="9" s="1"/>
  <c r="Q140" i="9" s="1"/>
  <c r="R140" i="9" s="1"/>
  <c r="S127" i="2"/>
  <c r="AH139" i="9"/>
  <c r="AI139" i="9" s="1"/>
  <c r="AD139" i="9"/>
  <c r="X139" i="9"/>
  <c r="T139" i="9"/>
  <c r="O139" i="9"/>
  <c r="P139" i="9" s="1"/>
  <c r="Q139" i="9" s="1"/>
  <c r="AK138" i="9"/>
  <c r="AH138" i="9"/>
  <c r="AI138" i="9" s="1"/>
  <c r="AD138" i="9"/>
  <c r="X138" i="9"/>
  <c r="T138" i="9"/>
  <c r="O138" i="9"/>
  <c r="P138" i="9" s="1"/>
  <c r="Q138" i="9" s="1"/>
  <c r="S125" i="2"/>
  <c r="AH137" i="9"/>
  <c r="AI137" i="9" s="1"/>
  <c r="AD137" i="9"/>
  <c r="X137" i="9"/>
  <c r="T137" i="9"/>
  <c r="O137" i="9"/>
  <c r="P137" i="9" s="1"/>
  <c r="Q137" i="9" s="1"/>
  <c r="R137" i="9" s="1"/>
  <c r="S124" i="2"/>
  <c r="AH136" i="9"/>
  <c r="AI136" i="9" s="1"/>
  <c r="AD136" i="9"/>
  <c r="X136" i="9"/>
  <c r="T136" i="9"/>
  <c r="O136" i="9"/>
  <c r="P136" i="9" s="1"/>
  <c r="Q136" i="9" s="1"/>
  <c r="R136" i="9" s="1"/>
  <c r="AK135" i="9"/>
  <c r="S123" i="2"/>
  <c r="AH135" i="9"/>
  <c r="AI135" i="9" s="1"/>
  <c r="AD135" i="9"/>
  <c r="X135" i="9"/>
  <c r="T135" i="9"/>
  <c r="O135" i="9"/>
  <c r="P135" i="9" s="1"/>
  <c r="Q135" i="9" s="1"/>
  <c r="R135" i="9" s="1"/>
  <c r="AK134" i="9"/>
  <c r="AH134" i="9"/>
  <c r="AI134" i="9" s="1"/>
  <c r="AD134" i="9"/>
  <c r="X134" i="9"/>
  <c r="T134" i="9"/>
  <c r="O134" i="9"/>
  <c r="P134" i="9" s="1"/>
  <c r="Q134" i="9" s="1"/>
  <c r="AK133" i="9"/>
  <c r="AH133" i="9"/>
  <c r="AI133" i="9" s="1"/>
  <c r="AD133" i="9"/>
  <c r="X133" i="9"/>
  <c r="T133" i="9"/>
  <c r="O133" i="9"/>
  <c r="P133" i="9" s="1"/>
  <c r="Q133" i="9" s="1"/>
  <c r="R133" i="9" s="1"/>
  <c r="S120" i="2"/>
  <c r="AH132" i="9"/>
  <c r="AI132" i="9" s="1"/>
  <c r="AD132" i="9"/>
  <c r="X132" i="9"/>
  <c r="T132" i="9"/>
  <c r="O132" i="9"/>
  <c r="P132" i="9" s="1"/>
  <c r="Q132" i="9" s="1"/>
  <c r="R132" i="9" s="1"/>
  <c r="S119" i="2"/>
  <c r="AH131" i="9"/>
  <c r="AI131" i="9" s="1"/>
  <c r="AD131" i="9"/>
  <c r="X131" i="9"/>
  <c r="T131" i="9"/>
  <c r="O131" i="9"/>
  <c r="P131" i="9" s="1"/>
  <c r="Q131" i="9" s="1"/>
  <c r="R131" i="9" s="1"/>
  <c r="AK130" i="9"/>
  <c r="AH130" i="9"/>
  <c r="AI130" i="9" s="1"/>
  <c r="AD130" i="9"/>
  <c r="X130" i="9"/>
  <c r="T130" i="9"/>
  <c r="O130" i="9"/>
  <c r="P130" i="9" s="1"/>
  <c r="Q130" i="9" s="1"/>
  <c r="S117" i="2"/>
  <c r="AH129" i="9"/>
  <c r="AI129" i="9" s="1"/>
  <c r="AD129" i="9"/>
  <c r="X129" i="9"/>
  <c r="T129" i="9"/>
  <c r="O129" i="9"/>
  <c r="P129" i="9" s="1"/>
  <c r="Q129" i="9" s="1"/>
  <c r="R129" i="9" s="1"/>
  <c r="S116" i="2"/>
  <c r="AH128" i="9"/>
  <c r="AI128" i="9" s="1"/>
  <c r="AD128" i="9"/>
  <c r="X128" i="9"/>
  <c r="T128" i="9"/>
  <c r="O128" i="9"/>
  <c r="P128" i="9" s="1"/>
  <c r="Q128" i="9" s="1"/>
  <c r="R128" i="9" s="1"/>
  <c r="AK127" i="9"/>
  <c r="S115" i="2"/>
  <c r="AH127" i="9"/>
  <c r="AI127" i="9" s="1"/>
  <c r="AD127" i="9"/>
  <c r="X127" i="9"/>
  <c r="T127" i="9"/>
  <c r="O127" i="9"/>
  <c r="P127" i="9" s="1"/>
  <c r="Q127" i="9" s="1"/>
  <c r="R127" i="9" s="1"/>
  <c r="AK126" i="9"/>
  <c r="AH126" i="9"/>
  <c r="AI126" i="9" s="1"/>
  <c r="AD126" i="9"/>
  <c r="X126" i="9"/>
  <c r="T126" i="9"/>
  <c r="O126" i="9"/>
  <c r="P126" i="9" s="1"/>
  <c r="Q126" i="9" s="1"/>
  <c r="R126" i="9" s="1"/>
  <c r="AK125" i="9"/>
  <c r="AH125" i="9"/>
  <c r="AI125" i="9" s="1"/>
  <c r="AD125" i="9"/>
  <c r="X125" i="9"/>
  <c r="T125" i="9"/>
  <c r="O125" i="9"/>
  <c r="P125" i="9" s="1"/>
  <c r="Q125" i="9" s="1"/>
  <c r="R125" i="9" s="1"/>
  <c r="S112" i="2"/>
  <c r="AH124" i="9"/>
  <c r="AI124" i="9" s="1"/>
  <c r="AD124" i="9"/>
  <c r="X124" i="9"/>
  <c r="T124" i="9"/>
  <c r="O124" i="9"/>
  <c r="P124" i="9" s="1"/>
  <c r="Q124" i="9" s="1"/>
  <c r="R124" i="9" s="1"/>
  <c r="AK123" i="9"/>
  <c r="S111" i="2"/>
  <c r="AH123" i="9"/>
  <c r="AI123" i="9" s="1"/>
  <c r="AD123" i="9"/>
  <c r="X123" i="9"/>
  <c r="T123" i="9"/>
  <c r="O123" i="9"/>
  <c r="P123" i="9" s="1"/>
  <c r="Q123" i="9" s="1"/>
  <c r="R123" i="9" s="1"/>
  <c r="AK122" i="9"/>
  <c r="AH122" i="9"/>
  <c r="AI122" i="9" s="1"/>
  <c r="AD122" i="9"/>
  <c r="X122" i="9"/>
  <c r="T122" i="9"/>
  <c r="O122" i="9"/>
  <c r="P122" i="9" s="1"/>
  <c r="Q122" i="9" s="1"/>
  <c r="S109" i="2"/>
  <c r="AH121" i="9"/>
  <c r="AI121" i="9" s="1"/>
  <c r="AD121" i="9"/>
  <c r="X121" i="9"/>
  <c r="T121" i="9"/>
  <c r="O121" i="9"/>
  <c r="P121" i="9" s="1"/>
  <c r="Q121" i="9" s="1"/>
  <c r="R121" i="9" s="1"/>
  <c r="AK120" i="9"/>
  <c r="S108" i="2"/>
  <c r="AH120" i="9"/>
  <c r="AI120" i="9" s="1"/>
  <c r="AD120" i="9"/>
  <c r="X120" i="9"/>
  <c r="T120" i="9"/>
  <c r="O120" i="9"/>
  <c r="P120" i="9" s="1"/>
  <c r="Q120" i="9" s="1"/>
  <c r="R120" i="9" s="1"/>
  <c r="S107" i="2"/>
  <c r="AH119" i="9"/>
  <c r="AI119" i="9" s="1"/>
  <c r="AD119" i="9"/>
  <c r="X119" i="9"/>
  <c r="T119" i="9"/>
  <c r="O119" i="9"/>
  <c r="P119" i="9" s="1"/>
  <c r="Q119" i="9" s="1"/>
  <c r="R119" i="9" s="1"/>
  <c r="AK118" i="9"/>
  <c r="AH118" i="9"/>
  <c r="AI118" i="9" s="1"/>
  <c r="AD118" i="9"/>
  <c r="X118" i="9"/>
  <c r="T118" i="9"/>
  <c r="O118" i="9"/>
  <c r="P118" i="9" s="1"/>
  <c r="Q118" i="9" s="1"/>
  <c r="U118" i="9" s="1"/>
  <c r="AK117" i="9"/>
  <c r="AH117" i="9"/>
  <c r="AI117" i="9" s="1"/>
  <c r="AD117" i="9"/>
  <c r="X117" i="9"/>
  <c r="T117" i="9"/>
  <c r="O117" i="9"/>
  <c r="P117" i="9" s="1"/>
  <c r="Q117" i="9" s="1"/>
  <c r="R117" i="9" s="1"/>
  <c r="S104" i="2"/>
  <c r="AH116" i="9"/>
  <c r="AI116" i="9" s="1"/>
  <c r="AD116" i="9"/>
  <c r="X116" i="9"/>
  <c r="T116" i="9"/>
  <c r="O116" i="9"/>
  <c r="P116" i="9" s="1"/>
  <c r="Q116" i="9" s="1"/>
  <c r="R116" i="9" s="1"/>
  <c r="AK115" i="9"/>
  <c r="AH115" i="9"/>
  <c r="AI115" i="9" s="1"/>
  <c r="AD115" i="9"/>
  <c r="X115" i="9"/>
  <c r="T115" i="9"/>
  <c r="O115" i="9"/>
  <c r="P115" i="9" s="1"/>
  <c r="Q115" i="9" s="1"/>
  <c r="R115" i="9" s="1"/>
  <c r="AK114" i="9"/>
  <c r="T102" i="2" s="1"/>
  <c r="E107" i="6" s="1"/>
  <c r="AH114" i="9"/>
  <c r="AI114" i="9" s="1"/>
  <c r="AD114" i="9"/>
  <c r="X114" i="9"/>
  <c r="T114" i="9"/>
  <c r="P114" i="9"/>
  <c r="Q114" i="9" s="1"/>
  <c r="O114" i="9"/>
  <c r="S101" i="2"/>
  <c r="AH113" i="9"/>
  <c r="AI113" i="9" s="1"/>
  <c r="AD113" i="9"/>
  <c r="X113" i="9"/>
  <c r="T113" i="9"/>
  <c r="O113" i="9"/>
  <c r="P113" i="9" s="1"/>
  <c r="Q113" i="9" s="1"/>
  <c r="R113" i="9" s="1"/>
  <c r="S100" i="2"/>
  <c r="AH112" i="9"/>
  <c r="AI112" i="9" s="1"/>
  <c r="AD112" i="9"/>
  <c r="X112" i="9"/>
  <c r="U112" i="9"/>
  <c r="T112" i="9"/>
  <c r="O112" i="9"/>
  <c r="P112" i="9" s="1"/>
  <c r="Q112" i="9" s="1"/>
  <c r="R112" i="9" s="1"/>
  <c r="S99" i="2"/>
  <c r="AH111" i="9"/>
  <c r="AI111" i="9" s="1"/>
  <c r="AD111" i="9"/>
  <c r="X111" i="9"/>
  <c r="T111" i="9"/>
  <c r="O111" i="9"/>
  <c r="P111" i="9" s="1"/>
  <c r="Q111" i="9" s="1"/>
  <c r="AK110" i="9"/>
  <c r="AH110" i="9"/>
  <c r="AI110" i="9" s="1"/>
  <c r="AD110" i="9"/>
  <c r="X110" i="9"/>
  <c r="T110" i="9"/>
  <c r="O110" i="9"/>
  <c r="P110" i="9" s="1"/>
  <c r="Q110" i="9" s="1"/>
  <c r="R110" i="9" s="1"/>
  <c r="AK109" i="9"/>
  <c r="AI109" i="9"/>
  <c r="AH109" i="9"/>
  <c r="AD109" i="9"/>
  <c r="X109" i="9"/>
  <c r="T109" i="9"/>
  <c r="O109" i="9"/>
  <c r="P109" i="9" s="1"/>
  <c r="Q109" i="9" s="1"/>
  <c r="R109" i="9" s="1"/>
  <c r="S96" i="2"/>
  <c r="AH108" i="9"/>
  <c r="AI108" i="9" s="1"/>
  <c r="AD108" i="9"/>
  <c r="X108" i="9"/>
  <c r="T108" i="9"/>
  <c r="O108" i="9"/>
  <c r="P108" i="9" s="1"/>
  <c r="Q108" i="9" s="1"/>
  <c r="R108" i="9" s="1"/>
  <c r="AK107" i="9"/>
  <c r="T95" i="2" s="1"/>
  <c r="E100" i="6" s="1"/>
  <c r="S95" i="2"/>
  <c r="AH107" i="9"/>
  <c r="AI107" i="9" s="1"/>
  <c r="AD107" i="9"/>
  <c r="X107" i="9"/>
  <c r="T107" i="9"/>
  <c r="O107" i="9"/>
  <c r="P107" i="9" s="1"/>
  <c r="Q107" i="9" s="1"/>
  <c r="R107" i="9" s="1"/>
  <c r="AK106" i="9"/>
  <c r="T94" i="2" s="1"/>
  <c r="E99" i="6" s="1"/>
  <c r="AH106" i="9"/>
  <c r="AI106" i="9" s="1"/>
  <c r="AD106" i="9"/>
  <c r="X106" i="9"/>
  <c r="T106" i="9"/>
  <c r="O106" i="9"/>
  <c r="P106" i="9" s="1"/>
  <c r="Q106" i="9" s="1"/>
  <c r="S93" i="2"/>
  <c r="AH105" i="9"/>
  <c r="AI105" i="9" s="1"/>
  <c r="AD105" i="9"/>
  <c r="X105" i="9"/>
  <c r="T105" i="9"/>
  <c r="O105" i="9"/>
  <c r="P105" i="9" s="1"/>
  <c r="Q105" i="9" s="1"/>
  <c r="R105" i="9" s="1"/>
  <c r="S92" i="2"/>
  <c r="AH104" i="9"/>
  <c r="AI104" i="9" s="1"/>
  <c r="AD104" i="9"/>
  <c r="X104" i="9"/>
  <c r="T104" i="9"/>
  <c r="O104" i="9"/>
  <c r="P104" i="9" s="1"/>
  <c r="Q104" i="9" s="1"/>
  <c r="R104" i="9" s="1"/>
  <c r="S91" i="2"/>
  <c r="AH103" i="9"/>
  <c r="AI103" i="9" s="1"/>
  <c r="AD103" i="9"/>
  <c r="X103" i="9"/>
  <c r="T103" i="9"/>
  <c r="O103" i="9"/>
  <c r="P103" i="9" s="1"/>
  <c r="Q103" i="9" s="1"/>
  <c r="AK102" i="9"/>
  <c r="AH102" i="9"/>
  <c r="AI102" i="9" s="1"/>
  <c r="AD102" i="9"/>
  <c r="X102" i="9"/>
  <c r="T102" i="9"/>
  <c r="O102" i="9"/>
  <c r="P102" i="9" s="1"/>
  <c r="Q102" i="9" s="1"/>
  <c r="AK101" i="9"/>
  <c r="AH101" i="9"/>
  <c r="AI101" i="9" s="1"/>
  <c r="AD101" i="9"/>
  <c r="X101" i="9"/>
  <c r="T101" i="9"/>
  <c r="O101" i="9"/>
  <c r="P101" i="9" s="1"/>
  <c r="Q101" i="9" s="1"/>
  <c r="R101" i="9" s="1"/>
  <c r="S88" i="2"/>
  <c r="AH100" i="9"/>
  <c r="AI100" i="9" s="1"/>
  <c r="AD100" i="9"/>
  <c r="X100" i="9"/>
  <c r="T100" i="9"/>
  <c r="O100" i="9"/>
  <c r="P100" i="9" s="1"/>
  <c r="Q100" i="9" s="1"/>
  <c r="R100" i="9" s="1"/>
  <c r="AK99" i="9"/>
  <c r="AH99" i="9"/>
  <c r="AI99" i="9" s="1"/>
  <c r="AD99" i="9"/>
  <c r="X99" i="9"/>
  <c r="T99" i="9"/>
  <c r="O99" i="9"/>
  <c r="P99" i="9" s="1"/>
  <c r="Q99" i="9" s="1"/>
  <c r="R99" i="9" s="1"/>
  <c r="AK98" i="9"/>
  <c r="T86" i="2" s="1"/>
  <c r="E91" i="6" s="1"/>
  <c r="AH98" i="9"/>
  <c r="AI98" i="9" s="1"/>
  <c r="AD98" i="9"/>
  <c r="X98" i="9"/>
  <c r="T98" i="9"/>
  <c r="O98" i="9"/>
  <c r="P98" i="9" s="1"/>
  <c r="Q98" i="9" s="1"/>
  <c r="U98" i="9" s="1"/>
  <c r="S85" i="2"/>
  <c r="AH97" i="9"/>
  <c r="AI97" i="9" s="1"/>
  <c r="AD97" i="9"/>
  <c r="X97" i="9"/>
  <c r="T97" i="9"/>
  <c r="O97" i="9"/>
  <c r="P97" i="9" s="1"/>
  <c r="Q97" i="9" s="1"/>
  <c r="R97" i="9" s="1"/>
  <c r="S84" i="2"/>
  <c r="AH96" i="9"/>
  <c r="AI96" i="9" s="1"/>
  <c r="AD96" i="9"/>
  <c r="X96" i="9"/>
  <c r="T96" i="9"/>
  <c r="O96" i="9"/>
  <c r="P96" i="9" s="1"/>
  <c r="Q96" i="9" s="1"/>
  <c r="R96" i="9" s="1"/>
  <c r="AK95" i="9"/>
  <c r="AH95" i="9"/>
  <c r="AI95" i="9" s="1"/>
  <c r="AD95" i="9"/>
  <c r="X95" i="9"/>
  <c r="T95" i="9"/>
  <c r="O95" i="9"/>
  <c r="P95" i="9" s="1"/>
  <c r="Q95" i="9" s="1"/>
  <c r="R95" i="9" s="1"/>
  <c r="S82" i="2"/>
  <c r="AH94" i="9"/>
  <c r="AI94" i="9" s="1"/>
  <c r="AD94" i="9"/>
  <c r="X94" i="9"/>
  <c r="T94" i="9"/>
  <c r="O94" i="9"/>
  <c r="P94" i="9" s="1"/>
  <c r="Q94" i="9" s="1"/>
  <c r="AK93" i="9"/>
  <c r="S81" i="2"/>
  <c r="AH93" i="9"/>
  <c r="AI93" i="9" s="1"/>
  <c r="AD93" i="9"/>
  <c r="X93" i="9"/>
  <c r="T93" i="9"/>
  <c r="O93" i="9"/>
  <c r="P93" i="9" s="1"/>
  <c r="Q93" i="9" s="1"/>
  <c r="R93" i="9" s="1"/>
  <c r="S80" i="2"/>
  <c r="AH92" i="9"/>
  <c r="AI92" i="9" s="1"/>
  <c r="AD92" i="9"/>
  <c r="X92" i="9"/>
  <c r="T92" i="9"/>
  <c r="O92" i="9"/>
  <c r="P92" i="9" s="1"/>
  <c r="Q92" i="9" s="1"/>
  <c r="AK91" i="9"/>
  <c r="AH91" i="9"/>
  <c r="AI91" i="9" s="1"/>
  <c r="AD91" i="9"/>
  <c r="X91" i="9"/>
  <c r="T91" i="9"/>
  <c r="O91" i="9"/>
  <c r="P91" i="9" s="1"/>
  <c r="Q91" i="9" s="1"/>
  <c r="R91" i="9" s="1"/>
  <c r="S78" i="2"/>
  <c r="AH90" i="9"/>
  <c r="AI90" i="9" s="1"/>
  <c r="AD90" i="9"/>
  <c r="X90" i="9"/>
  <c r="T90" i="9"/>
  <c r="O90" i="9"/>
  <c r="P90" i="9" s="1"/>
  <c r="Q90" i="9" s="1"/>
  <c r="S77" i="2"/>
  <c r="AH89" i="9"/>
  <c r="AI89" i="9" s="1"/>
  <c r="AD89" i="9"/>
  <c r="X89" i="9"/>
  <c r="T89" i="9"/>
  <c r="O89" i="9"/>
  <c r="P89" i="9" s="1"/>
  <c r="Q89" i="9" s="1"/>
  <c r="R89" i="9" s="1"/>
  <c r="AK88" i="9"/>
  <c r="AH88" i="9"/>
  <c r="AI88" i="9" s="1"/>
  <c r="AD88" i="9"/>
  <c r="X88" i="9"/>
  <c r="T88" i="9"/>
  <c r="O88" i="9"/>
  <c r="P88" i="9" s="1"/>
  <c r="Q88" i="9" s="1"/>
  <c r="AK87" i="9"/>
  <c r="AH87" i="9"/>
  <c r="AI87" i="9" s="1"/>
  <c r="AD87" i="9"/>
  <c r="X87" i="9"/>
  <c r="T87" i="9"/>
  <c r="O87" i="9"/>
  <c r="P87" i="9" s="1"/>
  <c r="Q87" i="9" s="1"/>
  <c r="U87" i="9" s="1"/>
  <c r="S74" i="2"/>
  <c r="AH86" i="9"/>
  <c r="AI86" i="9" s="1"/>
  <c r="AD86" i="9"/>
  <c r="X86" i="9"/>
  <c r="T86" i="9"/>
  <c r="O86" i="9"/>
  <c r="P86" i="9" s="1"/>
  <c r="Q86" i="9" s="1"/>
  <c r="AH85" i="9"/>
  <c r="AI85" i="9" s="1"/>
  <c r="AD85" i="9"/>
  <c r="X85" i="9"/>
  <c r="T85" i="9"/>
  <c r="O85" i="9"/>
  <c r="P85" i="9" s="1"/>
  <c r="Q85" i="9" s="1"/>
  <c r="R85" i="9" s="1"/>
  <c r="AK84" i="9"/>
  <c r="T72" i="2" s="1"/>
  <c r="E77" i="6" s="1"/>
  <c r="S72" i="2"/>
  <c r="AH84" i="9"/>
  <c r="AI84" i="9" s="1"/>
  <c r="AD84" i="9"/>
  <c r="X84" i="9"/>
  <c r="T84" i="9"/>
  <c r="P84" i="9"/>
  <c r="Q84" i="9" s="1"/>
  <c r="R84" i="9" s="1"/>
  <c r="O84" i="9"/>
  <c r="S71" i="2"/>
  <c r="AH83" i="9"/>
  <c r="AI83" i="9" s="1"/>
  <c r="AD83" i="9"/>
  <c r="X83" i="9"/>
  <c r="T83" i="9"/>
  <c r="O83" i="9"/>
  <c r="P83" i="9" s="1"/>
  <c r="Q83" i="9" s="1"/>
  <c r="S70" i="2"/>
  <c r="AH82" i="9"/>
  <c r="AI82" i="9" s="1"/>
  <c r="AD82" i="9"/>
  <c r="X82" i="9"/>
  <c r="T82" i="9"/>
  <c r="P82" i="9"/>
  <c r="Q82" i="9" s="1"/>
  <c r="U82" i="9" s="1"/>
  <c r="O82" i="9"/>
  <c r="AK81" i="9"/>
  <c r="AH81" i="9"/>
  <c r="AI81" i="9" s="1"/>
  <c r="AD81" i="9"/>
  <c r="X81" i="9"/>
  <c r="T81" i="9"/>
  <c r="O81" i="9"/>
  <c r="P81" i="9" s="1"/>
  <c r="Q81" i="9" s="1"/>
  <c r="R81" i="9" s="1"/>
  <c r="AH80" i="9"/>
  <c r="AI80" i="9" s="1"/>
  <c r="AD80" i="9"/>
  <c r="X80" i="9"/>
  <c r="T80" i="9"/>
  <c r="O80" i="9"/>
  <c r="P80" i="9" s="1"/>
  <c r="Q80" i="9" s="1"/>
  <c r="R80" i="9" s="1"/>
  <c r="S67" i="2"/>
  <c r="AH79" i="9"/>
  <c r="AI79" i="9" s="1"/>
  <c r="AD79" i="9"/>
  <c r="X79" i="9"/>
  <c r="T79" i="9"/>
  <c r="O79" i="9"/>
  <c r="P79" i="9" s="1"/>
  <c r="Q79" i="9" s="1"/>
  <c r="AK78" i="9"/>
  <c r="T66" i="2" s="1"/>
  <c r="E71" i="6" s="1"/>
  <c r="AH78" i="9"/>
  <c r="AI78" i="9" s="1"/>
  <c r="AD78" i="9"/>
  <c r="X78" i="9"/>
  <c r="T78" i="9"/>
  <c r="O78" i="9"/>
  <c r="P78" i="9" s="1"/>
  <c r="Q78" i="9" s="1"/>
  <c r="S65" i="2"/>
  <c r="AH77" i="9"/>
  <c r="AI77" i="9" s="1"/>
  <c r="AD77" i="9"/>
  <c r="X77" i="9"/>
  <c r="T77" i="9"/>
  <c r="O77" i="9"/>
  <c r="P77" i="9" s="1"/>
  <c r="Q77" i="9" s="1"/>
  <c r="R77" i="9" s="1"/>
  <c r="S64" i="2"/>
  <c r="AH76" i="9"/>
  <c r="AI76" i="9" s="1"/>
  <c r="AD76" i="9"/>
  <c r="X76" i="9"/>
  <c r="T76" i="9"/>
  <c r="O76" i="9"/>
  <c r="P76" i="9" s="1"/>
  <c r="Q76" i="9" s="1"/>
  <c r="R76" i="9" s="1"/>
  <c r="AK75" i="9"/>
  <c r="AH75" i="9"/>
  <c r="AI75" i="9" s="1"/>
  <c r="AD75" i="9"/>
  <c r="X75" i="9"/>
  <c r="T75" i="9"/>
  <c r="O75" i="9"/>
  <c r="P75" i="9" s="1"/>
  <c r="Q75" i="9" s="1"/>
  <c r="R75" i="9" s="1"/>
  <c r="S62" i="2"/>
  <c r="AH74" i="9"/>
  <c r="AI74" i="9" s="1"/>
  <c r="AD74" i="9"/>
  <c r="X74" i="9"/>
  <c r="T74" i="9"/>
  <c r="O74" i="9"/>
  <c r="P74" i="9" s="1"/>
  <c r="Q74" i="9" s="1"/>
  <c r="U74" i="9" s="1"/>
  <c r="AK73" i="9"/>
  <c r="S61" i="2"/>
  <c r="AH73" i="9"/>
  <c r="AI73" i="9" s="1"/>
  <c r="AD73" i="9"/>
  <c r="X73" i="9"/>
  <c r="T73" i="9"/>
  <c r="O73" i="9"/>
  <c r="P73" i="9" s="1"/>
  <c r="Q73" i="9" s="1"/>
  <c r="R73" i="9" s="1"/>
  <c r="AK72" i="9"/>
  <c r="AH72" i="9"/>
  <c r="AI72" i="9" s="1"/>
  <c r="AD72" i="9"/>
  <c r="X72" i="9"/>
  <c r="T72" i="9"/>
  <c r="P72" i="9"/>
  <c r="Q72" i="9" s="1"/>
  <c r="R72" i="9" s="1"/>
  <c r="O72" i="9"/>
  <c r="AK71" i="9"/>
  <c r="S59" i="2"/>
  <c r="AH71" i="9"/>
  <c r="AI71" i="9" s="1"/>
  <c r="AD71" i="9"/>
  <c r="X71" i="9"/>
  <c r="T71" i="9"/>
  <c r="O71" i="9"/>
  <c r="P71" i="9" s="1"/>
  <c r="Q71" i="9" s="1"/>
  <c r="R71" i="9" s="1"/>
  <c r="S58" i="2"/>
  <c r="AH70" i="9"/>
  <c r="AI70" i="9" s="1"/>
  <c r="AD70" i="9"/>
  <c r="X70" i="9"/>
  <c r="T70" i="9"/>
  <c r="O70" i="9"/>
  <c r="P70" i="9" s="1"/>
  <c r="Q70" i="9" s="1"/>
  <c r="AK69" i="9"/>
  <c r="S57" i="2"/>
  <c r="AH69" i="9"/>
  <c r="AI69" i="9" s="1"/>
  <c r="AD69" i="9"/>
  <c r="X69" i="9"/>
  <c r="T69" i="9"/>
  <c r="O69" i="9"/>
  <c r="P69" i="9" s="1"/>
  <c r="Q69" i="9" s="1"/>
  <c r="R69" i="9" s="1"/>
  <c r="AK68" i="9"/>
  <c r="AH68" i="9"/>
  <c r="AI68" i="9" s="1"/>
  <c r="AD68" i="9"/>
  <c r="X68" i="9"/>
  <c r="T68" i="9"/>
  <c r="O68" i="9"/>
  <c r="P68" i="9" s="1"/>
  <c r="Q68" i="9" s="1"/>
  <c r="R68" i="9" s="1"/>
  <c r="AK67" i="9"/>
  <c r="S55" i="2"/>
  <c r="AH67" i="9"/>
  <c r="AI67" i="9" s="1"/>
  <c r="AD67" i="9"/>
  <c r="X67" i="9"/>
  <c r="T67" i="9"/>
  <c r="O67" i="9"/>
  <c r="P67" i="9" s="1"/>
  <c r="Q67" i="9" s="1"/>
  <c r="R67" i="9" s="1"/>
  <c r="S54" i="2"/>
  <c r="AH66" i="9"/>
  <c r="AI66" i="9" s="1"/>
  <c r="AD66" i="9"/>
  <c r="X66" i="9"/>
  <c r="T66" i="9"/>
  <c r="O66" i="9"/>
  <c r="P66" i="9" s="1"/>
  <c r="Q66" i="9" s="1"/>
  <c r="U66" i="9" s="1"/>
  <c r="S53" i="2"/>
  <c r="AH65" i="9"/>
  <c r="AI65" i="9" s="1"/>
  <c r="AD65" i="9"/>
  <c r="X65" i="9"/>
  <c r="T65" i="9"/>
  <c r="O65" i="9"/>
  <c r="P65" i="9" s="1"/>
  <c r="Q65" i="9" s="1"/>
  <c r="R65" i="9" s="1"/>
  <c r="AK64" i="9"/>
  <c r="AH64" i="9"/>
  <c r="AI64" i="9" s="1"/>
  <c r="AD64" i="9"/>
  <c r="X64" i="9"/>
  <c r="T64" i="9"/>
  <c r="O64" i="9"/>
  <c r="P64" i="9" s="1"/>
  <c r="Q64" i="9" s="1"/>
  <c r="R64" i="9" s="1"/>
  <c r="AK63" i="9"/>
  <c r="AH63" i="9"/>
  <c r="AI63" i="9" s="1"/>
  <c r="AD63" i="9"/>
  <c r="X63" i="9"/>
  <c r="T63" i="9"/>
  <c r="O63" i="9"/>
  <c r="P63" i="9" s="1"/>
  <c r="Q63" i="9" s="1"/>
  <c r="R63" i="9" s="1"/>
  <c r="S50" i="2"/>
  <c r="AH62" i="9"/>
  <c r="AI62" i="9" s="1"/>
  <c r="AD62" i="9"/>
  <c r="X62" i="9"/>
  <c r="T62" i="9"/>
  <c r="O62" i="9"/>
  <c r="P62" i="9" s="1"/>
  <c r="Q62" i="9" s="1"/>
  <c r="U62" i="9" s="1"/>
  <c r="S49" i="2"/>
  <c r="AH61" i="9"/>
  <c r="AI61" i="9" s="1"/>
  <c r="AD61" i="9"/>
  <c r="X61" i="9"/>
  <c r="T61" i="9"/>
  <c r="O61" i="9"/>
  <c r="P61" i="9" s="1"/>
  <c r="Q61" i="9" s="1"/>
  <c r="R61" i="9" s="1"/>
  <c r="AK60" i="9"/>
  <c r="AH60" i="9"/>
  <c r="AI60" i="9" s="1"/>
  <c r="AD60" i="9"/>
  <c r="X60" i="9"/>
  <c r="T60" i="9"/>
  <c r="O60" i="9"/>
  <c r="P60" i="9" s="1"/>
  <c r="Q60" i="9" s="1"/>
  <c r="R60" i="9" s="1"/>
  <c r="AK59" i="9"/>
  <c r="AH59" i="9"/>
  <c r="AI59" i="9" s="1"/>
  <c r="AD59" i="9"/>
  <c r="X59" i="9"/>
  <c r="T59" i="9"/>
  <c r="O59" i="9"/>
  <c r="P59" i="9" s="1"/>
  <c r="Q59" i="9" s="1"/>
  <c r="R59" i="9" s="1"/>
  <c r="S46" i="2"/>
  <c r="AH58" i="9"/>
  <c r="AI58" i="9" s="1"/>
  <c r="AD58" i="9"/>
  <c r="X58" i="9"/>
  <c r="T58" i="9"/>
  <c r="O58" i="9"/>
  <c r="P58" i="9" s="1"/>
  <c r="Q58" i="9" s="1"/>
  <c r="U58" i="9" s="1"/>
  <c r="S45" i="2"/>
  <c r="AH57" i="9"/>
  <c r="AI57" i="9" s="1"/>
  <c r="AD57" i="9"/>
  <c r="X57" i="9"/>
  <c r="T57" i="9"/>
  <c r="O57" i="9"/>
  <c r="P57" i="9" s="1"/>
  <c r="Q57" i="9" s="1"/>
  <c r="R57" i="9" s="1"/>
  <c r="AK56" i="9"/>
  <c r="AH56" i="9"/>
  <c r="AI56" i="9" s="1"/>
  <c r="AD56" i="9"/>
  <c r="X56" i="9"/>
  <c r="T56" i="9"/>
  <c r="O56" i="9"/>
  <c r="P56" i="9" s="1"/>
  <c r="Q56" i="9" s="1"/>
  <c r="R56" i="9" s="1"/>
  <c r="AK55" i="9"/>
  <c r="S43" i="2"/>
  <c r="AH55" i="9"/>
  <c r="AI55" i="9" s="1"/>
  <c r="AD55" i="9"/>
  <c r="X55" i="9"/>
  <c r="T55" i="9"/>
  <c r="O55" i="9"/>
  <c r="P55" i="9" s="1"/>
  <c r="Q55" i="9" s="1"/>
  <c r="R55" i="9" s="1"/>
  <c r="S42" i="2"/>
  <c r="AH54" i="9"/>
  <c r="AI54" i="9" s="1"/>
  <c r="AD54" i="9"/>
  <c r="X54" i="9"/>
  <c r="T54" i="9"/>
  <c r="O54" i="9"/>
  <c r="P54" i="9" s="1"/>
  <c r="Q54" i="9" s="1"/>
  <c r="U54" i="9" s="1"/>
  <c r="AK53" i="9"/>
  <c r="S41" i="2"/>
  <c r="AI53" i="9"/>
  <c r="AH53" i="9"/>
  <c r="AD53" i="9"/>
  <c r="X53" i="9"/>
  <c r="T53" i="9"/>
  <c r="O53" i="9"/>
  <c r="P53" i="9" s="1"/>
  <c r="Q53" i="9" s="1"/>
  <c r="R53" i="9" s="1"/>
  <c r="AK52" i="9"/>
  <c r="AH52" i="9"/>
  <c r="AI52" i="9" s="1"/>
  <c r="AD52" i="9"/>
  <c r="X52" i="9"/>
  <c r="T52" i="9"/>
  <c r="O52" i="9"/>
  <c r="P52" i="9" s="1"/>
  <c r="Q52" i="9" s="1"/>
  <c r="R52" i="9" s="1"/>
  <c r="AK51" i="9"/>
  <c r="S39" i="2"/>
  <c r="AH51" i="9"/>
  <c r="AI51" i="9" s="1"/>
  <c r="AD51" i="9"/>
  <c r="X51" i="9"/>
  <c r="T51" i="9"/>
  <c r="O51" i="9"/>
  <c r="P51" i="9" s="1"/>
  <c r="Q51" i="9" s="1"/>
  <c r="R51" i="9" s="1"/>
  <c r="S38" i="2"/>
  <c r="AH50" i="9"/>
  <c r="AI50" i="9" s="1"/>
  <c r="AD50" i="9"/>
  <c r="X50" i="9"/>
  <c r="T50" i="9"/>
  <c r="O50" i="9"/>
  <c r="P50" i="9" s="1"/>
  <c r="Q50" i="9" s="1"/>
  <c r="AK49" i="9"/>
  <c r="S37" i="2"/>
  <c r="AH49" i="9"/>
  <c r="AI49" i="9" s="1"/>
  <c r="AD49" i="9"/>
  <c r="X49" i="9"/>
  <c r="T49" i="9"/>
  <c r="O49" i="9"/>
  <c r="P49" i="9" s="1"/>
  <c r="Q49" i="9" s="1"/>
  <c r="R49" i="9" s="1"/>
  <c r="AK48" i="9"/>
  <c r="AH48" i="9"/>
  <c r="AI48" i="9" s="1"/>
  <c r="AD48" i="9"/>
  <c r="X48" i="9"/>
  <c r="T48" i="9"/>
  <c r="O48" i="9"/>
  <c r="P48" i="9" s="1"/>
  <c r="Q48" i="9" s="1"/>
  <c r="R48" i="9" s="1"/>
  <c r="AK47" i="9"/>
  <c r="S35" i="2"/>
  <c r="AH47" i="9"/>
  <c r="AI47" i="9" s="1"/>
  <c r="AD47" i="9"/>
  <c r="X47" i="9"/>
  <c r="T47" i="9"/>
  <c r="O47" i="9"/>
  <c r="P47" i="9" s="1"/>
  <c r="Q47" i="9" s="1"/>
  <c r="R47" i="9" s="1"/>
  <c r="S34" i="2"/>
  <c r="AH46" i="9"/>
  <c r="AI46" i="9" s="1"/>
  <c r="AD46" i="9"/>
  <c r="X46" i="9"/>
  <c r="T46" i="9"/>
  <c r="O46" i="9"/>
  <c r="P46" i="9" s="1"/>
  <c r="Q46" i="9" s="1"/>
  <c r="U46" i="9" s="1"/>
  <c r="AK45" i="9"/>
  <c r="S33" i="2"/>
  <c r="AH45" i="9"/>
  <c r="AI45" i="9" s="1"/>
  <c r="AD45" i="9"/>
  <c r="X45" i="9"/>
  <c r="T45" i="9"/>
  <c r="O45" i="9"/>
  <c r="P45" i="9" s="1"/>
  <c r="Q45" i="9" s="1"/>
  <c r="R45" i="9" s="1"/>
  <c r="S32" i="2"/>
  <c r="AH44" i="9"/>
  <c r="AI44" i="9" s="1"/>
  <c r="AD44" i="9"/>
  <c r="X44" i="9"/>
  <c r="T44" i="9"/>
  <c r="U44" i="9" s="1"/>
  <c r="O44" i="9"/>
  <c r="P44" i="9" s="1"/>
  <c r="Q44" i="9" s="1"/>
  <c r="R44" i="9" s="1"/>
  <c r="AK43" i="9"/>
  <c r="S31" i="2"/>
  <c r="AH43" i="9"/>
  <c r="AI43" i="9" s="1"/>
  <c r="AD43" i="9"/>
  <c r="X43" i="9"/>
  <c r="T43" i="9"/>
  <c r="O43" i="9"/>
  <c r="P43" i="9" s="1"/>
  <c r="Q43" i="9" s="1"/>
  <c r="R43" i="9" s="1"/>
  <c r="S30" i="2"/>
  <c r="AH42" i="9"/>
  <c r="AI42" i="9" s="1"/>
  <c r="AD42" i="9"/>
  <c r="X42" i="9"/>
  <c r="T42" i="9"/>
  <c r="O42" i="9"/>
  <c r="P42" i="9" s="1"/>
  <c r="Q42" i="9" s="1"/>
  <c r="R42" i="9" s="1"/>
  <c r="AK41" i="9"/>
  <c r="S29" i="2"/>
  <c r="AH41" i="9"/>
  <c r="AI41" i="9" s="1"/>
  <c r="AD41" i="9"/>
  <c r="X41" i="9"/>
  <c r="T41" i="9"/>
  <c r="O41" i="9"/>
  <c r="P41" i="9" s="1"/>
  <c r="Q41" i="9" s="1"/>
  <c r="R41" i="9" s="1"/>
  <c r="S28" i="2"/>
  <c r="AH40" i="9"/>
  <c r="AI40" i="9" s="1"/>
  <c r="AD40" i="9"/>
  <c r="X40" i="9"/>
  <c r="T40" i="9"/>
  <c r="O40" i="9"/>
  <c r="P40" i="9" s="1"/>
  <c r="Q40" i="9" s="1"/>
  <c r="AK39" i="9"/>
  <c r="AH39" i="9"/>
  <c r="AI39" i="9" s="1"/>
  <c r="AD39" i="9"/>
  <c r="X39" i="9"/>
  <c r="T39" i="9"/>
  <c r="O39" i="9"/>
  <c r="P39" i="9" s="1"/>
  <c r="Q39" i="9" s="1"/>
  <c r="R39" i="9" s="1"/>
  <c r="S26" i="2"/>
  <c r="AH38" i="9"/>
  <c r="AI38" i="9" s="1"/>
  <c r="AD38" i="9"/>
  <c r="X38" i="9"/>
  <c r="T38" i="9"/>
  <c r="O38" i="9"/>
  <c r="P38" i="9" s="1"/>
  <c r="Q38" i="9" s="1"/>
  <c r="S25" i="2"/>
  <c r="AH37" i="9"/>
  <c r="AI37" i="9" s="1"/>
  <c r="AD37" i="9"/>
  <c r="X37" i="9"/>
  <c r="T37" i="9"/>
  <c r="O37" i="9"/>
  <c r="P37" i="9" s="1"/>
  <c r="Q37" i="9" s="1"/>
  <c r="R37" i="9" s="1"/>
  <c r="S24" i="2"/>
  <c r="AH36" i="9"/>
  <c r="AI36" i="9" s="1"/>
  <c r="AD36" i="9"/>
  <c r="X36" i="9"/>
  <c r="T36" i="9"/>
  <c r="O36" i="9"/>
  <c r="P36" i="9" s="1"/>
  <c r="Q36" i="9" s="1"/>
  <c r="R36" i="9" s="1"/>
  <c r="AK35" i="9"/>
  <c r="AH35" i="9"/>
  <c r="AI35" i="9" s="1"/>
  <c r="AD35" i="9"/>
  <c r="X35" i="9"/>
  <c r="T35" i="9"/>
  <c r="O35" i="9"/>
  <c r="P35" i="9" s="1"/>
  <c r="Q35" i="9" s="1"/>
  <c r="R35" i="9" s="1"/>
  <c r="S22" i="2"/>
  <c r="AH34" i="9"/>
  <c r="AI34" i="9" s="1"/>
  <c r="AD34" i="9"/>
  <c r="X34" i="9"/>
  <c r="T34" i="9"/>
  <c r="O34" i="9"/>
  <c r="P34" i="9" s="1"/>
  <c r="Q34" i="9" s="1"/>
  <c r="R34" i="9" s="1"/>
  <c r="S21" i="2"/>
  <c r="AH33" i="9"/>
  <c r="AI33" i="9" s="1"/>
  <c r="AD33" i="9"/>
  <c r="X33" i="9"/>
  <c r="T33" i="9"/>
  <c r="O33" i="9"/>
  <c r="P33" i="9" s="1"/>
  <c r="Q33" i="9" s="1"/>
  <c r="R33" i="9" s="1"/>
  <c r="S20" i="2"/>
  <c r="AH32" i="9"/>
  <c r="AI32" i="9" s="1"/>
  <c r="AD32" i="9"/>
  <c r="X32" i="9"/>
  <c r="T32" i="9"/>
  <c r="P32" i="9"/>
  <c r="Q32" i="9" s="1"/>
  <c r="R32" i="9" s="1"/>
  <c r="O32" i="9"/>
  <c r="AK31" i="9"/>
  <c r="S19" i="2"/>
  <c r="AH31" i="9"/>
  <c r="AI31" i="9" s="1"/>
  <c r="AD31" i="9"/>
  <c r="X31" i="9"/>
  <c r="T31" i="9"/>
  <c r="O31" i="9"/>
  <c r="P31" i="9" s="1"/>
  <c r="Q31" i="9" s="1"/>
  <c r="R31" i="9" s="1"/>
  <c r="S18" i="2"/>
  <c r="AH30" i="9"/>
  <c r="AI30" i="9" s="1"/>
  <c r="AD30" i="9"/>
  <c r="X30" i="9"/>
  <c r="T30" i="9"/>
  <c r="O30" i="9"/>
  <c r="P30" i="9" s="1"/>
  <c r="Q30" i="9" s="1"/>
  <c r="U30" i="9" s="1"/>
  <c r="S17" i="2"/>
  <c r="AI29" i="9"/>
  <c r="AH29" i="9"/>
  <c r="AD29" i="9"/>
  <c r="X29" i="9"/>
  <c r="T29" i="9"/>
  <c r="O29" i="9"/>
  <c r="P29" i="9" s="1"/>
  <c r="Q29" i="9" s="1"/>
  <c r="R29" i="9" s="1"/>
  <c r="S16" i="2"/>
  <c r="AH28" i="9"/>
  <c r="AI28" i="9" s="1"/>
  <c r="AD28" i="9"/>
  <c r="X28" i="9"/>
  <c r="T28" i="9"/>
  <c r="O28" i="9"/>
  <c r="P28" i="9" s="1"/>
  <c r="Q28" i="9" s="1"/>
  <c r="R28" i="9" s="1"/>
  <c r="S15" i="2"/>
  <c r="AH27" i="9"/>
  <c r="AI27" i="9" s="1"/>
  <c r="AD27" i="9"/>
  <c r="X27" i="9"/>
  <c r="T27" i="9"/>
  <c r="O27" i="9"/>
  <c r="P27" i="9" s="1"/>
  <c r="Q27" i="9" s="1"/>
  <c r="R27" i="9" s="1"/>
  <c r="AO21" i="9"/>
  <c r="Z20" i="9"/>
  <c r="AA21" i="9" s="1"/>
  <c r="F33" i="1" s="1"/>
  <c r="AU17" i="9"/>
  <c r="AR17" i="9"/>
  <c r="AF17" i="9"/>
  <c r="Z17" i="9"/>
  <c r="W17" i="9"/>
  <c r="V17" i="9"/>
  <c r="X17" i="9" s="1"/>
  <c r="S17" i="9"/>
  <c r="N17" i="9"/>
  <c r="M17" i="9"/>
  <c r="L17" i="9"/>
  <c r="K17" i="9"/>
  <c r="E17" i="9"/>
  <c r="D17" i="9"/>
  <c r="C17" i="9"/>
  <c r="AH195" i="8"/>
  <c r="AI195" i="8" s="1"/>
  <c r="AD195" i="8"/>
  <c r="X195" i="8"/>
  <c r="T195" i="8"/>
  <c r="O195" i="8"/>
  <c r="P195" i="8" s="1"/>
  <c r="Q195" i="8" s="1"/>
  <c r="R195" i="8" s="1"/>
  <c r="AK194" i="8"/>
  <c r="AL194" i="8" s="1"/>
  <c r="AM194" i="8" s="1"/>
  <c r="AH194" i="8"/>
  <c r="AI194" i="8" s="1"/>
  <c r="AD194" i="8"/>
  <c r="X194" i="8"/>
  <c r="T194" i="8"/>
  <c r="O194" i="8"/>
  <c r="P194" i="8" s="1"/>
  <c r="Q194" i="8" s="1"/>
  <c r="R194" i="8" s="1"/>
  <c r="AK193" i="8"/>
  <c r="AL193" i="8" s="1"/>
  <c r="AM193" i="8" s="1"/>
  <c r="AH193" i="8"/>
  <c r="AI193" i="8" s="1"/>
  <c r="AD193" i="8"/>
  <c r="X193" i="8"/>
  <c r="T193" i="8"/>
  <c r="O193" i="8"/>
  <c r="P193" i="8" s="1"/>
  <c r="Q193" i="8" s="1"/>
  <c r="R193" i="8" s="1"/>
  <c r="AK192" i="8"/>
  <c r="AL192" i="8" s="1"/>
  <c r="AM192" i="8" s="1"/>
  <c r="AH192" i="8"/>
  <c r="AI192" i="8" s="1"/>
  <c r="AD192" i="8"/>
  <c r="X192" i="8"/>
  <c r="T192" i="8"/>
  <c r="O192" i="8"/>
  <c r="P192" i="8" s="1"/>
  <c r="Q192" i="8" s="1"/>
  <c r="R192" i="8" s="1"/>
  <c r="AH191" i="8"/>
  <c r="AI191" i="8" s="1"/>
  <c r="AD191" i="8"/>
  <c r="X191" i="8"/>
  <c r="T191" i="8"/>
  <c r="O191" i="8"/>
  <c r="P191" i="8" s="1"/>
  <c r="Q191" i="8" s="1"/>
  <c r="R191" i="8" s="1"/>
  <c r="AK190" i="8"/>
  <c r="AL190" i="8" s="1"/>
  <c r="AH190" i="8"/>
  <c r="AI190" i="8" s="1"/>
  <c r="AD190" i="8"/>
  <c r="X190" i="8"/>
  <c r="T190" i="8"/>
  <c r="O190" i="8"/>
  <c r="P190" i="8" s="1"/>
  <c r="Q190" i="8" s="1"/>
  <c r="R190" i="8" s="1"/>
  <c r="AK189" i="8"/>
  <c r="AL189" i="8" s="1"/>
  <c r="AH189" i="8"/>
  <c r="AI189" i="8" s="1"/>
  <c r="AD189" i="8"/>
  <c r="X189" i="8"/>
  <c r="T189" i="8"/>
  <c r="O189" i="8"/>
  <c r="P189" i="8" s="1"/>
  <c r="Q189" i="8" s="1"/>
  <c r="AL188" i="8"/>
  <c r="AM188" i="8" s="1"/>
  <c r="AH188" i="8"/>
  <c r="AI188" i="8" s="1"/>
  <c r="AD188" i="8"/>
  <c r="X188" i="8"/>
  <c r="T188" i="8"/>
  <c r="O188" i="8"/>
  <c r="P188" i="8" s="1"/>
  <c r="Q188" i="8" s="1"/>
  <c r="R188" i="8" s="1"/>
  <c r="AK187" i="8"/>
  <c r="AL187" i="8" s="1"/>
  <c r="AH187" i="8"/>
  <c r="AI187" i="8" s="1"/>
  <c r="AD187" i="8"/>
  <c r="X187" i="8"/>
  <c r="T187" i="8"/>
  <c r="O187" i="8"/>
  <c r="P187" i="8" s="1"/>
  <c r="Q187" i="8" s="1"/>
  <c r="R187" i="8" s="1"/>
  <c r="AK186" i="8"/>
  <c r="AL186" i="8" s="1"/>
  <c r="AH186" i="8"/>
  <c r="AI186" i="8" s="1"/>
  <c r="AD186" i="8"/>
  <c r="X186" i="8"/>
  <c r="T186" i="8"/>
  <c r="O186" i="8"/>
  <c r="P186" i="8" s="1"/>
  <c r="Q186" i="8" s="1"/>
  <c r="R186" i="8" s="1"/>
  <c r="AH185" i="8"/>
  <c r="AI185" i="8" s="1"/>
  <c r="AD185" i="8"/>
  <c r="X185" i="8"/>
  <c r="T185" i="8"/>
  <c r="O185" i="8"/>
  <c r="P185" i="8" s="1"/>
  <c r="Q185" i="8" s="1"/>
  <c r="R185" i="8" s="1"/>
  <c r="AK184" i="8"/>
  <c r="AL184" i="8" s="1"/>
  <c r="AM184" i="8" s="1"/>
  <c r="AH184" i="8"/>
  <c r="AI184" i="8" s="1"/>
  <c r="AD184" i="8"/>
  <c r="X184" i="8"/>
  <c r="T184" i="8"/>
  <c r="O184" i="8"/>
  <c r="P184" i="8" s="1"/>
  <c r="Q184" i="8" s="1"/>
  <c r="AK183" i="8"/>
  <c r="AL183" i="8" s="1"/>
  <c r="AH183" i="8"/>
  <c r="AI183" i="8" s="1"/>
  <c r="AD183" i="8"/>
  <c r="X183" i="8"/>
  <c r="T183" i="8"/>
  <c r="O183" i="8"/>
  <c r="P183" i="8" s="1"/>
  <c r="Q183" i="8" s="1"/>
  <c r="R183" i="8" s="1"/>
  <c r="AH182" i="8"/>
  <c r="AI182" i="8" s="1"/>
  <c r="AD182" i="8"/>
  <c r="X182" i="8"/>
  <c r="T182" i="8"/>
  <c r="O182" i="8"/>
  <c r="P182" i="8" s="1"/>
  <c r="Q182" i="8" s="1"/>
  <c r="R182" i="8" s="1"/>
  <c r="AK181" i="8"/>
  <c r="AL181" i="8" s="1"/>
  <c r="AM181" i="8" s="1"/>
  <c r="AH181" i="8"/>
  <c r="AI181" i="8" s="1"/>
  <c r="AD181" i="8"/>
  <c r="X181" i="8"/>
  <c r="T181" i="8"/>
  <c r="O181" i="8"/>
  <c r="P181" i="8" s="1"/>
  <c r="Q181" i="8" s="1"/>
  <c r="R181" i="8" s="1"/>
  <c r="AH180" i="8"/>
  <c r="AI180" i="8" s="1"/>
  <c r="AD180" i="8"/>
  <c r="X180" i="8"/>
  <c r="T180" i="8"/>
  <c r="O180" i="8"/>
  <c r="P180" i="8" s="1"/>
  <c r="Q180" i="8" s="1"/>
  <c r="R180" i="8" s="1"/>
  <c r="AH179" i="8"/>
  <c r="AI179" i="8" s="1"/>
  <c r="AD179" i="8"/>
  <c r="X179" i="8"/>
  <c r="T179" i="8"/>
  <c r="O179" i="8"/>
  <c r="P179" i="8" s="1"/>
  <c r="Q179" i="8" s="1"/>
  <c r="R179" i="8" s="1"/>
  <c r="AK178" i="8"/>
  <c r="AL178" i="8" s="1"/>
  <c r="AM178" i="8" s="1"/>
  <c r="AH178" i="8"/>
  <c r="AI178" i="8" s="1"/>
  <c r="AD178" i="8"/>
  <c r="X178" i="8"/>
  <c r="T178" i="8"/>
  <c r="O178" i="8"/>
  <c r="P178" i="8" s="1"/>
  <c r="Q178" i="8" s="1"/>
  <c r="AK177" i="8"/>
  <c r="AL177" i="8" s="1"/>
  <c r="AM177" i="8" s="1"/>
  <c r="AH177" i="8"/>
  <c r="AI177" i="8" s="1"/>
  <c r="AD177" i="8"/>
  <c r="X177" i="8"/>
  <c r="T177" i="8"/>
  <c r="O177" i="8"/>
  <c r="P177" i="8" s="1"/>
  <c r="Q177" i="8" s="1"/>
  <c r="R177" i="8" s="1"/>
  <c r="AH176" i="8"/>
  <c r="AI176" i="8" s="1"/>
  <c r="AD176" i="8"/>
  <c r="X176" i="8"/>
  <c r="T176" i="8"/>
  <c r="O176" i="8"/>
  <c r="P176" i="8" s="1"/>
  <c r="Q176" i="8" s="1"/>
  <c r="R176" i="8" s="1"/>
  <c r="AI175" i="8"/>
  <c r="AH175" i="8"/>
  <c r="AD175" i="8"/>
  <c r="X175" i="8"/>
  <c r="T175" i="8"/>
  <c r="O175" i="8"/>
  <c r="P175" i="8" s="1"/>
  <c r="Q175" i="8" s="1"/>
  <c r="R175" i="8" s="1"/>
  <c r="AH174" i="8"/>
  <c r="AI174" i="8" s="1"/>
  <c r="AD174" i="8"/>
  <c r="X174" i="8"/>
  <c r="T174" i="8"/>
  <c r="O174" i="8"/>
  <c r="P174" i="8" s="1"/>
  <c r="Q174" i="8" s="1"/>
  <c r="R174" i="8" s="1"/>
  <c r="AK173" i="8"/>
  <c r="AL173" i="8" s="1"/>
  <c r="AM173" i="8" s="1"/>
  <c r="AH173" i="8"/>
  <c r="AI173" i="8" s="1"/>
  <c r="AD173" i="8"/>
  <c r="X173" i="8"/>
  <c r="T173" i="8"/>
  <c r="O173" i="8"/>
  <c r="P173" i="8" s="1"/>
  <c r="Q173" i="8" s="1"/>
  <c r="AK172" i="8"/>
  <c r="AL172" i="8" s="1"/>
  <c r="AM172" i="8" s="1"/>
  <c r="AH172" i="8"/>
  <c r="AI172" i="8" s="1"/>
  <c r="AD172" i="8"/>
  <c r="X172" i="8"/>
  <c r="T172" i="8"/>
  <c r="O172" i="8"/>
  <c r="P172" i="8" s="1"/>
  <c r="Q172" i="8" s="1"/>
  <c r="R172" i="8" s="1"/>
  <c r="AK171" i="8"/>
  <c r="AL171" i="8" s="1"/>
  <c r="AH171" i="8"/>
  <c r="AI171" i="8" s="1"/>
  <c r="AD171" i="8"/>
  <c r="X171" i="8"/>
  <c r="T171" i="8"/>
  <c r="O171" i="8"/>
  <c r="P171" i="8" s="1"/>
  <c r="Q171" i="8" s="1"/>
  <c r="R171" i="8" s="1"/>
  <c r="AH170" i="8"/>
  <c r="AI170" i="8" s="1"/>
  <c r="AD170" i="8"/>
  <c r="X170" i="8"/>
  <c r="T170" i="8"/>
  <c r="O170" i="8"/>
  <c r="P170" i="8" s="1"/>
  <c r="Q170" i="8" s="1"/>
  <c r="R170" i="8" s="1"/>
  <c r="AK169" i="8"/>
  <c r="AL169" i="8" s="1"/>
  <c r="AM169" i="8" s="1"/>
  <c r="AH169" i="8"/>
  <c r="AI169" i="8" s="1"/>
  <c r="AD169" i="8"/>
  <c r="X169" i="8"/>
  <c r="T169" i="8"/>
  <c r="O169" i="8"/>
  <c r="P169" i="8" s="1"/>
  <c r="Q169" i="8" s="1"/>
  <c r="AK168" i="8"/>
  <c r="AL168" i="8" s="1"/>
  <c r="AM168" i="8" s="1"/>
  <c r="AH168" i="8"/>
  <c r="AI168" i="8" s="1"/>
  <c r="AD168" i="8"/>
  <c r="X168" i="8"/>
  <c r="T168" i="8"/>
  <c r="O168" i="8"/>
  <c r="P168" i="8" s="1"/>
  <c r="Q168" i="8" s="1"/>
  <c r="AK167" i="8"/>
  <c r="AL167" i="8" s="1"/>
  <c r="AH167" i="8"/>
  <c r="AI167" i="8" s="1"/>
  <c r="AD167" i="8"/>
  <c r="X167" i="8"/>
  <c r="T167" i="8"/>
  <c r="O167" i="8"/>
  <c r="P167" i="8" s="1"/>
  <c r="Q167" i="8" s="1"/>
  <c r="R167" i="8" s="1"/>
  <c r="AH166" i="8"/>
  <c r="AI166" i="8" s="1"/>
  <c r="AD166" i="8"/>
  <c r="X166" i="8"/>
  <c r="T166" i="8"/>
  <c r="O166" i="8"/>
  <c r="P166" i="8" s="1"/>
  <c r="Q166" i="8" s="1"/>
  <c r="R166" i="8" s="1"/>
  <c r="AK165" i="8"/>
  <c r="AL165" i="8" s="1"/>
  <c r="AM165" i="8" s="1"/>
  <c r="AH165" i="8"/>
  <c r="AI165" i="8" s="1"/>
  <c r="AD165" i="8"/>
  <c r="X165" i="8"/>
  <c r="T165" i="8"/>
  <c r="O165" i="8"/>
  <c r="P165" i="8" s="1"/>
  <c r="Q165" i="8" s="1"/>
  <c r="AK164" i="8"/>
  <c r="AL164" i="8" s="1"/>
  <c r="AM164" i="8" s="1"/>
  <c r="AH164" i="8"/>
  <c r="AI164" i="8" s="1"/>
  <c r="AD164" i="8"/>
  <c r="X164" i="8"/>
  <c r="T164" i="8"/>
  <c r="O164" i="8"/>
  <c r="P164" i="8" s="1"/>
  <c r="Q164" i="8" s="1"/>
  <c r="AK163" i="8"/>
  <c r="AL163" i="8" s="1"/>
  <c r="AH163" i="8"/>
  <c r="AI163" i="8" s="1"/>
  <c r="AD163" i="8"/>
  <c r="X163" i="8"/>
  <c r="T163" i="8"/>
  <c r="O163" i="8"/>
  <c r="P163" i="8" s="1"/>
  <c r="Q163" i="8" s="1"/>
  <c r="R163" i="8" s="1"/>
  <c r="AH162" i="8"/>
  <c r="AI162" i="8" s="1"/>
  <c r="AD162" i="8"/>
  <c r="X162" i="8"/>
  <c r="T162" i="8"/>
  <c r="O162" i="8"/>
  <c r="P162" i="8" s="1"/>
  <c r="Q162" i="8" s="1"/>
  <c r="R162" i="8" s="1"/>
  <c r="AK161" i="8"/>
  <c r="AL161" i="8" s="1"/>
  <c r="AM161" i="8" s="1"/>
  <c r="AH161" i="8"/>
  <c r="AI161" i="8" s="1"/>
  <c r="AD161" i="8"/>
  <c r="X161" i="8"/>
  <c r="T161" i="8"/>
  <c r="O161" i="8"/>
  <c r="P161" i="8" s="1"/>
  <c r="Q161" i="8" s="1"/>
  <c r="U161" i="8" s="1"/>
  <c r="AK160" i="8"/>
  <c r="AL160" i="8" s="1"/>
  <c r="AM160" i="8" s="1"/>
  <c r="AH160" i="8"/>
  <c r="AI160" i="8" s="1"/>
  <c r="AD160" i="8"/>
  <c r="X160" i="8"/>
  <c r="T160" i="8"/>
  <c r="P160" i="8"/>
  <c r="Q160" i="8" s="1"/>
  <c r="O160" i="8"/>
  <c r="AH159" i="8"/>
  <c r="AI159" i="8" s="1"/>
  <c r="AD159" i="8"/>
  <c r="X159" i="8"/>
  <c r="T159" i="8"/>
  <c r="O159" i="8"/>
  <c r="P159" i="8" s="1"/>
  <c r="Q159" i="8" s="1"/>
  <c r="R159" i="8" s="1"/>
  <c r="AH158" i="8"/>
  <c r="AI158" i="8" s="1"/>
  <c r="AD158" i="8"/>
  <c r="X158" i="8"/>
  <c r="T158" i="8"/>
  <c r="O158" i="8"/>
  <c r="P158" i="8" s="1"/>
  <c r="Q158" i="8" s="1"/>
  <c r="U158" i="8" s="1"/>
  <c r="AK157" i="8"/>
  <c r="AL157" i="8" s="1"/>
  <c r="AH157" i="8"/>
  <c r="AI157" i="8" s="1"/>
  <c r="AD157" i="8"/>
  <c r="X157" i="8"/>
  <c r="T157" i="8"/>
  <c r="O157" i="8"/>
  <c r="P157" i="8" s="1"/>
  <c r="Q157" i="8" s="1"/>
  <c r="AK156" i="8"/>
  <c r="AL156" i="8" s="1"/>
  <c r="AH156" i="8"/>
  <c r="AI156" i="8" s="1"/>
  <c r="AD156" i="8"/>
  <c r="X156" i="8"/>
  <c r="T156" i="8"/>
  <c r="U156" i="8" s="1"/>
  <c r="O156" i="8"/>
  <c r="P156" i="8" s="1"/>
  <c r="Q156" i="8" s="1"/>
  <c r="R156" i="8" s="1"/>
  <c r="AH155" i="8"/>
  <c r="AI155" i="8" s="1"/>
  <c r="AD155" i="8"/>
  <c r="X155" i="8"/>
  <c r="T155" i="8"/>
  <c r="U155" i="8" s="1"/>
  <c r="O155" i="8"/>
  <c r="P155" i="8" s="1"/>
  <c r="Q155" i="8" s="1"/>
  <c r="R155" i="8" s="1"/>
  <c r="AK154" i="8"/>
  <c r="AL154" i="8" s="1"/>
  <c r="AH154" i="8"/>
  <c r="AI154" i="8" s="1"/>
  <c r="AD154" i="8"/>
  <c r="X154" i="8"/>
  <c r="T154" i="8"/>
  <c r="O154" i="8"/>
  <c r="P154" i="8" s="1"/>
  <c r="Q154" i="8" s="1"/>
  <c r="AK153" i="8"/>
  <c r="AL153" i="8" s="1"/>
  <c r="AH153" i="8"/>
  <c r="AI153" i="8" s="1"/>
  <c r="AD153" i="8"/>
  <c r="X153" i="8"/>
  <c r="T153" i="8"/>
  <c r="O153" i="8"/>
  <c r="P153" i="8" s="1"/>
  <c r="Q153" i="8" s="1"/>
  <c r="AK152" i="8"/>
  <c r="AL152" i="8" s="1"/>
  <c r="AH152" i="8"/>
  <c r="AI152" i="8" s="1"/>
  <c r="AD152" i="8"/>
  <c r="X152" i="8"/>
  <c r="T152" i="8"/>
  <c r="O152" i="8"/>
  <c r="P152" i="8" s="1"/>
  <c r="Q152" i="8" s="1"/>
  <c r="AK151" i="8"/>
  <c r="AL151" i="8" s="1"/>
  <c r="AH151" i="8"/>
  <c r="AI151" i="8" s="1"/>
  <c r="AD151" i="8"/>
  <c r="X151" i="8"/>
  <c r="T151" i="8"/>
  <c r="O151" i="8"/>
  <c r="P151" i="8" s="1"/>
  <c r="Q151" i="8" s="1"/>
  <c r="R151" i="8" s="1"/>
  <c r="AK150" i="8"/>
  <c r="AL150" i="8" s="1"/>
  <c r="AH150" i="8"/>
  <c r="AI150" i="8" s="1"/>
  <c r="AD150" i="8"/>
  <c r="X150" i="8"/>
  <c r="T150" i="8"/>
  <c r="O150" i="8"/>
  <c r="P150" i="8" s="1"/>
  <c r="Q150" i="8" s="1"/>
  <c r="AK149" i="8"/>
  <c r="AL149" i="8" s="1"/>
  <c r="AM149" i="8" s="1"/>
  <c r="AH149" i="8"/>
  <c r="AI149" i="8" s="1"/>
  <c r="AD149" i="8"/>
  <c r="X149" i="8"/>
  <c r="T149" i="8"/>
  <c r="O149" i="8"/>
  <c r="P149" i="8" s="1"/>
  <c r="Q149" i="8" s="1"/>
  <c r="R149" i="8" s="1"/>
  <c r="AH148" i="8"/>
  <c r="AI148" i="8" s="1"/>
  <c r="AD148" i="8"/>
  <c r="X148" i="8"/>
  <c r="U148" i="8"/>
  <c r="T148" i="8"/>
  <c r="O148" i="8"/>
  <c r="P148" i="8" s="1"/>
  <c r="Q148" i="8" s="1"/>
  <c r="R148" i="8" s="1"/>
  <c r="AH147" i="8"/>
  <c r="AI147" i="8" s="1"/>
  <c r="AD147" i="8"/>
  <c r="X147" i="8"/>
  <c r="T147" i="8"/>
  <c r="R147" i="8"/>
  <c r="O147" i="8"/>
  <c r="P147" i="8" s="1"/>
  <c r="Q147" i="8" s="1"/>
  <c r="AH146" i="8"/>
  <c r="AI146" i="8" s="1"/>
  <c r="AD146" i="8"/>
  <c r="X146" i="8"/>
  <c r="T146" i="8"/>
  <c r="O146" i="8"/>
  <c r="P146" i="8" s="1"/>
  <c r="Q146" i="8" s="1"/>
  <c r="AK145" i="8"/>
  <c r="AL145" i="8" s="1"/>
  <c r="AM145" i="8" s="1"/>
  <c r="AH145" i="8"/>
  <c r="AI145" i="8" s="1"/>
  <c r="AD145" i="8"/>
  <c r="X145" i="8"/>
  <c r="T145" i="8"/>
  <c r="O145" i="8"/>
  <c r="P145" i="8" s="1"/>
  <c r="Q145" i="8" s="1"/>
  <c r="AK144" i="8"/>
  <c r="AL144" i="8" s="1"/>
  <c r="AH144" i="8"/>
  <c r="AI144" i="8" s="1"/>
  <c r="AD144" i="8"/>
  <c r="X144" i="8"/>
  <c r="T144" i="8"/>
  <c r="O144" i="8"/>
  <c r="P144" i="8" s="1"/>
  <c r="Q144" i="8" s="1"/>
  <c r="R144" i="8" s="1"/>
  <c r="AK143" i="8"/>
  <c r="AL143" i="8" s="1"/>
  <c r="AH143" i="8"/>
  <c r="AI143" i="8" s="1"/>
  <c r="AD143" i="8"/>
  <c r="X143" i="8"/>
  <c r="T143" i="8"/>
  <c r="O143" i="8"/>
  <c r="P143" i="8" s="1"/>
  <c r="Q143" i="8" s="1"/>
  <c r="R143" i="8" s="1"/>
  <c r="AK142" i="8"/>
  <c r="AL142" i="8" s="1"/>
  <c r="AH142" i="8"/>
  <c r="AI142" i="8" s="1"/>
  <c r="AD142" i="8"/>
  <c r="X142" i="8"/>
  <c r="T142" i="8"/>
  <c r="O142" i="8"/>
  <c r="P142" i="8" s="1"/>
  <c r="Q142" i="8" s="1"/>
  <c r="AH141" i="8"/>
  <c r="AI141" i="8" s="1"/>
  <c r="AD141" i="8"/>
  <c r="X141" i="8"/>
  <c r="T141" i="8"/>
  <c r="P141" i="8"/>
  <c r="Q141" i="8" s="1"/>
  <c r="O141" i="8"/>
  <c r="AK140" i="8"/>
  <c r="AL140" i="8" s="1"/>
  <c r="AH140" i="8"/>
  <c r="AI140" i="8" s="1"/>
  <c r="AD140" i="8"/>
  <c r="X140" i="8"/>
  <c r="T140" i="8"/>
  <c r="U140" i="8" s="1"/>
  <c r="O140" i="8"/>
  <c r="P140" i="8" s="1"/>
  <c r="Q140" i="8" s="1"/>
  <c r="R140" i="8" s="1"/>
  <c r="AK139" i="8"/>
  <c r="AL139" i="8" s="1"/>
  <c r="AH139" i="8"/>
  <c r="AI139" i="8" s="1"/>
  <c r="AD139" i="8"/>
  <c r="X139" i="8"/>
  <c r="T139" i="8"/>
  <c r="O139" i="8"/>
  <c r="P139" i="8" s="1"/>
  <c r="Q139" i="8" s="1"/>
  <c r="R139" i="8" s="1"/>
  <c r="AK138" i="8"/>
  <c r="AL138" i="8" s="1"/>
  <c r="AH138" i="8"/>
  <c r="AI138" i="8" s="1"/>
  <c r="AD138" i="8"/>
  <c r="X138" i="8"/>
  <c r="T138" i="8"/>
  <c r="O138" i="8"/>
  <c r="P138" i="8" s="1"/>
  <c r="Q138" i="8" s="1"/>
  <c r="AK137" i="8"/>
  <c r="AL137" i="8" s="1"/>
  <c r="AM137" i="8" s="1"/>
  <c r="AH137" i="8"/>
  <c r="AI137" i="8" s="1"/>
  <c r="AD137" i="8"/>
  <c r="X137" i="8"/>
  <c r="T137" i="8"/>
  <c r="O137" i="8"/>
  <c r="P137" i="8" s="1"/>
  <c r="Q137" i="8" s="1"/>
  <c r="AK136" i="8"/>
  <c r="AL136" i="8" s="1"/>
  <c r="AH136" i="8"/>
  <c r="AI136" i="8" s="1"/>
  <c r="AD136" i="8"/>
  <c r="X136" i="8"/>
  <c r="T136" i="8"/>
  <c r="O136" i="8"/>
  <c r="P136" i="8" s="1"/>
  <c r="Q136" i="8" s="1"/>
  <c r="R136" i="8" s="1"/>
  <c r="AH135" i="8"/>
  <c r="AI135" i="8" s="1"/>
  <c r="AD135" i="8"/>
  <c r="X135" i="8"/>
  <c r="T135" i="8"/>
  <c r="O135" i="8"/>
  <c r="P135" i="8" s="1"/>
  <c r="Q135" i="8" s="1"/>
  <c r="AK134" i="8"/>
  <c r="AL134" i="8" s="1"/>
  <c r="AM134" i="8" s="1"/>
  <c r="AH134" i="8"/>
  <c r="AI134" i="8" s="1"/>
  <c r="AD134" i="8"/>
  <c r="X134" i="8"/>
  <c r="T134" i="8"/>
  <c r="O134" i="8"/>
  <c r="P134" i="8" s="1"/>
  <c r="Q134" i="8" s="1"/>
  <c r="AK133" i="8"/>
  <c r="AL133" i="8" s="1"/>
  <c r="AH133" i="8"/>
  <c r="AI133" i="8" s="1"/>
  <c r="AD133" i="8"/>
  <c r="X133" i="8"/>
  <c r="T133" i="8"/>
  <c r="O133" i="8"/>
  <c r="P133" i="8" s="1"/>
  <c r="Q133" i="8" s="1"/>
  <c r="R133" i="8" s="1"/>
  <c r="AH132" i="8"/>
  <c r="AI132" i="8" s="1"/>
  <c r="AD132" i="8"/>
  <c r="X132" i="8"/>
  <c r="T132" i="8"/>
  <c r="U132" i="8" s="1"/>
  <c r="R132" i="8"/>
  <c r="O132" i="8"/>
  <c r="P132" i="8" s="1"/>
  <c r="Q132" i="8" s="1"/>
  <c r="AH131" i="8"/>
  <c r="AI131" i="8" s="1"/>
  <c r="AD131" i="8"/>
  <c r="X131" i="8"/>
  <c r="T131" i="8"/>
  <c r="O131" i="8"/>
  <c r="P131" i="8" s="1"/>
  <c r="Q131" i="8" s="1"/>
  <c r="U131" i="8" s="1"/>
  <c r="AK130" i="8"/>
  <c r="AL130" i="8" s="1"/>
  <c r="AH130" i="8"/>
  <c r="AI130" i="8" s="1"/>
  <c r="AD130" i="8"/>
  <c r="X130" i="8"/>
  <c r="T130" i="8"/>
  <c r="O130" i="8"/>
  <c r="P130" i="8" s="1"/>
  <c r="Q130" i="8" s="1"/>
  <c r="AK129" i="8"/>
  <c r="AL129" i="8" s="1"/>
  <c r="AH129" i="8"/>
  <c r="AI129" i="8" s="1"/>
  <c r="AD129" i="8"/>
  <c r="X129" i="8"/>
  <c r="T129" i="8"/>
  <c r="O129" i="8"/>
  <c r="P129" i="8" s="1"/>
  <c r="Q129" i="8" s="1"/>
  <c r="R129" i="8" s="1"/>
  <c r="AK128" i="8"/>
  <c r="AL128" i="8" s="1"/>
  <c r="AH128" i="8"/>
  <c r="AI128" i="8" s="1"/>
  <c r="AD128" i="8"/>
  <c r="X128" i="8"/>
  <c r="T128" i="8"/>
  <c r="O128" i="8"/>
  <c r="P128" i="8" s="1"/>
  <c r="Q128" i="8" s="1"/>
  <c r="R128" i="8" s="1"/>
  <c r="AH127" i="8"/>
  <c r="AI127" i="8" s="1"/>
  <c r="AD127" i="8"/>
  <c r="X127" i="8"/>
  <c r="T127" i="8"/>
  <c r="O127" i="8"/>
  <c r="P127" i="8" s="1"/>
  <c r="Q127" i="8" s="1"/>
  <c r="AK126" i="8"/>
  <c r="AL126" i="8" s="1"/>
  <c r="AH126" i="8"/>
  <c r="AI126" i="8" s="1"/>
  <c r="AD126" i="8"/>
  <c r="X126" i="8"/>
  <c r="T126" i="8"/>
  <c r="O126" i="8"/>
  <c r="P126" i="8" s="1"/>
  <c r="Q126" i="8" s="1"/>
  <c r="AK125" i="8"/>
  <c r="AL125" i="8" s="1"/>
  <c r="AH125" i="8"/>
  <c r="AI125" i="8" s="1"/>
  <c r="AD125" i="8"/>
  <c r="X125" i="8"/>
  <c r="T125" i="8"/>
  <c r="O125" i="8"/>
  <c r="P125" i="8" s="1"/>
  <c r="Q125" i="8" s="1"/>
  <c r="AK124" i="8"/>
  <c r="AL124" i="8" s="1"/>
  <c r="AI124" i="8"/>
  <c r="AH124" i="8"/>
  <c r="AD124" i="8"/>
  <c r="X124" i="8"/>
  <c r="T124" i="8"/>
  <c r="O124" i="8"/>
  <c r="P124" i="8" s="1"/>
  <c r="Q124" i="8" s="1"/>
  <c r="R124" i="8" s="1"/>
  <c r="AK123" i="8"/>
  <c r="AL123" i="8" s="1"/>
  <c r="AM123" i="8" s="1"/>
  <c r="AN123" i="8" s="1"/>
  <c r="AI123" i="8"/>
  <c r="AH123" i="8"/>
  <c r="AD123" i="8"/>
  <c r="X123" i="8"/>
  <c r="T123" i="8"/>
  <c r="O123" i="8"/>
  <c r="P123" i="8" s="1"/>
  <c r="Q123" i="8" s="1"/>
  <c r="AK122" i="8"/>
  <c r="AL122" i="8" s="1"/>
  <c r="AH122" i="8"/>
  <c r="AI122" i="8" s="1"/>
  <c r="AD122" i="8"/>
  <c r="X122" i="8"/>
  <c r="T122" i="8"/>
  <c r="O122" i="8"/>
  <c r="P122" i="8" s="1"/>
  <c r="Q122" i="8" s="1"/>
  <c r="R122" i="8" s="1"/>
  <c r="AK121" i="8"/>
  <c r="AL121" i="8" s="1"/>
  <c r="AH121" i="8"/>
  <c r="AI121" i="8" s="1"/>
  <c r="AD121" i="8"/>
  <c r="X121" i="8"/>
  <c r="T121" i="8"/>
  <c r="O121" i="8"/>
  <c r="P121" i="8" s="1"/>
  <c r="Q121" i="8" s="1"/>
  <c r="AK120" i="8"/>
  <c r="AL120" i="8" s="1"/>
  <c r="AH120" i="8"/>
  <c r="AI120" i="8" s="1"/>
  <c r="AD120" i="8"/>
  <c r="X120" i="8"/>
  <c r="T120" i="8"/>
  <c r="O120" i="8"/>
  <c r="P120" i="8" s="1"/>
  <c r="Q120" i="8" s="1"/>
  <c r="R120" i="8" s="1"/>
  <c r="AK119" i="8"/>
  <c r="AL119" i="8" s="1"/>
  <c r="AM119" i="8" s="1"/>
  <c r="AH119" i="8"/>
  <c r="AI119" i="8" s="1"/>
  <c r="AD119" i="8"/>
  <c r="X119" i="8"/>
  <c r="T119" i="8"/>
  <c r="O119" i="8"/>
  <c r="P119" i="8" s="1"/>
  <c r="Q119" i="8" s="1"/>
  <c r="AK118" i="8"/>
  <c r="AL118" i="8" s="1"/>
  <c r="AM118" i="8" s="1"/>
  <c r="AH118" i="8"/>
  <c r="AI118" i="8" s="1"/>
  <c r="AD118" i="8"/>
  <c r="X118" i="8"/>
  <c r="T118" i="8"/>
  <c r="O118" i="8"/>
  <c r="P118" i="8" s="1"/>
  <c r="Q118" i="8" s="1"/>
  <c r="R118" i="8" s="1"/>
  <c r="AK117" i="8"/>
  <c r="AL117" i="8" s="1"/>
  <c r="AH117" i="8"/>
  <c r="AI117" i="8" s="1"/>
  <c r="AD117" i="8"/>
  <c r="X117" i="8"/>
  <c r="T117" i="8"/>
  <c r="O117" i="8"/>
  <c r="P117" i="8" s="1"/>
  <c r="Q117" i="8" s="1"/>
  <c r="R117" i="8" s="1"/>
  <c r="AH116" i="8"/>
  <c r="AI116" i="8" s="1"/>
  <c r="AD116" i="8"/>
  <c r="X116" i="8"/>
  <c r="T116" i="8"/>
  <c r="O116" i="8"/>
  <c r="P116" i="8" s="1"/>
  <c r="Q116" i="8" s="1"/>
  <c r="R116" i="8" s="1"/>
  <c r="AH115" i="8"/>
  <c r="AI115" i="8" s="1"/>
  <c r="AD115" i="8"/>
  <c r="X115" i="8"/>
  <c r="T115" i="8"/>
  <c r="O115" i="8"/>
  <c r="P115" i="8" s="1"/>
  <c r="Q115" i="8" s="1"/>
  <c r="AK114" i="8"/>
  <c r="AL114" i="8" s="1"/>
  <c r="AH114" i="8"/>
  <c r="AI114" i="8" s="1"/>
  <c r="AD114" i="8"/>
  <c r="X114" i="8"/>
  <c r="T114" i="8"/>
  <c r="O114" i="8"/>
  <c r="P114" i="8" s="1"/>
  <c r="Q114" i="8" s="1"/>
  <c r="AK113" i="8"/>
  <c r="AL113" i="8" s="1"/>
  <c r="AH113" i="8"/>
  <c r="AI113" i="8" s="1"/>
  <c r="AD113" i="8"/>
  <c r="X113" i="8"/>
  <c r="T113" i="8"/>
  <c r="O113" i="8"/>
  <c r="P113" i="8" s="1"/>
  <c r="Q113" i="8" s="1"/>
  <c r="AK112" i="8"/>
  <c r="AL112" i="8" s="1"/>
  <c r="AH112" i="8"/>
  <c r="AI112" i="8" s="1"/>
  <c r="AD112" i="8"/>
  <c r="X112" i="8"/>
  <c r="T112" i="8"/>
  <c r="Q112" i="8"/>
  <c r="R112" i="8" s="1"/>
  <c r="O112" i="8"/>
  <c r="P112" i="8" s="1"/>
  <c r="AI111" i="8"/>
  <c r="AH111" i="8"/>
  <c r="AD111" i="8"/>
  <c r="X111" i="8"/>
  <c r="T111" i="8"/>
  <c r="O111" i="8"/>
  <c r="P111" i="8" s="1"/>
  <c r="Q111" i="8" s="1"/>
  <c r="R111" i="8" s="1"/>
  <c r="AK110" i="8"/>
  <c r="AL110" i="8" s="1"/>
  <c r="AM110" i="8" s="1"/>
  <c r="AH110" i="8"/>
  <c r="AI110" i="8" s="1"/>
  <c r="AD110" i="8"/>
  <c r="X110" i="8"/>
  <c r="T110" i="8"/>
  <c r="O110" i="8"/>
  <c r="P110" i="8" s="1"/>
  <c r="Q110" i="8" s="1"/>
  <c r="AH109" i="8"/>
  <c r="AI109" i="8" s="1"/>
  <c r="AD109" i="8"/>
  <c r="X109" i="8"/>
  <c r="T109" i="8"/>
  <c r="O109" i="8"/>
  <c r="P109" i="8" s="1"/>
  <c r="Q109" i="8" s="1"/>
  <c r="R109" i="8" s="1"/>
  <c r="AK108" i="8"/>
  <c r="AL108" i="8" s="1"/>
  <c r="AH108" i="8"/>
  <c r="AI108" i="8" s="1"/>
  <c r="AD108" i="8"/>
  <c r="X108" i="8"/>
  <c r="T108" i="8"/>
  <c r="O108" i="8"/>
  <c r="P108" i="8" s="1"/>
  <c r="Q108" i="8" s="1"/>
  <c r="AK107" i="8"/>
  <c r="AL107" i="8" s="1"/>
  <c r="AM107" i="8" s="1"/>
  <c r="AH107" i="8"/>
  <c r="AI107" i="8" s="1"/>
  <c r="AD107" i="8"/>
  <c r="X107" i="8"/>
  <c r="T107" i="8"/>
  <c r="P107" i="8"/>
  <c r="Q107" i="8" s="1"/>
  <c r="O107" i="8"/>
  <c r="AK106" i="8"/>
  <c r="AL106" i="8" s="1"/>
  <c r="AH106" i="8"/>
  <c r="AI106" i="8" s="1"/>
  <c r="AD106" i="8"/>
  <c r="X106" i="8"/>
  <c r="T106" i="8"/>
  <c r="O106" i="8"/>
  <c r="P106" i="8" s="1"/>
  <c r="Q106" i="8" s="1"/>
  <c r="AK105" i="8"/>
  <c r="AL105" i="8" s="1"/>
  <c r="AH105" i="8"/>
  <c r="AI105" i="8" s="1"/>
  <c r="AD105" i="8"/>
  <c r="X105" i="8"/>
  <c r="T105" i="8"/>
  <c r="O105" i="8"/>
  <c r="P105" i="8" s="1"/>
  <c r="Q105" i="8" s="1"/>
  <c r="R105" i="8" s="1"/>
  <c r="AK104" i="8"/>
  <c r="AL104" i="8" s="1"/>
  <c r="AI104" i="8"/>
  <c r="AH104" i="8"/>
  <c r="AD104" i="8"/>
  <c r="X104" i="8"/>
  <c r="T104" i="8"/>
  <c r="O104" i="8"/>
  <c r="P104" i="8" s="1"/>
  <c r="Q104" i="8" s="1"/>
  <c r="AH103" i="8"/>
  <c r="AI103" i="8" s="1"/>
  <c r="AD103" i="8"/>
  <c r="X103" i="8"/>
  <c r="T103" i="8"/>
  <c r="O103" i="8"/>
  <c r="P103" i="8" s="1"/>
  <c r="Q103" i="8" s="1"/>
  <c r="R103" i="8" s="1"/>
  <c r="AK102" i="8"/>
  <c r="AL102" i="8" s="1"/>
  <c r="AH102" i="8"/>
  <c r="AI102" i="8" s="1"/>
  <c r="AD102" i="8"/>
  <c r="X102" i="8"/>
  <c r="T102" i="8"/>
  <c r="O102" i="8"/>
  <c r="P102" i="8" s="1"/>
  <c r="Q102" i="8" s="1"/>
  <c r="AK101" i="8"/>
  <c r="AL101" i="8" s="1"/>
  <c r="AH101" i="8"/>
  <c r="AI101" i="8" s="1"/>
  <c r="AD101" i="8"/>
  <c r="X101" i="8"/>
  <c r="T101" i="8"/>
  <c r="O101" i="8"/>
  <c r="P101" i="8" s="1"/>
  <c r="Q101" i="8" s="1"/>
  <c r="R101" i="8" s="1"/>
  <c r="AK100" i="8"/>
  <c r="AL100" i="8" s="1"/>
  <c r="AI100" i="8"/>
  <c r="AH100" i="8"/>
  <c r="AD100" i="8"/>
  <c r="X100" i="8"/>
  <c r="T100" i="8"/>
  <c r="O100" i="8"/>
  <c r="P100" i="8" s="1"/>
  <c r="Q100" i="8" s="1"/>
  <c r="AK99" i="8"/>
  <c r="AL99" i="8" s="1"/>
  <c r="AM99" i="8" s="1"/>
  <c r="AH99" i="8"/>
  <c r="AI99" i="8" s="1"/>
  <c r="AD99" i="8"/>
  <c r="X99" i="8"/>
  <c r="T99" i="8"/>
  <c r="O99" i="8"/>
  <c r="P99" i="8" s="1"/>
  <c r="Q99" i="8" s="1"/>
  <c r="AK98" i="8"/>
  <c r="AL98" i="8" s="1"/>
  <c r="AH98" i="8"/>
  <c r="AI98" i="8" s="1"/>
  <c r="AD98" i="8"/>
  <c r="X98" i="8"/>
  <c r="T98" i="8"/>
  <c r="O98" i="8"/>
  <c r="P98" i="8" s="1"/>
  <c r="Q98" i="8" s="1"/>
  <c r="R98" i="8" s="1"/>
  <c r="AH97" i="8"/>
  <c r="AI97" i="8" s="1"/>
  <c r="AD97" i="8"/>
  <c r="X97" i="8"/>
  <c r="T97" i="8"/>
  <c r="O97" i="8"/>
  <c r="P97" i="8" s="1"/>
  <c r="Q97" i="8" s="1"/>
  <c r="R97" i="8" s="1"/>
  <c r="AH96" i="8"/>
  <c r="AI96" i="8" s="1"/>
  <c r="AD96" i="8"/>
  <c r="X96" i="8"/>
  <c r="T96" i="8"/>
  <c r="O96" i="8"/>
  <c r="P96" i="8" s="1"/>
  <c r="Q96" i="8" s="1"/>
  <c r="U96" i="8" s="1"/>
  <c r="AK95" i="8"/>
  <c r="AL95" i="8" s="1"/>
  <c r="AM95" i="8" s="1"/>
  <c r="AH95" i="8"/>
  <c r="AI95" i="8" s="1"/>
  <c r="AD95" i="8"/>
  <c r="X95" i="8"/>
  <c r="T95" i="8"/>
  <c r="O95" i="8"/>
  <c r="P95" i="8" s="1"/>
  <c r="Q95" i="8" s="1"/>
  <c r="AK94" i="8"/>
  <c r="AL94" i="8" s="1"/>
  <c r="AH94" i="8"/>
  <c r="AI94" i="8" s="1"/>
  <c r="AD94" i="8"/>
  <c r="X94" i="8"/>
  <c r="T94" i="8"/>
  <c r="O94" i="8"/>
  <c r="P94" i="8" s="1"/>
  <c r="Q94" i="8" s="1"/>
  <c r="R94" i="8" s="1"/>
  <c r="AK93" i="8"/>
  <c r="AL93" i="8" s="1"/>
  <c r="AH93" i="8"/>
  <c r="AI93" i="8" s="1"/>
  <c r="AD93" i="8"/>
  <c r="X93" i="8"/>
  <c r="T93" i="8"/>
  <c r="O93" i="8"/>
  <c r="P93" i="8" s="1"/>
  <c r="Q93" i="8" s="1"/>
  <c r="R93" i="8" s="1"/>
  <c r="AH92" i="8"/>
  <c r="AI92" i="8" s="1"/>
  <c r="AD92" i="8"/>
  <c r="X92" i="8"/>
  <c r="T92" i="8"/>
  <c r="O92" i="8"/>
  <c r="P92" i="8" s="1"/>
  <c r="Q92" i="8" s="1"/>
  <c r="AK91" i="8"/>
  <c r="AL91" i="8" s="1"/>
  <c r="AM91" i="8" s="1"/>
  <c r="AH91" i="8"/>
  <c r="AI91" i="8" s="1"/>
  <c r="AD91" i="8"/>
  <c r="X91" i="8"/>
  <c r="T91" i="8"/>
  <c r="O91" i="8"/>
  <c r="P91" i="8" s="1"/>
  <c r="Q91" i="8" s="1"/>
  <c r="AK90" i="8"/>
  <c r="AL90" i="8" s="1"/>
  <c r="AH90" i="8"/>
  <c r="AI90" i="8" s="1"/>
  <c r="AD90" i="8"/>
  <c r="X90" i="8"/>
  <c r="T90" i="8"/>
  <c r="O90" i="8"/>
  <c r="P90" i="8" s="1"/>
  <c r="Q90" i="8" s="1"/>
  <c r="AH89" i="8"/>
  <c r="AI89" i="8" s="1"/>
  <c r="AD89" i="8"/>
  <c r="X89" i="8"/>
  <c r="T89" i="8"/>
  <c r="O89" i="8"/>
  <c r="P89" i="8" s="1"/>
  <c r="Q89" i="8" s="1"/>
  <c r="R89" i="8" s="1"/>
  <c r="AH88" i="8"/>
  <c r="AI88" i="8" s="1"/>
  <c r="AD88" i="8"/>
  <c r="X88" i="8"/>
  <c r="T88" i="8"/>
  <c r="O88" i="8"/>
  <c r="P88" i="8" s="1"/>
  <c r="Q88" i="8" s="1"/>
  <c r="AK87" i="8"/>
  <c r="AL87" i="8" s="1"/>
  <c r="AH87" i="8"/>
  <c r="AI87" i="8" s="1"/>
  <c r="AD87" i="8"/>
  <c r="X87" i="8"/>
  <c r="T87" i="8"/>
  <c r="O87" i="8"/>
  <c r="P87" i="8" s="1"/>
  <c r="Q87" i="8" s="1"/>
  <c r="R87" i="8" s="1"/>
  <c r="AK86" i="8"/>
  <c r="AL86" i="8" s="1"/>
  <c r="AH86" i="8"/>
  <c r="AI86" i="8" s="1"/>
  <c r="AD86" i="8"/>
  <c r="X86" i="8"/>
  <c r="T86" i="8"/>
  <c r="O86" i="8"/>
  <c r="P86" i="8" s="1"/>
  <c r="Q86" i="8" s="1"/>
  <c r="U86" i="8" s="1"/>
  <c r="AK85" i="8"/>
  <c r="AL85" i="8" s="1"/>
  <c r="AM85" i="8" s="1"/>
  <c r="AH85" i="8"/>
  <c r="AI85" i="8" s="1"/>
  <c r="AD85" i="8"/>
  <c r="X85" i="8"/>
  <c r="T85" i="8"/>
  <c r="O85" i="8"/>
  <c r="P85" i="8" s="1"/>
  <c r="Q85" i="8" s="1"/>
  <c r="R85" i="8" s="1"/>
  <c r="AH84" i="8"/>
  <c r="AI84" i="8" s="1"/>
  <c r="AD84" i="8"/>
  <c r="X84" i="8"/>
  <c r="T84" i="8"/>
  <c r="O84" i="8"/>
  <c r="P84" i="8" s="1"/>
  <c r="Q84" i="8" s="1"/>
  <c r="R84" i="8" s="1"/>
  <c r="AK83" i="8"/>
  <c r="AL83" i="8" s="1"/>
  <c r="AH83" i="8"/>
  <c r="AI83" i="8" s="1"/>
  <c r="AD83" i="8"/>
  <c r="X83" i="8"/>
  <c r="T83" i="8"/>
  <c r="O83" i="8"/>
  <c r="P83" i="8" s="1"/>
  <c r="Q83" i="8" s="1"/>
  <c r="R83" i="8" s="1"/>
  <c r="AH82" i="8"/>
  <c r="AI82" i="8" s="1"/>
  <c r="AD82" i="8"/>
  <c r="X82" i="8"/>
  <c r="T82" i="8"/>
  <c r="O82" i="8"/>
  <c r="P82" i="8" s="1"/>
  <c r="Q82" i="8" s="1"/>
  <c r="R82" i="8" s="1"/>
  <c r="AK81" i="8"/>
  <c r="AL81" i="8" s="1"/>
  <c r="AM81" i="8" s="1"/>
  <c r="AH81" i="8"/>
  <c r="AI81" i="8" s="1"/>
  <c r="AD81" i="8"/>
  <c r="X81" i="8"/>
  <c r="T81" i="8"/>
  <c r="O81" i="8"/>
  <c r="P81" i="8" s="1"/>
  <c r="Q81" i="8" s="1"/>
  <c r="R81" i="8" s="1"/>
  <c r="AH80" i="8"/>
  <c r="AI80" i="8" s="1"/>
  <c r="AD80" i="8"/>
  <c r="X80" i="8"/>
  <c r="T80" i="8"/>
  <c r="O80" i="8"/>
  <c r="P80" i="8" s="1"/>
  <c r="Q80" i="8" s="1"/>
  <c r="AK79" i="8"/>
  <c r="AL79" i="8" s="1"/>
  <c r="AM79" i="8" s="1"/>
  <c r="AH79" i="8"/>
  <c r="AI79" i="8" s="1"/>
  <c r="AD79" i="8"/>
  <c r="X79" i="8"/>
  <c r="T79" i="8"/>
  <c r="O79" i="8"/>
  <c r="P79" i="8" s="1"/>
  <c r="Q79" i="8" s="1"/>
  <c r="R79" i="8" s="1"/>
  <c r="AK78" i="8"/>
  <c r="AL78" i="8" s="1"/>
  <c r="AH78" i="8"/>
  <c r="AI78" i="8" s="1"/>
  <c r="AD78" i="8"/>
  <c r="X78" i="8"/>
  <c r="T78" i="8"/>
  <c r="O78" i="8"/>
  <c r="P78" i="8" s="1"/>
  <c r="Q78" i="8" s="1"/>
  <c r="AK77" i="8"/>
  <c r="AL77" i="8" s="1"/>
  <c r="AM77" i="8" s="1"/>
  <c r="AH77" i="8"/>
  <c r="AI77" i="8" s="1"/>
  <c r="AD77" i="8"/>
  <c r="X77" i="8"/>
  <c r="T77" i="8"/>
  <c r="O77" i="8"/>
  <c r="P77" i="8" s="1"/>
  <c r="Q77" i="8" s="1"/>
  <c r="R77" i="8" s="1"/>
  <c r="AK76" i="8"/>
  <c r="AL76" i="8" s="1"/>
  <c r="AH76" i="8"/>
  <c r="AI76" i="8" s="1"/>
  <c r="AD76" i="8"/>
  <c r="X76" i="8"/>
  <c r="T76" i="8"/>
  <c r="O76" i="8"/>
  <c r="P76" i="8" s="1"/>
  <c r="Q76" i="8" s="1"/>
  <c r="R76" i="8" s="1"/>
  <c r="AH75" i="8"/>
  <c r="AI75" i="8" s="1"/>
  <c r="AD75" i="8"/>
  <c r="X75" i="8"/>
  <c r="T75" i="8"/>
  <c r="O75" i="8"/>
  <c r="P75" i="8" s="1"/>
  <c r="Q75" i="8" s="1"/>
  <c r="R75" i="8" s="1"/>
  <c r="AH74" i="8"/>
  <c r="AI74" i="8" s="1"/>
  <c r="AD74" i="8"/>
  <c r="X74" i="8"/>
  <c r="T74" i="8"/>
  <c r="O74" i="8"/>
  <c r="P74" i="8" s="1"/>
  <c r="Q74" i="8" s="1"/>
  <c r="AK73" i="8"/>
  <c r="AL73" i="8" s="1"/>
  <c r="AM73" i="8" s="1"/>
  <c r="AH73" i="8"/>
  <c r="AI73" i="8" s="1"/>
  <c r="AD73" i="8"/>
  <c r="X73" i="8"/>
  <c r="T73" i="8"/>
  <c r="P73" i="8"/>
  <c r="Q73" i="8" s="1"/>
  <c r="O73" i="8"/>
  <c r="AK72" i="8"/>
  <c r="AL72" i="8" s="1"/>
  <c r="AH72" i="8"/>
  <c r="AI72" i="8" s="1"/>
  <c r="AD72" i="8"/>
  <c r="X72" i="8"/>
  <c r="T72" i="8"/>
  <c r="U72" i="8" s="1"/>
  <c r="O72" i="8"/>
  <c r="P72" i="8" s="1"/>
  <c r="Q72" i="8" s="1"/>
  <c r="R72" i="8" s="1"/>
  <c r="AK71" i="8"/>
  <c r="AL71" i="8" s="1"/>
  <c r="AH71" i="8"/>
  <c r="AI71" i="8" s="1"/>
  <c r="AD71" i="8"/>
  <c r="X71" i="8"/>
  <c r="T71" i="8"/>
  <c r="O71" i="8"/>
  <c r="P71" i="8" s="1"/>
  <c r="Q71" i="8" s="1"/>
  <c r="R71" i="8" s="1"/>
  <c r="AK70" i="8"/>
  <c r="AL70" i="8" s="1"/>
  <c r="AH70" i="8"/>
  <c r="AI70" i="8" s="1"/>
  <c r="AD70" i="8"/>
  <c r="X70" i="8"/>
  <c r="T70" i="8"/>
  <c r="O70" i="8"/>
  <c r="P70" i="8" s="1"/>
  <c r="Q70" i="8" s="1"/>
  <c r="AK69" i="8"/>
  <c r="AL69" i="8" s="1"/>
  <c r="AH69" i="8"/>
  <c r="AI69" i="8" s="1"/>
  <c r="AD69" i="8"/>
  <c r="X69" i="8"/>
  <c r="T69" i="8"/>
  <c r="O69" i="8"/>
  <c r="P69" i="8" s="1"/>
  <c r="Q69" i="8" s="1"/>
  <c r="AK68" i="8"/>
  <c r="AL68" i="8" s="1"/>
  <c r="AH68" i="8"/>
  <c r="AI68" i="8" s="1"/>
  <c r="AD68" i="8"/>
  <c r="X68" i="8"/>
  <c r="U68" i="8"/>
  <c r="T68" i="8"/>
  <c r="O68" i="8"/>
  <c r="P68" i="8" s="1"/>
  <c r="Q68" i="8" s="1"/>
  <c r="R68" i="8" s="1"/>
  <c r="AK67" i="8"/>
  <c r="AL67" i="8" s="1"/>
  <c r="AH67" i="8"/>
  <c r="AI67" i="8" s="1"/>
  <c r="AD67" i="8"/>
  <c r="X67" i="8"/>
  <c r="T67" i="8"/>
  <c r="O67" i="8"/>
  <c r="P67" i="8" s="1"/>
  <c r="Q67" i="8" s="1"/>
  <c r="R67" i="8" s="1"/>
  <c r="AK66" i="8"/>
  <c r="AL66" i="8" s="1"/>
  <c r="AM66" i="8" s="1"/>
  <c r="AH66" i="8"/>
  <c r="AI66" i="8" s="1"/>
  <c r="AD66" i="8"/>
  <c r="X66" i="8"/>
  <c r="T66" i="8"/>
  <c r="O66" i="8"/>
  <c r="P66" i="8" s="1"/>
  <c r="Q66" i="8" s="1"/>
  <c r="U66" i="8" s="1"/>
  <c r="AK65" i="8"/>
  <c r="AL65" i="8" s="1"/>
  <c r="AM65" i="8" s="1"/>
  <c r="AH65" i="8"/>
  <c r="AI65" i="8" s="1"/>
  <c r="AD65" i="8"/>
  <c r="X65" i="8"/>
  <c r="T65" i="8"/>
  <c r="O65" i="8"/>
  <c r="P65" i="8" s="1"/>
  <c r="Q65" i="8" s="1"/>
  <c r="R65" i="8" s="1"/>
  <c r="AK64" i="8"/>
  <c r="AL64" i="8" s="1"/>
  <c r="AH64" i="8"/>
  <c r="AI64" i="8" s="1"/>
  <c r="AD64" i="8"/>
  <c r="X64" i="8"/>
  <c r="T64" i="8"/>
  <c r="O64" i="8"/>
  <c r="P64" i="8" s="1"/>
  <c r="Q64" i="8" s="1"/>
  <c r="R64" i="8" s="1"/>
  <c r="AH63" i="8"/>
  <c r="AI63" i="8" s="1"/>
  <c r="AD63" i="8"/>
  <c r="X63" i="8"/>
  <c r="T63" i="8"/>
  <c r="Q63" i="8"/>
  <c r="R63" i="8" s="1"/>
  <c r="O63" i="8"/>
  <c r="P63" i="8" s="1"/>
  <c r="AK62" i="8"/>
  <c r="AL62" i="8" s="1"/>
  <c r="AM62" i="8" s="1"/>
  <c r="AH62" i="8"/>
  <c r="AI62" i="8" s="1"/>
  <c r="AD62" i="8"/>
  <c r="X62" i="8"/>
  <c r="T62" i="8"/>
  <c r="O62" i="8"/>
  <c r="P62" i="8" s="1"/>
  <c r="Q62" i="8" s="1"/>
  <c r="AK61" i="8"/>
  <c r="AL61" i="8" s="1"/>
  <c r="AM61" i="8" s="1"/>
  <c r="AH61" i="8"/>
  <c r="AI61" i="8" s="1"/>
  <c r="AD61" i="8"/>
  <c r="X61" i="8"/>
  <c r="T61" i="8"/>
  <c r="O61" i="8"/>
  <c r="P61" i="8" s="1"/>
  <c r="Q61" i="8" s="1"/>
  <c r="R61" i="8" s="1"/>
  <c r="AH60" i="8"/>
  <c r="AI60" i="8" s="1"/>
  <c r="AD60" i="8"/>
  <c r="X60" i="8"/>
  <c r="U60" i="8"/>
  <c r="T60" i="8"/>
  <c r="O60" i="8"/>
  <c r="P60" i="8" s="1"/>
  <c r="Q60" i="8" s="1"/>
  <c r="R60" i="8" s="1"/>
  <c r="AK59" i="8"/>
  <c r="AL59" i="8" s="1"/>
  <c r="AH59" i="8"/>
  <c r="AI59" i="8" s="1"/>
  <c r="AD59" i="8"/>
  <c r="X59" i="8"/>
  <c r="T59" i="8"/>
  <c r="O59" i="8"/>
  <c r="P59" i="8" s="1"/>
  <c r="Q59" i="8" s="1"/>
  <c r="R59" i="8" s="1"/>
  <c r="AK58" i="8"/>
  <c r="AL58" i="8" s="1"/>
  <c r="AM58" i="8" s="1"/>
  <c r="AH58" i="8"/>
  <c r="AI58" i="8" s="1"/>
  <c r="AD58" i="8"/>
  <c r="X58" i="8"/>
  <c r="T58" i="8"/>
  <c r="O58" i="8"/>
  <c r="P58" i="8" s="1"/>
  <c r="Q58" i="8" s="1"/>
  <c r="U58" i="8" s="1"/>
  <c r="AK57" i="8"/>
  <c r="AL57" i="8" s="1"/>
  <c r="AM57" i="8" s="1"/>
  <c r="AH57" i="8"/>
  <c r="AI57" i="8" s="1"/>
  <c r="AD57" i="8"/>
  <c r="X57" i="8"/>
  <c r="T57" i="8"/>
  <c r="O57" i="8"/>
  <c r="P57" i="8" s="1"/>
  <c r="Q57" i="8" s="1"/>
  <c r="R57" i="8" s="1"/>
  <c r="AH56" i="8"/>
  <c r="AI56" i="8" s="1"/>
  <c r="AD56" i="8"/>
  <c r="X56" i="8"/>
  <c r="T56" i="8"/>
  <c r="O56" i="8"/>
  <c r="P56" i="8" s="1"/>
  <c r="Q56" i="8" s="1"/>
  <c r="R56" i="8" s="1"/>
  <c r="AH55" i="8"/>
  <c r="AI55" i="8" s="1"/>
  <c r="AD55" i="8"/>
  <c r="X55" i="8"/>
  <c r="T55" i="8"/>
  <c r="O55" i="8"/>
  <c r="P55" i="8" s="1"/>
  <c r="Q55" i="8" s="1"/>
  <c r="R55" i="8" s="1"/>
  <c r="AH54" i="8"/>
  <c r="AI54" i="8" s="1"/>
  <c r="AD54" i="8"/>
  <c r="X54" i="8"/>
  <c r="T54" i="8"/>
  <c r="O54" i="8"/>
  <c r="P54" i="8" s="1"/>
  <c r="Q54" i="8" s="1"/>
  <c r="AK53" i="8"/>
  <c r="AL53" i="8" s="1"/>
  <c r="AM53" i="8" s="1"/>
  <c r="AH53" i="8"/>
  <c r="AI53" i="8" s="1"/>
  <c r="AD53" i="8"/>
  <c r="X53" i="8"/>
  <c r="T53" i="8"/>
  <c r="O53" i="8"/>
  <c r="P53" i="8" s="1"/>
  <c r="Q53" i="8" s="1"/>
  <c r="R53" i="8" s="1"/>
  <c r="AK52" i="8"/>
  <c r="AL52" i="8" s="1"/>
  <c r="AH52" i="8"/>
  <c r="AI52" i="8" s="1"/>
  <c r="AD52" i="8"/>
  <c r="X52" i="8"/>
  <c r="T52" i="8"/>
  <c r="O52" i="8"/>
  <c r="P52" i="8" s="1"/>
  <c r="Q52" i="8" s="1"/>
  <c r="R52" i="8" s="1"/>
  <c r="AK51" i="8"/>
  <c r="AL51" i="8" s="1"/>
  <c r="AM51" i="8" s="1"/>
  <c r="AH51" i="8"/>
  <c r="AI51" i="8" s="1"/>
  <c r="AD51" i="8"/>
  <c r="X51" i="8"/>
  <c r="T51" i="8"/>
  <c r="O51" i="8"/>
  <c r="P51" i="8" s="1"/>
  <c r="Q51" i="8" s="1"/>
  <c r="R51" i="8" s="1"/>
  <c r="AI50" i="8"/>
  <c r="AH50" i="8"/>
  <c r="AD50" i="8"/>
  <c r="X50" i="8"/>
  <c r="T50" i="8"/>
  <c r="O50" i="8"/>
  <c r="P50" i="8" s="1"/>
  <c r="Q50" i="8" s="1"/>
  <c r="AK49" i="8"/>
  <c r="AL49" i="8" s="1"/>
  <c r="AH49" i="8"/>
  <c r="AI49" i="8" s="1"/>
  <c r="AD49" i="8"/>
  <c r="X49" i="8"/>
  <c r="T49" i="8"/>
  <c r="O49" i="8"/>
  <c r="P49" i="8" s="1"/>
  <c r="Q49" i="8" s="1"/>
  <c r="R49" i="8" s="1"/>
  <c r="AH48" i="8"/>
  <c r="AI48" i="8" s="1"/>
  <c r="AD48" i="8"/>
  <c r="X48" i="8"/>
  <c r="T48" i="8"/>
  <c r="O48" i="8"/>
  <c r="P48" i="8" s="1"/>
  <c r="Q48" i="8" s="1"/>
  <c r="AK47" i="8"/>
  <c r="AL47" i="8" s="1"/>
  <c r="AH47" i="8"/>
  <c r="AI47" i="8" s="1"/>
  <c r="AD47" i="8"/>
  <c r="X47" i="8"/>
  <c r="T47" i="8"/>
  <c r="O47" i="8"/>
  <c r="P47" i="8" s="1"/>
  <c r="Q47" i="8" s="1"/>
  <c r="R47" i="8" s="1"/>
  <c r="AK46" i="8"/>
  <c r="AL46" i="8" s="1"/>
  <c r="AM46" i="8" s="1"/>
  <c r="AH46" i="8"/>
  <c r="AI46" i="8" s="1"/>
  <c r="AD46" i="8"/>
  <c r="X46" i="8"/>
  <c r="T46" i="8"/>
  <c r="O46" i="8"/>
  <c r="P46" i="8" s="1"/>
  <c r="Q46" i="8" s="1"/>
  <c r="AK45" i="8"/>
  <c r="AL45" i="8" s="1"/>
  <c r="AM45" i="8" s="1"/>
  <c r="AH45" i="8"/>
  <c r="AI45" i="8" s="1"/>
  <c r="AD45" i="8"/>
  <c r="X45" i="8"/>
  <c r="T45" i="8"/>
  <c r="O45" i="8"/>
  <c r="P45" i="8" s="1"/>
  <c r="Q45" i="8" s="1"/>
  <c r="R45" i="8" s="1"/>
  <c r="AH44" i="8"/>
  <c r="AI44" i="8" s="1"/>
  <c r="AD44" i="8"/>
  <c r="X44" i="8"/>
  <c r="T44" i="8"/>
  <c r="O44" i="8"/>
  <c r="P44" i="8" s="1"/>
  <c r="Q44" i="8" s="1"/>
  <c r="R44" i="8" s="1"/>
  <c r="AK43" i="8"/>
  <c r="AL43" i="8" s="1"/>
  <c r="AH43" i="8"/>
  <c r="AI43" i="8" s="1"/>
  <c r="AD43" i="8"/>
  <c r="X43" i="8"/>
  <c r="T43" i="8"/>
  <c r="O43" i="8"/>
  <c r="P43" i="8" s="1"/>
  <c r="Q43" i="8" s="1"/>
  <c r="R43" i="8" s="1"/>
  <c r="AK42" i="8"/>
  <c r="AL42" i="8" s="1"/>
  <c r="AM42" i="8" s="1"/>
  <c r="AH42" i="8"/>
  <c r="AI42" i="8" s="1"/>
  <c r="AD42" i="8"/>
  <c r="X42" i="8"/>
  <c r="T42" i="8"/>
  <c r="O42" i="8"/>
  <c r="P42" i="8" s="1"/>
  <c r="Q42" i="8" s="1"/>
  <c r="AK41" i="8"/>
  <c r="AL41" i="8" s="1"/>
  <c r="AM41" i="8" s="1"/>
  <c r="AH41" i="8"/>
  <c r="AI41" i="8" s="1"/>
  <c r="AD41" i="8"/>
  <c r="X41" i="8"/>
  <c r="T41" i="8"/>
  <c r="O41" i="8"/>
  <c r="P41" i="8" s="1"/>
  <c r="Q41" i="8" s="1"/>
  <c r="R41" i="8" s="1"/>
  <c r="AH40" i="8"/>
  <c r="AI40" i="8" s="1"/>
  <c r="AD40" i="8"/>
  <c r="X40" i="8"/>
  <c r="T40" i="8"/>
  <c r="O40" i="8"/>
  <c r="P40" i="8" s="1"/>
  <c r="Q40" i="8" s="1"/>
  <c r="R40" i="8" s="1"/>
  <c r="AH39" i="8"/>
  <c r="AI39" i="8" s="1"/>
  <c r="AD39" i="8"/>
  <c r="X39" i="8"/>
  <c r="T39" i="8"/>
  <c r="O39" i="8"/>
  <c r="P39" i="8" s="1"/>
  <c r="Q39" i="8" s="1"/>
  <c r="R39" i="8" s="1"/>
  <c r="AH38" i="8"/>
  <c r="AI38" i="8" s="1"/>
  <c r="AD38" i="8"/>
  <c r="X38" i="8"/>
  <c r="T38" i="8"/>
  <c r="O38" i="8"/>
  <c r="P38" i="8" s="1"/>
  <c r="Q38" i="8" s="1"/>
  <c r="AK37" i="8"/>
  <c r="AL37" i="8" s="1"/>
  <c r="AM37" i="8" s="1"/>
  <c r="AH37" i="8"/>
  <c r="AI37" i="8" s="1"/>
  <c r="AD37" i="8"/>
  <c r="X37" i="8"/>
  <c r="T37" i="8"/>
  <c r="O37" i="8"/>
  <c r="P37" i="8" s="1"/>
  <c r="Q37" i="8" s="1"/>
  <c r="R37" i="8" s="1"/>
  <c r="AK36" i="8"/>
  <c r="AL36" i="8" s="1"/>
  <c r="AH36" i="8"/>
  <c r="AI36" i="8" s="1"/>
  <c r="AD36" i="8"/>
  <c r="X36" i="8"/>
  <c r="T36" i="8"/>
  <c r="O36" i="8"/>
  <c r="P36" i="8" s="1"/>
  <c r="Q36" i="8" s="1"/>
  <c r="R36" i="8" s="1"/>
  <c r="AK35" i="8"/>
  <c r="AL35" i="8" s="1"/>
  <c r="AH35" i="8"/>
  <c r="AI35" i="8" s="1"/>
  <c r="AD35" i="8"/>
  <c r="X35" i="8"/>
  <c r="T35" i="8"/>
  <c r="O35" i="8"/>
  <c r="P35" i="8" s="1"/>
  <c r="Q35" i="8" s="1"/>
  <c r="R35" i="8" s="1"/>
  <c r="AH34" i="8"/>
  <c r="AI34" i="8" s="1"/>
  <c r="AD34" i="8"/>
  <c r="X34" i="8"/>
  <c r="T34" i="8"/>
  <c r="O34" i="8"/>
  <c r="P34" i="8" s="1"/>
  <c r="Q34" i="8" s="1"/>
  <c r="AK33" i="8"/>
  <c r="AL33" i="8" s="1"/>
  <c r="AM33" i="8" s="1"/>
  <c r="AH33" i="8"/>
  <c r="AI33" i="8" s="1"/>
  <c r="AD33" i="8"/>
  <c r="X33" i="8"/>
  <c r="T33" i="8"/>
  <c r="O33" i="8"/>
  <c r="P33" i="8" s="1"/>
  <c r="Q33" i="8" s="1"/>
  <c r="R33" i="8" s="1"/>
  <c r="AH32" i="8"/>
  <c r="AI32" i="8" s="1"/>
  <c r="AD32" i="8"/>
  <c r="X32" i="8"/>
  <c r="T32" i="8"/>
  <c r="O32" i="8"/>
  <c r="P32" i="8" s="1"/>
  <c r="Q32" i="8" s="1"/>
  <c r="R32" i="8" s="1"/>
  <c r="AH31" i="8"/>
  <c r="AI31" i="8" s="1"/>
  <c r="AD31" i="8"/>
  <c r="X31" i="8"/>
  <c r="T31" i="8"/>
  <c r="O31" i="8"/>
  <c r="P31" i="8" s="1"/>
  <c r="Q31" i="8" s="1"/>
  <c r="R31" i="8" s="1"/>
  <c r="AK30" i="8"/>
  <c r="AL30" i="8" s="1"/>
  <c r="AH30" i="8"/>
  <c r="AI30" i="8" s="1"/>
  <c r="AD30" i="8"/>
  <c r="X30" i="8"/>
  <c r="T30" i="8"/>
  <c r="O30" i="8"/>
  <c r="P30" i="8" s="1"/>
  <c r="Q30" i="8" s="1"/>
  <c r="AK29" i="8"/>
  <c r="AL29" i="8" s="1"/>
  <c r="AM29" i="8" s="1"/>
  <c r="AH29" i="8"/>
  <c r="AI29" i="8" s="1"/>
  <c r="AD29" i="8"/>
  <c r="X29" i="8"/>
  <c r="T29" i="8"/>
  <c r="O29" i="8"/>
  <c r="P29" i="8" s="1"/>
  <c r="Q29" i="8" s="1"/>
  <c r="AK28" i="8"/>
  <c r="AL28" i="8" s="1"/>
  <c r="AH28" i="8"/>
  <c r="AI28" i="8" s="1"/>
  <c r="AD28" i="8"/>
  <c r="X28" i="8"/>
  <c r="T28" i="8"/>
  <c r="O28" i="8"/>
  <c r="P28" i="8" s="1"/>
  <c r="Q28" i="8" s="1"/>
  <c r="R28" i="8" s="1"/>
  <c r="AK27" i="8"/>
  <c r="AL27" i="8" s="1"/>
  <c r="AM27" i="8" s="1"/>
  <c r="AI27" i="8"/>
  <c r="AH27" i="8"/>
  <c r="AD27" i="8"/>
  <c r="X27" i="8"/>
  <c r="T27" i="8"/>
  <c r="O27" i="8"/>
  <c r="P27" i="8" s="1"/>
  <c r="Q27" i="8" s="1"/>
  <c r="R27" i="8" s="1"/>
  <c r="AO21" i="8"/>
  <c r="Z20" i="8"/>
  <c r="AA21" i="8" s="1"/>
  <c r="AA35" i="8" s="1"/>
  <c r="AU17" i="8"/>
  <c r="AR17" i="8"/>
  <c r="AF17" i="8"/>
  <c r="Z17" i="8"/>
  <c r="W17" i="8"/>
  <c r="V17" i="8"/>
  <c r="S17" i="8"/>
  <c r="N17" i="8"/>
  <c r="M17" i="8"/>
  <c r="L17" i="8"/>
  <c r="K17" i="8"/>
  <c r="E17" i="8"/>
  <c r="D17" i="8"/>
  <c r="C17" i="8"/>
  <c r="U36" i="9" l="1"/>
  <c r="U122" i="8"/>
  <c r="U32" i="9"/>
  <c r="U97" i="8"/>
  <c r="U48" i="9"/>
  <c r="U55" i="8"/>
  <c r="U188" i="8"/>
  <c r="U93" i="8"/>
  <c r="U195" i="8"/>
  <c r="U42" i="9"/>
  <c r="U119" i="9"/>
  <c r="U180" i="8"/>
  <c r="U76" i="9"/>
  <c r="U123" i="9"/>
  <c r="U157" i="9"/>
  <c r="U181" i="9"/>
  <c r="U103" i="8"/>
  <c r="U50" i="9"/>
  <c r="U175" i="9"/>
  <c r="U104" i="9"/>
  <c r="U75" i="8"/>
  <c r="U68" i="9"/>
  <c r="U153" i="9"/>
  <c r="AL191" i="9"/>
  <c r="AM191" i="9" s="1"/>
  <c r="AN191" i="9" s="1"/>
  <c r="U49" i="8"/>
  <c r="U143" i="8"/>
  <c r="U28" i="9"/>
  <c r="U142" i="9"/>
  <c r="U161" i="9"/>
  <c r="U178" i="9"/>
  <c r="U44" i="8"/>
  <c r="U56" i="8"/>
  <c r="U174" i="8"/>
  <c r="U38" i="9"/>
  <c r="U60" i="9"/>
  <c r="U78" i="9"/>
  <c r="U159" i="9"/>
  <c r="AL187" i="9"/>
  <c r="AM187" i="9" s="1"/>
  <c r="AN187" i="9" s="1"/>
  <c r="U90" i="9"/>
  <c r="R90" i="9"/>
  <c r="U96" i="9"/>
  <c r="U182" i="9"/>
  <c r="R182" i="9"/>
  <c r="U62" i="8"/>
  <c r="R62" i="8"/>
  <c r="U150" i="8"/>
  <c r="R150" i="8"/>
  <c r="U170" i="9"/>
  <c r="U46" i="8"/>
  <c r="R46" i="8"/>
  <c r="U113" i="8"/>
  <c r="R113" i="8"/>
  <c r="U80" i="8"/>
  <c r="R80" i="8"/>
  <c r="U92" i="8"/>
  <c r="R92" i="8"/>
  <c r="U123" i="8"/>
  <c r="R123" i="8"/>
  <c r="U154" i="8"/>
  <c r="R154" i="8"/>
  <c r="U172" i="8"/>
  <c r="U77" i="8"/>
  <c r="U138" i="8"/>
  <c r="R138" i="8"/>
  <c r="U40" i="9"/>
  <c r="R40" i="9"/>
  <c r="U94" i="9"/>
  <c r="R94" i="9"/>
  <c r="U143" i="9"/>
  <c r="R143" i="9"/>
  <c r="U179" i="9"/>
  <c r="R179" i="9"/>
  <c r="U42" i="8"/>
  <c r="R42" i="8"/>
  <c r="U118" i="8"/>
  <c r="U34" i="8"/>
  <c r="R34" i="8"/>
  <c r="R50" i="8"/>
  <c r="U50" i="8"/>
  <c r="U84" i="8"/>
  <c r="U142" i="8"/>
  <c r="R142" i="8"/>
  <c r="U189" i="8"/>
  <c r="R189" i="8"/>
  <c r="U193" i="8"/>
  <c r="U34" i="9"/>
  <c r="U92" i="9"/>
  <c r="R92" i="9"/>
  <c r="U126" i="9"/>
  <c r="AI17" i="8"/>
  <c r="U70" i="8"/>
  <c r="R70" i="8"/>
  <c r="U104" i="8"/>
  <c r="R104" i="8"/>
  <c r="U65" i="8"/>
  <c r="U86" i="9"/>
  <c r="R86" i="9"/>
  <c r="U110" i="9"/>
  <c r="U74" i="8"/>
  <c r="R74" i="8"/>
  <c r="U108" i="8"/>
  <c r="R108" i="8"/>
  <c r="U127" i="8"/>
  <c r="R127" i="8"/>
  <c r="U102" i="9"/>
  <c r="R102" i="9"/>
  <c r="U28" i="8"/>
  <c r="U85" i="8"/>
  <c r="U108" i="9"/>
  <c r="U162" i="9"/>
  <c r="AL174" i="9"/>
  <c r="U109" i="8"/>
  <c r="AN119" i="8"/>
  <c r="U159" i="8"/>
  <c r="U167" i="8"/>
  <c r="U124" i="9"/>
  <c r="U132" i="9"/>
  <c r="U155" i="9"/>
  <c r="U188" i="9"/>
  <c r="U189" i="9"/>
  <c r="U192" i="9"/>
  <c r="U94" i="8"/>
  <c r="AN51" i="8"/>
  <c r="U36" i="8"/>
  <c r="U51" i="8"/>
  <c r="U98" i="8"/>
  <c r="U149" i="8"/>
  <c r="U190" i="8"/>
  <c r="U70" i="9"/>
  <c r="U95" i="9"/>
  <c r="U100" i="9"/>
  <c r="AL169" i="9"/>
  <c r="AM169" i="9" s="1"/>
  <c r="U133" i="8"/>
  <c r="AN66" i="8"/>
  <c r="U146" i="8"/>
  <c r="U97" i="9"/>
  <c r="U99" i="9"/>
  <c r="U120" i="9"/>
  <c r="U57" i="8"/>
  <c r="U76" i="8"/>
  <c r="U136" i="8"/>
  <c r="U144" i="8"/>
  <c r="R146" i="8"/>
  <c r="U147" i="8"/>
  <c r="R82" i="9"/>
  <c r="U129" i="9"/>
  <c r="U148" i="9"/>
  <c r="U167" i="9"/>
  <c r="U52" i="9"/>
  <c r="U169" i="9"/>
  <c r="U39" i="8"/>
  <c r="U71" i="8"/>
  <c r="U183" i="8"/>
  <c r="U192" i="8"/>
  <c r="U113" i="9"/>
  <c r="U116" i="9"/>
  <c r="K53" i="1"/>
  <c r="U87" i="8"/>
  <c r="U111" i="8"/>
  <c r="U112" i="8"/>
  <c r="U128" i="8"/>
  <c r="U129" i="8"/>
  <c r="U105" i="9"/>
  <c r="AL106" i="9"/>
  <c r="AM106" i="9" s="1"/>
  <c r="AN106" i="9" s="1"/>
  <c r="AL161" i="9"/>
  <c r="AM161" i="9" s="1"/>
  <c r="AN161" i="9" s="1"/>
  <c r="T76" i="2"/>
  <c r="E81" i="6" s="1"/>
  <c r="AL88" i="9"/>
  <c r="AM88" i="9" s="1"/>
  <c r="AN88" i="9" s="1"/>
  <c r="AM153" i="8"/>
  <c r="AN153" i="8" s="1"/>
  <c r="AN46" i="8"/>
  <c r="AM154" i="8"/>
  <c r="AN154" i="8" s="1"/>
  <c r="AK27" i="9"/>
  <c r="AL27" i="9" s="1"/>
  <c r="AM27" i="9" s="1"/>
  <c r="AN27" i="9" s="1"/>
  <c r="AK29" i="9"/>
  <c r="AL29" i="9" s="1"/>
  <c r="AM29" i="9" s="1"/>
  <c r="AN29" i="9" s="1"/>
  <c r="AK65" i="9"/>
  <c r="AL65" i="9" s="1"/>
  <c r="AM65" i="9" s="1"/>
  <c r="AN65" i="9" s="1"/>
  <c r="AK77" i="9"/>
  <c r="AL77" i="9" s="1"/>
  <c r="AM77" i="9" s="1"/>
  <c r="AN77" i="9" s="1"/>
  <c r="AK83" i="9"/>
  <c r="AK100" i="9"/>
  <c r="AL100" i="9" s="1"/>
  <c r="AM100" i="9" s="1"/>
  <c r="AN100" i="9" s="1"/>
  <c r="AK103" i="9"/>
  <c r="AK105" i="9"/>
  <c r="AL105" i="9" s="1"/>
  <c r="AM105" i="9" s="1"/>
  <c r="AN105" i="9" s="1"/>
  <c r="AL107" i="9"/>
  <c r="AM107" i="9" s="1"/>
  <c r="AN107" i="9" s="1"/>
  <c r="AK108" i="9"/>
  <c r="AL108" i="9" s="1"/>
  <c r="AM108" i="9" s="1"/>
  <c r="AN108" i="9" s="1"/>
  <c r="AK119" i="9"/>
  <c r="AK131" i="9"/>
  <c r="T119" i="2" s="1"/>
  <c r="E124" i="6" s="1"/>
  <c r="F124" i="6" s="1"/>
  <c r="AK140" i="9"/>
  <c r="T128" i="2" s="1"/>
  <c r="E133" i="6" s="1"/>
  <c r="F133" i="6" s="1"/>
  <c r="AK141" i="9"/>
  <c r="AL141" i="9" s="1"/>
  <c r="AM141" i="9" s="1"/>
  <c r="AN141" i="9" s="1"/>
  <c r="AK144" i="9"/>
  <c r="AK146" i="9"/>
  <c r="AK154" i="9"/>
  <c r="AK170" i="9"/>
  <c r="AL170" i="9" s="1"/>
  <c r="AM170" i="9" s="1"/>
  <c r="AN170" i="9" s="1"/>
  <c r="AK183" i="9"/>
  <c r="AM157" i="8"/>
  <c r="AN157" i="8" s="1"/>
  <c r="AM69" i="8"/>
  <c r="AN69" i="8" s="1"/>
  <c r="AN95" i="8"/>
  <c r="AM150" i="8"/>
  <c r="AN150" i="8" s="1"/>
  <c r="AN192" i="8"/>
  <c r="AK57" i="9"/>
  <c r="AL57" i="9" s="1"/>
  <c r="AM57" i="9" s="1"/>
  <c r="AN57" i="9" s="1"/>
  <c r="AL78" i="9"/>
  <c r="AM78" i="9" s="1"/>
  <c r="AN78" i="9" s="1"/>
  <c r="AK79" i="9"/>
  <c r="T67" i="2" s="1"/>
  <c r="E72" i="6" s="1"/>
  <c r="F72" i="6" s="1"/>
  <c r="AK89" i="9"/>
  <c r="AL89" i="9" s="1"/>
  <c r="AM89" i="9" s="1"/>
  <c r="AN89" i="9" s="1"/>
  <c r="AK97" i="9"/>
  <c r="AL97" i="9" s="1"/>
  <c r="AM97" i="9" s="1"/>
  <c r="AN97" i="9" s="1"/>
  <c r="AK111" i="9"/>
  <c r="AK113" i="9"/>
  <c r="AK116" i="9"/>
  <c r="AL116" i="9" s="1"/>
  <c r="AM116" i="9" s="1"/>
  <c r="AN116" i="9" s="1"/>
  <c r="AN77" i="8"/>
  <c r="AK80" i="8"/>
  <c r="AL80" i="8" s="1"/>
  <c r="AM80" i="8" s="1"/>
  <c r="AN80" i="8" s="1"/>
  <c r="AN110" i="8"/>
  <c r="AK179" i="8"/>
  <c r="AL179" i="8" s="1"/>
  <c r="AM179" i="8" s="1"/>
  <c r="AN179" i="8" s="1"/>
  <c r="AL35" i="9"/>
  <c r="AM35" i="9" s="1"/>
  <c r="AN35" i="9" s="1"/>
  <c r="T23" i="2"/>
  <c r="E28" i="6" s="1"/>
  <c r="AL59" i="9"/>
  <c r="AM59" i="9" s="1"/>
  <c r="AN59" i="9" s="1"/>
  <c r="T47" i="2"/>
  <c r="E52" i="6" s="1"/>
  <c r="AL95" i="9"/>
  <c r="AM95" i="9" s="1"/>
  <c r="AN95" i="9" s="1"/>
  <c r="T83" i="2"/>
  <c r="E88" i="6" s="1"/>
  <c r="AK34" i="8"/>
  <c r="AL34" i="8" s="1"/>
  <c r="AM34" i="8" s="1"/>
  <c r="AN34" i="8" s="1"/>
  <c r="AN79" i="8"/>
  <c r="AM87" i="8"/>
  <c r="AN87" i="8" s="1"/>
  <c r="AK92" i="8"/>
  <c r="AL92" i="8" s="1"/>
  <c r="AM92" i="8" s="1"/>
  <c r="AN92" i="8" s="1"/>
  <c r="AK103" i="8"/>
  <c r="AL103" i="8" s="1"/>
  <c r="AM103" i="8" s="1"/>
  <c r="AN103" i="8" s="1"/>
  <c r="AM104" i="8"/>
  <c r="AN104" i="8" s="1"/>
  <c r="AN107" i="8"/>
  <c r="AM112" i="8"/>
  <c r="AN112" i="8" s="1"/>
  <c r="AK127" i="8"/>
  <c r="AL127" i="8" s="1"/>
  <c r="AM127" i="8" s="1"/>
  <c r="AN127" i="8" s="1"/>
  <c r="T63" i="2"/>
  <c r="E68" i="6" s="1"/>
  <c r="AL75" i="9"/>
  <c r="AM75" i="9" s="1"/>
  <c r="AN75" i="9" s="1"/>
  <c r="T75" i="2"/>
  <c r="E80" i="6" s="1"/>
  <c r="AL87" i="9"/>
  <c r="T87" i="2"/>
  <c r="E92" i="6" s="1"/>
  <c r="AL99" i="9"/>
  <c r="AM99" i="9" s="1"/>
  <c r="AN99" i="9" s="1"/>
  <c r="AM49" i="8"/>
  <c r="AN27" i="8"/>
  <c r="AN41" i="8"/>
  <c r="AM47" i="8"/>
  <c r="AN47" i="8" s="1"/>
  <c r="AM83" i="8"/>
  <c r="AN83" i="8" s="1"/>
  <c r="AM100" i="8"/>
  <c r="AN100" i="8" s="1"/>
  <c r="AM114" i="8"/>
  <c r="AN114" i="8" s="1"/>
  <c r="AM122" i="8"/>
  <c r="AN122" i="8" s="1"/>
  <c r="AM126" i="8"/>
  <c r="AN126" i="8" s="1"/>
  <c r="AM130" i="8"/>
  <c r="AN130" i="8" s="1"/>
  <c r="AM138" i="8"/>
  <c r="AN138" i="8" s="1"/>
  <c r="AK141" i="8"/>
  <c r="AL141" i="8" s="1"/>
  <c r="AM141" i="8" s="1"/>
  <c r="AN141" i="8" s="1"/>
  <c r="AL63" i="9"/>
  <c r="AM63" i="9" s="1"/>
  <c r="AN63" i="9" s="1"/>
  <c r="T51" i="2"/>
  <c r="E56" i="6" s="1"/>
  <c r="T103" i="2"/>
  <c r="E108" i="6" s="1"/>
  <c r="AL115" i="9"/>
  <c r="AM115" i="9" s="1"/>
  <c r="T146" i="2"/>
  <c r="E151" i="6" s="1"/>
  <c r="AL158" i="9"/>
  <c r="AM158" i="9" s="1"/>
  <c r="AN158" i="9" s="1"/>
  <c r="AN45" i="8"/>
  <c r="AN65" i="8"/>
  <c r="AN85" i="8"/>
  <c r="AM98" i="8"/>
  <c r="AN98" i="8" s="1"/>
  <c r="T154" i="2"/>
  <c r="E159" i="6" s="1"/>
  <c r="AL166" i="9"/>
  <c r="AM166" i="9" s="1"/>
  <c r="AN166" i="9" s="1"/>
  <c r="AN118" i="8"/>
  <c r="AN161" i="8"/>
  <c r="AL31" i="9"/>
  <c r="AM31" i="9" s="1"/>
  <c r="AN31" i="9" s="1"/>
  <c r="T19" i="2"/>
  <c r="E24" i="6" s="1"/>
  <c r="F24" i="6" s="1"/>
  <c r="AL47" i="9"/>
  <c r="AM47" i="9" s="1"/>
  <c r="T35" i="2"/>
  <c r="E40" i="6" s="1"/>
  <c r="F40" i="6" s="1"/>
  <c r="AL56" i="9"/>
  <c r="AM56" i="9" s="1"/>
  <c r="AN56" i="9" s="1"/>
  <c r="T44" i="2"/>
  <c r="E49" i="6" s="1"/>
  <c r="AL72" i="9"/>
  <c r="AM72" i="9" s="1"/>
  <c r="AN72" i="9" s="1"/>
  <c r="T60" i="2"/>
  <c r="E65" i="6" s="1"/>
  <c r="AL73" i="9"/>
  <c r="AM73" i="9" s="1"/>
  <c r="AN73" i="9" s="1"/>
  <c r="T61" i="2"/>
  <c r="E66" i="6" s="1"/>
  <c r="F66" i="6" s="1"/>
  <c r="AL81" i="9"/>
  <c r="T69" i="2"/>
  <c r="E74" i="6" s="1"/>
  <c r="AL101" i="9"/>
  <c r="AM101" i="9" s="1"/>
  <c r="AN101" i="9" s="1"/>
  <c r="T89" i="2"/>
  <c r="E94" i="6" s="1"/>
  <c r="AL110" i="9"/>
  <c r="AM110" i="9" s="1"/>
  <c r="AN110" i="9" s="1"/>
  <c r="T98" i="2"/>
  <c r="E103" i="6" s="1"/>
  <c r="AL117" i="9"/>
  <c r="AM117" i="9" s="1"/>
  <c r="T105" i="2"/>
  <c r="E110" i="6" s="1"/>
  <c r="AL118" i="9"/>
  <c r="AM118" i="9" s="1"/>
  <c r="AN118" i="9" s="1"/>
  <c r="T106" i="2"/>
  <c r="E111" i="6" s="1"/>
  <c r="AL122" i="9"/>
  <c r="AM122" i="9" s="1"/>
  <c r="AN122" i="9" s="1"/>
  <c r="T110" i="2"/>
  <c r="E115" i="6" s="1"/>
  <c r="AL123" i="9"/>
  <c r="AM123" i="9" s="1"/>
  <c r="AN123" i="9" s="1"/>
  <c r="T111" i="2"/>
  <c r="E116" i="6" s="1"/>
  <c r="F116" i="6" s="1"/>
  <c r="AL159" i="9"/>
  <c r="AM159" i="9" s="1"/>
  <c r="AN159" i="9" s="1"/>
  <c r="T147" i="2"/>
  <c r="E152" i="6" s="1"/>
  <c r="F152" i="6" s="1"/>
  <c r="AL165" i="9"/>
  <c r="AM165" i="9" s="1"/>
  <c r="T153" i="2"/>
  <c r="E158" i="6" s="1"/>
  <c r="AL167" i="9"/>
  <c r="T155" i="2"/>
  <c r="E160" i="6" s="1"/>
  <c r="F160" i="6" s="1"/>
  <c r="AK180" i="9"/>
  <c r="AL182" i="9"/>
  <c r="AM182" i="9" s="1"/>
  <c r="AN182" i="9" s="1"/>
  <c r="AL185" i="9"/>
  <c r="AM185" i="9" s="1"/>
  <c r="AN185" i="9" s="1"/>
  <c r="T173" i="2"/>
  <c r="E178" i="6" s="1"/>
  <c r="S66" i="2"/>
  <c r="F71" i="6" s="1"/>
  <c r="S86" i="2"/>
  <c r="F91" i="6" s="1"/>
  <c r="S90" i="2"/>
  <c r="S94" i="2"/>
  <c r="F99" i="6" s="1"/>
  <c r="S98" i="2"/>
  <c r="S102" i="2"/>
  <c r="F107" i="6" s="1"/>
  <c r="S106" i="2"/>
  <c r="S110" i="2"/>
  <c r="S114" i="2"/>
  <c r="S118" i="2"/>
  <c r="S122" i="2"/>
  <c r="S126" i="2"/>
  <c r="S130" i="2"/>
  <c r="S146" i="2"/>
  <c r="S154" i="2"/>
  <c r="S170" i="2"/>
  <c r="F175" i="6" s="1"/>
  <c r="S174" i="2"/>
  <c r="S182" i="2"/>
  <c r="AL41" i="9"/>
  <c r="AM41" i="9" s="1"/>
  <c r="T29" i="2"/>
  <c r="E34" i="6" s="1"/>
  <c r="F34" i="6" s="1"/>
  <c r="AL43" i="9"/>
  <c r="AM43" i="9" s="1"/>
  <c r="AN43" i="9" s="1"/>
  <c r="T31" i="2"/>
  <c r="E36" i="6" s="1"/>
  <c r="F36" i="6" s="1"/>
  <c r="AL45" i="9"/>
  <c r="AM45" i="9" s="1"/>
  <c r="AN45" i="9" s="1"/>
  <c r="T33" i="2"/>
  <c r="E38" i="6" s="1"/>
  <c r="F38" i="6" s="1"/>
  <c r="AL51" i="9"/>
  <c r="AM51" i="9" s="1"/>
  <c r="T39" i="2"/>
  <c r="E44" i="6" s="1"/>
  <c r="F44" i="6" s="1"/>
  <c r="AL52" i="9"/>
  <c r="AM52" i="9" s="1"/>
  <c r="AN52" i="9" s="1"/>
  <c r="T40" i="2"/>
  <c r="E45" i="6" s="1"/>
  <c r="AL53" i="9"/>
  <c r="AM53" i="9" s="1"/>
  <c r="AN53" i="9" s="1"/>
  <c r="T41" i="2"/>
  <c r="E46" i="6" s="1"/>
  <c r="F46" i="6" s="1"/>
  <c r="AL55" i="9"/>
  <c r="AM55" i="9" s="1"/>
  <c r="AN55" i="9" s="1"/>
  <c r="T43" i="2"/>
  <c r="E48" i="6" s="1"/>
  <c r="F48" i="6" s="1"/>
  <c r="AL67" i="9"/>
  <c r="AM67" i="9" s="1"/>
  <c r="T55" i="2"/>
  <c r="E60" i="6" s="1"/>
  <c r="F60" i="6" s="1"/>
  <c r="AL68" i="9"/>
  <c r="T56" i="2"/>
  <c r="E61" i="6" s="1"/>
  <c r="AL69" i="9"/>
  <c r="AM69" i="9" s="1"/>
  <c r="AN69" i="9" s="1"/>
  <c r="T57" i="2"/>
  <c r="E62" i="6" s="1"/>
  <c r="F62" i="6" s="1"/>
  <c r="AL71" i="9"/>
  <c r="AM71" i="9" s="1"/>
  <c r="AN71" i="9" s="1"/>
  <c r="T59" i="2"/>
  <c r="E64" i="6" s="1"/>
  <c r="F64" i="6" s="1"/>
  <c r="AM87" i="9"/>
  <c r="AN87" i="9" s="1"/>
  <c r="AL93" i="9"/>
  <c r="AM93" i="9" s="1"/>
  <c r="AN93" i="9" s="1"/>
  <c r="T81" i="2"/>
  <c r="E86" i="6" s="1"/>
  <c r="F86" i="6" s="1"/>
  <c r="AL102" i="9"/>
  <c r="AM102" i="9" s="1"/>
  <c r="AN102" i="9" s="1"/>
  <c r="T90" i="2"/>
  <c r="E95" i="6" s="1"/>
  <c r="F100" i="6"/>
  <c r="AL111" i="9"/>
  <c r="AM111" i="9" s="1"/>
  <c r="AN111" i="9" s="1"/>
  <c r="T99" i="2"/>
  <c r="E104" i="6" s="1"/>
  <c r="F104" i="6" s="1"/>
  <c r="AL113" i="9"/>
  <c r="AM113" i="9" s="1"/>
  <c r="AN113" i="9" s="1"/>
  <c r="T101" i="2"/>
  <c r="E106" i="6" s="1"/>
  <c r="F106" i="6" s="1"/>
  <c r="AL142" i="9"/>
  <c r="AM142" i="9" s="1"/>
  <c r="AN142" i="9" s="1"/>
  <c r="T130" i="2"/>
  <c r="E135" i="6" s="1"/>
  <c r="AL143" i="9"/>
  <c r="AM143" i="9" s="1"/>
  <c r="AN143" i="9" s="1"/>
  <c r="T131" i="2"/>
  <c r="E136" i="6" s="1"/>
  <c r="AL144" i="9"/>
  <c r="AM144" i="9" s="1"/>
  <c r="AN144" i="9" s="1"/>
  <c r="T132" i="2"/>
  <c r="E137" i="6" s="1"/>
  <c r="F137" i="6" s="1"/>
  <c r="AL162" i="9"/>
  <c r="AM162" i="9" s="1"/>
  <c r="AN162" i="9" s="1"/>
  <c r="T150" i="2"/>
  <c r="E155" i="6" s="1"/>
  <c r="F155" i="6" s="1"/>
  <c r="F167" i="6"/>
  <c r="AL181" i="9"/>
  <c r="AM181" i="9" s="1"/>
  <c r="T169" i="2"/>
  <c r="E174" i="6" s="1"/>
  <c r="F174" i="6" s="1"/>
  <c r="F180" i="6"/>
  <c r="S23" i="2"/>
  <c r="S27" i="2"/>
  <c r="S47" i="2"/>
  <c r="S51" i="2"/>
  <c r="S63" i="2"/>
  <c r="S75" i="2"/>
  <c r="S79" i="2"/>
  <c r="S83" i="2"/>
  <c r="S87" i="2"/>
  <c r="S103" i="2"/>
  <c r="S131" i="2"/>
  <c r="S135" i="2"/>
  <c r="F140" i="6" s="1"/>
  <c r="S171" i="2"/>
  <c r="S179" i="2"/>
  <c r="F184" i="6" s="1"/>
  <c r="S183" i="2"/>
  <c r="F181" i="6"/>
  <c r="AL39" i="9"/>
  <c r="AM39" i="9" s="1"/>
  <c r="AN39" i="9" s="1"/>
  <c r="T27" i="2"/>
  <c r="E32" i="6" s="1"/>
  <c r="F32" i="6" s="1"/>
  <c r="AL48" i="9"/>
  <c r="AM48" i="9" s="1"/>
  <c r="AN48" i="9" s="1"/>
  <c r="T36" i="2"/>
  <c r="E41" i="6" s="1"/>
  <c r="AL49" i="9"/>
  <c r="AM49" i="9" s="1"/>
  <c r="AN49" i="9" s="1"/>
  <c r="T37" i="2"/>
  <c r="E42" i="6" s="1"/>
  <c r="F42" i="6" s="1"/>
  <c r="AL64" i="9"/>
  <c r="AM64" i="9" s="1"/>
  <c r="AN64" i="9" s="1"/>
  <c r="T52" i="2"/>
  <c r="E57" i="6" s="1"/>
  <c r="F77" i="6"/>
  <c r="AL91" i="9"/>
  <c r="AM91" i="9" s="1"/>
  <c r="AN91" i="9" s="1"/>
  <c r="T79" i="2"/>
  <c r="E84" i="6" s="1"/>
  <c r="AL103" i="9"/>
  <c r="AM103" i="9" s="1"/>
  <c r="AN103" i="9" s="1"/>
  <c r="T91" i="2"/>
  <c r="E96" i="6" s="1"/>
  <c r="F96" i="6" s="1"/>
  <c r="T93" i="2"/>
  <c r="E98" i="6" s="1"/>
  <c r="F98" i="6" s="1"/>
  <c r="AL109" i="9"/>
  <c r="AM109" i="9" s="1"/>
  <c r="AN109" i="9" s="1"/>
  <c r="T97" i="2"/>
  <c r="E102" i="6" s="1"/>
  <c r="AL120" i="9"/>
  <c r="T108" i="2"/>
  <c r="E113" i="6" s="1"/>
  <c r="F113" i="6" s="1"/>
  <c r="AL125" i="9"/>
  <c r="AM125" i="9" s="1"/>
  <c r="AN125" i="9" s="1"/>
  <c r="T113" i="2"/>
  <c r="E118" i="6" s="1"/>
  <c r="AL126" i="9"/>
  <c r="AM126" i="9" s="1"/>
  <c r="T114" i="2"/>
  <c r="E119" i="6" s="1"/>
  <c r="AL127" i="9"/>
  <c r="AM127" i="9" s="1"/>
  <c r="AN127" i="9" s="1"/>
  <c r="T115" i="2"/>
  <c r="E120" i="6" s="1"/>
  <c r="F120" i="6" s="1"/>
  <c r="AL130" i="9"/>
  <c r="AM130" i="9" s="1"/>
  <c r="AN130" i="9" s="1"/>
  <c r="T118" i="2"/>
  <c r="E123" i="6" s="1"/>
  <c r="AL134" i="9"/>
  <c r="AM134" i="9" s="1"/>
  <c r="AN134" i="9" s="1"/>
  <c r="T122" i="2"/>
  <c r="E127" i="6" s="1"/>
  <c r="AL135" i="9"/>
  <c r="AM135" i="9" s="1"/>
  <c r="T123" i="2"/>
  <c r="E128" i="6" s="1"/>
  <c r="F128" i="6" s="1"/>
  <c r="AL138" i="9"/>
  <c r="AM138" i="9" s="1"/>
  <c r="AN138" i="9" s="1"/>
  <c r="T126" i="2"/>
  <c r="E131" i="6" s="1"/>
  <c r="AL146" i="9"/>
  <c r="AM146" i="9" s="1"/>
  <c r="AN146" i="9" s="1"/>
  <c r="T134" i="2"/>
  <c r="E139" i="6" s="1"/>
  <c r="F139" i="6" s="1"/>
  <c r="F141" i="6"/>
  <c r="AL152" i="9"/>
  <c r="AM152" i="9" s="1"/>
  <c r="T140" i="2"/>
  <c r="E145" i="6" s="1"/>
  <c r="F145" i="6" s="1"/>
  <c r="F148" i="6"/>
  <c r="AL164" i="9"/>
  <c r="AM164" i="9" s="1"/>
  <c r="AN164" i="9" s="1"/>
  <c r="T152" i="2"/>
  <c r="E157" i="6" s="1"/>
  <c r="AL173" i="9"/>
  <c r="AM173" i="9" s="1"/>
  <c r="AN173" i="9" s="1"/>
  <c r="T161" i="2"/>
  <c r="E166" i="6" s="1"/>
  <c r="AL176" i="9"/>
  <c r="AM176" i="9" s="1"/>
  <c r="AN176" i="9" s="1"/>
  <c r="T164" i="2"/>
  <c r="E169" i="6" s="1"/>
  <c r="F169" i="6" s="1"/>
  <c r="AL177" i="9"/>
  <c r="AM177" i="9" s="1"/>
  <c r="AN177" i="9" s="1"/>
  <c r="T165" i="2"/>
  <c r="E170" i="6" s="1"/>
  <c r="F170" i="6" s="1"/>
  <c r="AL186" i="9"/>
  <c r="AM186" i="9" s="1"/>
  <c r="AN186" i="9" s="1"/>
  <c r="T174" i="2"/>
  <c r="E179" i="6" s="1"/>
  <c r="F179" i="6" s="1"/>
  <c r="AL189" i="9"/>
  <c r="AM189" i="9" s="1"/>
  <c r="AN189" i="9" s="1"/>
  <c r="T177" i="2"/>
  <c r="E182" i="6" s="1"/>
  <c r="F182" i="6" s="1"/>
  <c r="AL192" i="9"/>
  <c r="AM192" i="9" s="1"/>
  <c r="AN192" i="9" s="1"/>
  <c r="T180" i="2"/>
  <c r="E185" i="6" s="1"/>
  <c r="F185" i="6" s="1"/>
  <c r="AL195" i="9"/>
  <c r="AM195" i="9" s="1"/>
  <c r="AN195" i="9" s="1"/>
  <c r="T183" i="2"/>
  <c r="E188" i="6" s="1"/>
  <c r="S36" i="2"/>
  <c r="S40" i="2"/>
  <c r="S44" i="2"/>
  <c r="S48" i="2"/>
  <c r="S52" i="2"/>
  <c r="S56" i="2"/>
  <c r="S60" i="2"/>
  <c r="S68" i="2"/>
  <c r="S76" i="2"/>
  <c r="S152" i="2"/>
  <c r="S160" i="2"/>
  <c r="AN49" i="8"/>
  <c r="AM117" i="8"/>
  <c r="AN117" i="8" s="1"/>
  <c r="AM133" i="8"/>
  <c r="AM156" i="8"/>
  <c r="AN156" i="8" s="1"/>
  <c r="AN172" i="8"/>
  <c r="AM187" i="8"/>
  <c r="AM189" i="8"/>
  <c r="AN189" i="8" s="1"/>
  <c r="AM190" i="8"/>
  <c r="AN190" i="8" s="1"/>
  <c r="AK33" i="9"/>
  <c r="AK37" i="9"/>
  <c r="AL60" i="9"/>
  <c r="AM60" i="9" s="1"/>
  <c r="AN60" i="9" s="1"/>
  <c r="T48" i="2"/>
  <c r="E53" i="6" s="1"/>
  <c r="AK61" i="9"/>
  <c r="AL79" i="9"/>
  <c r="AM79" i="9" s="1"/>
  <c r="AN79" i="9" s="1"/>
  <c r="AK80" i="9"/>
  <c r="AM81" i="9"/>
  <c r="AN81" i="9" s="1"/>
  <c r="AL84" i="9"/>
  <c r="AM84" i="9" s="1"/>
  <c r="AN84" i="9" s="1"/>
  <c r="AK85" i="9"/>
  <c r="AL98" i="9"/>
  <c r="AL114" i="9"/>
  <c r="AM114" i="9" s="1"/>
  <c r="AN114" i="9" s="1"/>
  <c r="AL133" i="9"/>
  <c r="AM133" i="9" s="1"/>
  <c r="AN133" i="9" s="1"/>
  <c r="T121" i="2"/>
  <c r="E126" i="6" s="1"/>
  <c r="AL147" i="9"/>
  <c r="AM147" i="9" s="1"/>
  <c r="AN147" i="9" s="1"/>
  <c r="AL148" i="9"/>
  <c r="AM148" i="9" s="1"/>
  <c r="AN148" i="9" s="1"/>
  <c r="AL155" i="9"/>
  <c r="AL157" i="9"/>
  <c r="AM157" i="9" s="1"/>
  <c r="AN157" i="9" s="1"/>
  <c r="T145" i="2"/>
  <c r="E150" i="6" s="1"/>
  <c r="AN165" i="9"/>
  <c r="AL172" i="9"/>
  <c r="AM172" i="9" s="1"/>
  <c r="AN172" i="9" s="1"/>
  <c r="T160" i="2"/>
  <c r="E165" i="6" s="1"/>
  <c r="AN181" i="9"/>
  <c r="AL194" i="9"/>
  <c r="AM194" i="9" s="1"/>
  <c r="AN194" i="9" s="1"/>
  <c r="T182" i="2"/>
  <c r="E187" i="6" s="1"/>
  <c r="S69" i="2"/>
  <c r="S73" i="2"/>
  <c r="S89" i="2"/>
  <c r="S97" i="2"/>
  <c r="S105" i="2"/>
  <c r="S113" i="2"/>
  <c r="S121" i="2"/>
  <c r="S145" i="2"/>
  <c r="S149" i="2"/>
  <c r="F154" i="6" s="1"/>
  <c r="S153" i="2"/>
  <c r="S157" i="2"/>
  <c r="F162" i="6" s="1"/>
  <c r="S161" i="2"/>
  <c r="S173" i="2"/>
  <c r="AA195" i="9"/>
  <c r="AA191" i="9"/>
  <c r="AA186" i="9"/>
  <c r="AA182" i="9"/>
  <c r="AA194" i="9"/>
  <c r="AA190" i="9"/>
  <c r="AA185" i="9"/>
  <c r="AA192" i="9"/>
  <c r="AA189" i="9"/>
  <c r="AA188" i="9"/>
  <c r="AA184" i="9"/>
  <c r="AA180" i="9"/>
  <c r="AA183" i="9"/>
  <c r="AA179" i="9"/>
  <c r="AA181" i="9"/>
  <c r="AA173" i="9"/>
  <c r="AA169" i="9"/>
  <c r="AA165" i="9"/>
  <c r="AA161" i="9"/>
  <c r="AA157" i="9"/>
  <c r="AA153" i="9"/>
  <c r="AA177" i="9"/>
  <c r="AA172" i="9"/>
  <c r="AA168" i="9"/>
  <c r="AA164" i="9"/>
  <c r="AA160" i="9"/>
  <c r="AA193" i="9"/>
  <c r="AA187" i="9"/>
  <c r="AA176" i="9"/>
  <c r="AA175" i="9"/>
  <c r="AA170" i="9"/>
  <c r="AA167" i="9"/>
  <c r="AA162" i="9"/>
  <c r="AA159" i="9"/>
  <c r="AA156" i="9"/>
  <c r="AA178" i="9"/>
  <c r="AA151" i="9"/>
  <c r="AA147" i="9"/>
  <c r="AA143" i="9"/>
  <c r="AA139" i="9"/>
  <c r="AA163" i="9"/>
  <c r="AA158" i="9"/>
  <c r="AA155" i="9"/>
  <c r="AA148" i="9"/>
  <c r="AA145" i="9"/>
  <c r="AA138" i="9"/>
  <c r="AA134" i="9"/>
  <c r="AA130" i="9"/>
  <c r="AA126" i="9"/>
  <c r="AA122" i="9"/>
  <c r="AA118" i="9"/>
  <c r="AA114" i="9"/>
  <c r="AA110" i="9"/>
  <c r="AA106" i="9"/>
  <c r="AA102" i="9"/>
  <c r="AA171" i="9"/>
  <c r="AA166" i="9"/>
  <c r="AA150" i="9"/>
  <c r="AA144" i="9"/>
  <c r="AA141" i="9"/>
  <c r="AA137" i="9"/>
  <c r="AA133" i="9"/>
  <c r="AA129" i="9"/>
  <c r="AA125" i="9"/>
  <c r="AA121" i="9"/>
  <c r="AA174" i="9"/>
  <c r="AA154" i="9"/>
  <c r="AA149" i="9"/>
  <c r="AA142" i="9"/>
  <c r="AA152" i="9"/>
  <c r="AA136" i="9"/>
  <c r="AA131" i="9"/>
  <c r="AA128" i="9"/>
  <c r="AA123" i="9"/>
  <c r="AA140" i="9"/>
  <c r="AA120" i="9"/>
  <c r="AA113" i="9"/>
  <c r="AA107" i="9"/>
  <c r="AA104" i="9"/>
  <c r="AA98" i="9"/>
  <c r="AA94" i="9"/>
  <c r="AA146" i="9"/>
  <c r="AA132" i="9"/>
  <c r="AA124" i="9"/>
  <c r="AA119" i="9"/>
  <c r="AA135" i="9"/>
  <c r="AA127" i="9"/>
  <c r="AA115" i="9"/>
  <c r="AA112" i="9"/>
  <c r="AA105" i="9"/>
  <c r="AA99" i="9"/>
  <c r="AA96" i="9"/>
  <c r="AA92" i="9"/>
  <c r="AA117" i="9"/>
  <c r="AA109" i="9"/>
  <c r="AA101" i="9"/>
  <c r="AA93" i="9"/>
  <c r="AA88" i="9"/>
  <c r="AA84" i="9"/>
  <c r="AA80" i="9"/>
  <c r="AA116" i="9"/>
  <c r="AA108" i="9"/>
  <c r="AA100" i="9"/>
  <c r="AA95" i="9"/>
  <c r="AA87" i="9"/>
  <c r="AA83" i="9"/>
  <c r="AA79" i="9"/>
  <c r="AA111" i="9"/>
  <c r="AA103" i="9"/>
  <c r="AA97" i="9"/>
  <c r="AA90" i="9"/>
  <c r="AA86" i="9"/>
  <c r="AA82" i="9"/>
  <c r="AA78" i="9"/>
  <c r="AA91" i="9"/>
  <c r="AA89" i="9"/>
  <c r="AA85" i="9"/>
  <c r="AA76" i="9"/>
  <c r="AA72" i="9"/>
  <c r="AA68" i="9"/>
  <c r="AA64" i="9"/>
  <c r="AA60" i="9"/>
  <c r="AA56" i="9"/>
  <c r="AA52" i="9"/>
  <c r="AA48" i="9"/>
  <c r="AA44" i="9"/>
  <c r="AA40" i="9"/>
  <c r="AA36" i="9"/>
  <c r="AA32" i="9"/>
  <c r="AA28" i="9"/>
  <c r="AA63" i="9"/>
  <c r="AA59" i="9"/>
  <c r="AA55" i="9"/>
  <c r="AA51" i="9"/>
  <c r="AA75" i="9"/>
  <c r="AA71" i="9"/>
  <c r="AA67" i="9"/>
  <c r="AA77" i="9"/>
  <c r="AA74" i="9"/>
  <c r="AA70" i="9"/>
  <c r="AA66" i="9"/>
  <c r="AA62" i="9"/>
  <c r="AA58" i="9"/>
  <c r="AA54" i="9"/>
  <c r="AA50" i="9"/>
  <c r="AA46" i="9"/>
  <c r="AA42" i="9"/>
  <c r="AA38" i="9"/>
  <c r="AA34" i="9"/>
  <c r="AA30" i="9"/>
  <c r="AA81" i="9"/>
  <c r="AA73" i="9"/>
  <c r="AA65" i="9"/>
  <c r="AA57" i="9"/>
  <c r="AA49" i="9"/>
  <c r="AA41" i="9"/>
  <c r="AA33" i="9"/>
  <c r="AA61" i="9"/>
  <c r="AA45" i="9"/>
  <c r="AA29" i="9"/>
  <c r="AA43" i="9"/>
  <c r="AA35" i="9"/>
  <c r="AA27" i="9"/>
  <c r="AA69" i="9"/>
  <c r="AA53" i="9"/>
  <c r="AA37" i="9"/>
  <c r="AA47" i="9"/>
  <c r="AA39" i="9"/>
  <c r="AA31" i="9"/>
  <c r="U35" i="9"/>
  <c r="AI17" i="9"/>
  <c r="R30" i="9"/>
  <c r="R38" i="9"/>
  <c r="U41" i="9"/>
  <c r="AK46" i="9"/>
  <c r="R54" i="9"/>
  <c r="AK58" i="9"/>
  <c r="R62" i="9"/>
  <c r="R70" i="9"/>
  <c r="AK74" i="9"/>
  <c r="R79" i="9"/>
  <c r="U79" i="9"/>
  <c r="AK28" i="9"/>
  <c r="U31" i="9"/>
  <c r="AK36" i="9"/>
  <c r="U39" i="9"/>
  <c r="AK44" i="9"/>
  <c r="U47" i="9"/>
  <c r="U27" i="9"/>
  <c r="T17" i="9"/>
  <c r="AK32" i="9"/>
  <c r="AK40" i="9"/>
  <c r="AN41" i="9"/>
  <c r="U43" i="9"/>
  <c r="AN51" i="9"/>
  <c r="AN67" i="9"/>
  <c r="X20" i="9"/>
  <c r="Y21" i="9" s="1"/>
  <c r="F32" i="1" s="1"/>
  <c r="AK30" i="9"/>
  <c r="U33" i="9"/>
  <c r="AK38" i="9"/>
  <c r="R46" i="9"/>
  <c r="AN47" i="9"/>
  <c r="U49" i="9"/>
  <c r="AK50" i="9"/>
  <c r="U55" i="9"/>
  <c r="U57" i="9"/>
  <c r="U63" i="9"/>
  <c r="U65" i="9"/>
  <c r="AK66" i="9"/>
  <c r="U71" i="9"/>
  <c r="U73" i="9"/>
  <c r="AK76" i="9"/>
  <c r="U29" i="9"/>
  <c r="AK34" i="9"/>
  <c r="U37" i="9"/>
  <c r="AK42" i="9"/>
  <c r="U45" i="9"/>
  <c r="R50" i="9"/>
  <c r="U51" i="9"/>
  <c r="U53" i="9"/>
  <c r="AK54" i="9"/>
  <c r="U56" i="9"/>
  <c r="R58" i="9"/>
  <c r="U59" i="9"/>
  <c r="U61" i="9"/>
  <c r="AK62" i="9"/>
  <c r="U64" i="9"/>
  <c r="R66" i="9"/>
  <c r="U67" i="9"/>
  <c r="U69" i="9"/>
  <c r="AK70" i="9"/>
  <c r="U72" i="9"/>
  <c r="R74" i="9"/>
  <c r="U75" i="9"/>
  <c r="AK82" i="9"/>
  <c r="R88" i="9"/>
  <c r="U88" i="9"/>
  <c r="R103" i="9"/>
  <c r="U103" i="9"/>
  <c r="AM68" i="9"/>
  <c r="AN68" i="9" s="1"/>
  <c r="R78" i="9"/>
  <c r="U85" i="9"/>
  <c r="U89" i="9"/>
  <c r="U77" i="9"/>
  <c r="U81" i="9"/>
  <c r="U83" i="9"/>
  <c r="R83" i="9"/>
  <c r="U84" i="9"/>
  <c r="U80" i="9"/>
  <c r="R111" i="9"/>
  <c r="U111" i="9"/>
  <c r="AK92" i="9"/>
  <c r="AK86" i="9"/>
  <c r="R87" i="9"/>
  <c r="AK90" i="9"/>
  <c r="U91" i="9"/>
  <c r="U93" i="9"/>
  <c r="R98" i="9"/>
  <c r="R118" i="9"/>
  <c r="R122" i="9"/>
  <c r="U122" i="9"/>
  <c r="R139" i="9"/>
  <c r="U139" i="9"/>
  <c r="AK151" i="9"/>
  <c r="Y93" i="9"/>
  <c r="AB93" i="9" s="1"/>
  <c r="AC93" i="9" s="1"/>
  <c r="AE93" i="9" s="1"/>
  <c r="AK96" i="9"/>
  <c r="U107" i="9"/>
  <c r="U115" i="9"/>
  <c r="AN115" i="9"/>
  <c r="AN117" i="9"/>
  <c r="AK121" i="9"/>
  <c r="R144" i="9"/>
  <c r="U144" i="9"/>
  <c r="AK156" i="9"/>
  <c r="AK94" i="9"/>
  <c r="AK104" i="9"/>
  <c r="U106" i="9"/>
  <c r="R106" i="9"/>
  <c r="AK112" i="9"/>
  <c r="R114" i="9"/>
  <c r="U114" i="9"/>
  <c r="AN126" i="9"/>
  <c r="R138" i="9"/>
  <c r="U138" i="9"/>
  <c r="U101" i="9"/>
  <c r="U117" i="9"/>
  <c r="R130" i="9"/>
  <c r="U130" i="9"/>
  <c r="AK132" i="9"/>
  <c r="R134" i="9"/>
  <c r="U134" i="9"/>
  <c r="AK137" i="9"/>
  <c r="U121" i="9"/>
  <c r="AK124" i="9"/>
  <c r="AK129" i="9"/>
  <c r="R145" i="9"/>
  <c r="U145" i="9"/>
  <c r="R183" i="9"/>
  <c r="U183" i="9"/>
  <c r="AM98" i="9"/>
  <c r="AN98" i="9" s="1"/>
  <c r="U109" i="9"/>
  <c r="U127" i="9"/>
  <c r="U131" i="9"/>
  <c r="U135" i="9"/>
  <c r="AN135" i="9"/>
  <c r="AK145" i="9"/>
  <c r="R151" i="9"/>
  <c r="U151" i="9"/>
  <c r="U152" i="9"/>
  <c r="U137" i="9"/>
  <c r="AK193" i="9"/>
  <c r="U141" i="9"/>
  <c r="Y142" i="9"/>
  <c r="AK150" i="9"/>
  <c r="AN152" i="9"/>
  <c r="AK153" i="9"/>
  <c r="R166" i="9"/>
  <c r="U166" i="9"/>
  <c r="AK171" i="9"/>
  <c r="AM120" i="9"/>
  <c r="AN120" i="9" s="1"/>
  <c r="U125" i="9"/>
  <c r="U128" i="9"/>
  <c r="AK128" i="9"/>
  <c r="U133" i="9"/>
  <c r="U136" i="9"/>
  <c r="AK136" i="9"/>
  <c r="AK139" i="9"/>
  <c r="U140" i="9"/>
  <c r="R147" i="9"/>
  <c r="AK149" i="9"/>
  <c r="R158" i="9"/>
  <c r="U158" i="9"/>
  <c r="AK184" i="9"/>
  <c r="U146" i="9"/>
  <c r="AK163" i="9"/>
  <c r="AK168" i="9"/>
  <c r="U172" i="9"/>
  <c r="R173" i="9"/>
  <c r="U173" i="9"/>
  <c r="U150" i="9"/>
  <c r="U154" i="9"/>
  <c r="U156" i="9"/>
  <c r="AK160" i="9"/>
  <c r="U164" i="9"/>
  <c r="R165" i="9"/>
  <c r="U165" i="9"/>
  <c r="AN169" i="9"/>
  <c r="U174" i="9"/>
  <c r="R187" i="9"/>
  <c r="U187" i="9"/>
  <c r="AM155" i="9"/>
  <c r="AN155" i="9" s="1"/>
  <c r="U160" i="9"/>
  <c r="U163" i="9"/>
  <c r="U168" i="9"/>
  <c r="U171" i="9"/>
  <c r="AM174" i="9"/>
  <c r="AN174" i="9" s="1"/>
  <c r="U177" i="9"/>
  <c r="R177" i="9"/>
  <c r="R180" i="9"/>
  <c r="U180" i="9"/>
  <c r="AM167" i="9"/>
  <c r="AN167" i="9" s="1"/>
  <c r="AK175" i="9"/>
  <c r="R176" i="9"/>
  <c r="U176" i="9"/>
  <c r="AK179" i="9"/>
  <c r="R184" i="9"/>
  <c r="U184" i="9"/>
  <c r="AK190" i="9"/>
  <c r="U194" i="9"/>
  <c r="R195" i="9"/>
  <c r="U195" i="9"/>
  <c r="AK178" i="9"/>
  <c r="U185" i="9"/>
  <c r="R186" i="9"/>
  <c r="U186" i="9"/>
  <c r="U191" i="9"/>
  <c r="U190" i="9"/>
  <c r="U193" i="9"/>
  <c r="AM188" i="9"/>
  <c r="AN188" i="9" s="1"/>
  <c r="AK31" i="8"/>
  <c r="AL31" i="8" s="1"/>
  <c r="AM31" i="8" s="1"/>
  <c r="AN31" i="8" s="1"/>
  <c r="R130" i="8"/>
  <c r="U130" i="8"/>
  <c r="U33" i="8"/>
  <c r="R29" i="8"/>
  <c r="U29" i="8"/>
  <c r="R95" i="8"/>
  <c r="U95" i="8"/>
  <c r="AN33" i="8"/>
  <c r="R48" i="8"/>
  <c r="U48" i="8"/>
  <c r="AN73" i="8"/>
  <c r="AA193" i="8"/>
  <c r="AA189" i="8"/>
  <c r="AA194" i="8"/>
  <c r="AA190" i="8"/>
  <c r="AA195" i="8"/>
  <c r="AA188" i="8"/>
  <c r="AA192" i="8"/>
  <c r="AA191" i="8"/>
  <c r="AA184" i="8"/>
  <c r="AA187" i="8"/>
  <c r="AA185" i="8"/>
  <c r="AA186" i="8"/>
  <c r="AA183" i="8"/>
  <c r="AA182" i="8"/>
  <c r="AA178" i="8"/>
  <c r="AA179" i="8"/>
  <c r="AA180" i="8"/>
  <c r="AA172" i="8"/>
  <c r="AA168" i="8"/>
  <c r="AA164" i="8"/>
  <c r="AA160" i="8"/>
  <c r="AA176" i="8"/>
  <c r="AA175" i="8"/>
  <c r="AA173" i="8"/>
  <c r="AA169" i="8"/>
  <c r="AA165" i="8"/>
  <c r="AA161" i="8"/>
  <c r="AA177" i="8"/>
  <c r="AA174" i="8"/>
  <c r="AA170" i="8"/>
  <c r="AA166" i="8"/>
  <c r="AA162" i="8"/>
  <c r="AA167" i="8"/>
  <c r="AA163" i="8"/>
  <c r="AA157" i="8"/>
  <c r="AA153" i="8"/>
  <c r="AA171" i="8"/>
  <c r="AA158" i="8"/>
  <c r="AA154" i="8"/>
  <c r="AA150" i="8"/>
  <c r="AA181" i="8"/>
  <c r="AA156" i="8"/>
  <c r="AA155" i="8"/>
  <c r="AA145" i="8"/>
  <c r="AA141" i="8"/>
  <c r="AA152" i="8"/>
  <c r="AA146" i="8"/>
  <c r="AA142" i="8"/>
  <c r="AA138" i="8"/>
  <c r="AA144" i="8"/>
  <c r="AA143" i="8"/>
  <c r="AA134" i="8"/>
  <c r="AA130" i="8"/>
  <c r="AA126" i="8"/>
  <c r="AA122" i="8"/>
  <c r="AA118" i="8"/>
  <c r="AA159" i="8"/>
  <c r="AA149" i="8"/>
  <c r="AA148" i="8"/>
  <c r="AA140" i="8"/>
  <c r="AA139" i="8"/>
  <c r="AA135" i="8"/>
  <c r="AA131" i="8"/>
  <c r="AA127" i="8"/>
  <c r="AA123" i="8"/>
  <c r="AA119" i="8"/>
  <c r="AA115" i="8"/>
  <c r="AA111" i="8"/>
  <c r="AA147" i="8"/>
  <c r="AA136" i="8"/>
  <c r="AA129" i="8"/>
  <c r="AA128" i="8"/>
  <c r="AA116" i="8"/>
  <c r="AA110" i="8"/>
  <c r="AA107" i="8"/>
  <c r="AA103" i="8"/>
  <c r="AA99" i="8"/>
  <c r="AA95" i="8"/>
  <c r="AA91" i="8"/>
  <c r="AA125" i="8"/>
  <c r="AA124" i="8"/>
  <c r="AA114" i="8"/>
  <c r="AA113" i="8"/>
  <c r="AA108" i="8"/>
  <c r="AA104" i="8"/>
  <c r="AA100" i="8"/>
  <c r="AA96" i="8"/>
  <c r="AA92" i="8"/>
  <c r="AA88" i="8"/>
  <c r="AA84" i="8"/>
  <c r="AA80" i="8"/>
  <c r="AA137" i="8"/>
  <c r="AA133" i="8"/>
  <c r="AA121" i="8"/>
  <c r="AA120" i="8"/>
  <c r="AA109" i="8"/>
  <c r="AA94" i="8"/>
  <c r="AA93" i="8"/>
  <c r="AA89" i="8"/>
  <c r="AA83" i="8"/>
  <c r="AA82" i="8"/>
  <c r="AA77" i="8"/>
  <c r="AA73" i="8"/>
  <c r="AA69" i="8"/>
  <c r="AA65" i="8"/>
  <c r="AA106" i="8"/>
  <c r="AA105" i="8"/>
  <c r="AA90" i="8"/>
  <c r="AA87" i="8"/>
  <c r="AA86" i="8"/>
  <c r="AA78" i="8"/>
  <c r="AA74" i="8"/>
  <c r="AA70" i="8"/>
  <c r="AA66" i="8"/>
  <c r="AA62" i="8"/>
  <c r="AA58" i="8"/>
  <c r="AA54" i="8"/>
  <c r="AA50" i="8"/>
  <c r="AA46" i="8"/>
  <c r="AA42" i="8"/>
  <c r="AA38" i="8"/>
  <c r="AA151" i="8"/>
  <c r="AA98" i="8"/>
  <c r="AA72" i="8"/>
  <c r="AA71" i="8"/>
  <c r="AA55" i="8"/>
  <c r="AA49" i="8"/>
  <c r="AA48" i="8"/>
  <c r="AA39" i="8"/>
  <c r="AA34" i="8"/>
  <c r="AA30" i="8"/>
  <c r="AA102" i="8"/>
  <c r="AA67" i="8"/>
  <c r="AA52" i="8"/>
  <c r="AA43" i="8"/>
  <c r="AA37" i="8"/>
  <c r="AA36" i="8"/>
  <c r="AA132" i="8"/>
  <c r="AA101" i="8"/>
  <c r="AA81" i="8"/>
  <c r="AA68" i="8"/>
  <c r="AA59" i="8"/>
  <c r="AA53" i="8"/>
  <c r="AA117" i="8"/>
  <c r="AA112" i="8"/>
  <c r="AA75" i="8"/>
  <c r="AA27" i="8"/>
  <c r="AA79" i="8"/>
  <c r="AA76" i="8"/>
  <c r="AA60" i="8"/>
  <c r="AA57" i="8"/>
  <c r="AA56" i="8"/>
  <c r="AA51" i="8"/>
  <c r="AA31" i="8"/>
  <c r="AA85" i="8"/>
  <c r="AA64" i="8"/>
  <c r="AA97" i="8"/>
  <c r="AA63" i="8"/>
  <c r="AA61" i="8"/>
  <c r="AA47" i="8"/>
  <c r="AA44" i="8"/>
  <c r="AA41" i="8"/>
  <c r="AA40" i="8"/>
  <c r="AA29" i="8"/>
  <c r="AA28" i="8"/>
  <c r="AA45" i="8"/>
  <c r="AA32" i="8"/>
  <c r="U27" i="8"/>
  <c r="T17" i="8"/>
  <c r="U30" i="8"/>
  <c r="R30" i="8"/>
  <c r="U32" i="8"/>
  <c r="AA33" i="8"/>
  <c r="U37" i="8"/>
  <c r="R38" i="8"/>
  <c r="U38" i="8"/>
  <c r="R54" i="8"/>
  <c r="U54" i="8"/>
  <c r="AN62" i="8"/>
  <c r="R90" i="8"/>
  <c r="U90" i="8"/>
  <c r="R106" i="8"/>
  <c r="U106" i="8"/>
  <c r="X20" i="8"/>
  <c r="Y21" i="8" s="1"/>
  <c r="Y99" i="8" s="1"/>
  <c r="AB99" i="8" s="1"/>
  <c r="AC99" i="8" s="1"/>
  <c r="AE99" i="8" s="1"/>
  <c r="AM30" i="8"/>
  <c r="AN30" i="8" s="1"/>
  <c r="Y37" i="8"/>
  <c r="AB37" i="8" s="1"/>
  <c r="AC37" i="8" s="1"/>
  <c r="AE37" i="8" s="1"/>
  <c r="AN37" i="8"/>
  <c r="AK39" i="8"/>
  <c r="AL39" i="8" s="1"/>
  <c r="AM39" i="8" s="1"/>
  <c r="AN39" i="8" s="1"/>
  <c r="AN42" i="8"/>
  <c r="AK44" i="8"/>
  <c r="AL44" i="8" s="1"/>
  <c r="AM44" i="8" s="1"/>
  <c r="AN44" i="8" s="1"/>
  <c r="U52" i="8"/>
  <c r="U53" i="8"/>
  <c r="Y57" i="8"/>
  <c r="AN57" i="8"/>
  <c r="R58" i="8"/>
  <c r="AN61" i="8"/>
  <c r="AM70" i="8"/>
  <c r="AN70" i="8" s="1"/>
  <c r="AK84" i="8"/>
  <c r="AL84" i="8" s="1"/>
  <c r="AM84" i="8" s="1"/>
  <c r="AN84" i="8" s="1"/>
  <c r="U89" i="8"/>
  <c r="AK97" i="8"/>
  <c r="AL97" i="8" s="1"/>
  <c r="AM97" i="8" s="1"/>
  <c r="AN97" i="8" s="1"/>
  <c r="Y104" i="8"/>
  <c r="AB104" i="8" s="1"/>
  <c r="AC104" i="8" s="1"/>
  <c r="AE104" i="8" s="1"/>
  <c r="AO104" i="8" s="1"/>
  <c r="AP104" i="8" s="1"/>
  <c r="R137" i="8"/>
  <c r="U137" i="8"/>
  <c r="R73" i="8"/>
  <c r="U73" i="8"/>
  <c r="U78" i="8"/>
  <c r="R78" i="8"/>
  <c r="R88" i="8"/>
  <c r="U88" i="8"/>
  <c r="R115" i="8"/>
  <c r="U115" i="8"/>
  <c r="X17" i="8"/>
  <c r="AM28" i="8"/>
  <c r="AN28" i="8" s="1"/>
  <c r="AK32" i="8"/>
  <c r="AL32" i="8" s="1"/>
  <c r="AM32" i="8" s="1"/>
  <c r="AN32" i="8" s="1"/>
  <c r="U35" i="8"/>
  <c r="AM35" i="8"/>
  <c r="AN35" i="8" s="1"/>
  <c r="U40" i="8"/>
  <c r="AM43" i="8"/>
  <c r="AN43" i="8" s="1"/>
  <c r="U45" i="8"/>
  <c r="AK48" i="8"/>
  <c r="AL48" i="8" s="1"/>
  <c r="AM48" i="8" s="1"/>
  <c r="AN48" i="8" s="1"/>
  <c r="AN53" i="8"/>
  <c r="AK55" i="8"/>
  <c r="AL55" i="8" s="1"/>
  <c r="AM55" i="8" s="1"/>
  <c r="AN55" i="8" s="1"/>
  <c r="AN58" i="8"/>
  <c r="AK60" i="8"/>
  <c r="AL60" i="8" s="1"/>
  <c r="AM60" i="8" s="1"/>
  <c r="AN60" i="8" s="1"/>
  <c r="U64" i="8"/>
  <c r="AM72" i="8"/>
  <c r="AN72" i="8" s="1"/>
  <c r="AM76" i="8"/>
  <c r="AN76" i="8" s="1"/>
  <c r="U83" i="8"/>
  <c r="R96" i="8"/>
  <c r="AK96" i="8"/>
  <c r="AL96" i="8" s="1"/>
  <c r="AM96" i="8" s="1"/>
  <c r="AN96" i="8" s="1"/>
  <c r="R99" i="8"/>
  <c r="U99" i="8"/>
  <c r="R114" i="8"/>
  <c r="U114" i="8"/>
  <c r="AM142" i="8"/>
  <c r="AN142" i="8" s="1"/>
  <c r="AK54" i="8"/>
  <c r="AL54" i="8" s="1"/>
  <c r="AM54" i="8" s="1"/>
  <c r="AN54" i="8" s="1"/>
  <c r="R69" i="8"/>
  <c r="U69" i="8"/>
  <c r="AK74" i="8"/>
  <c r="AL74" i="8" s="1"/>
  <c r="AM74" i="8" s="1"/>
  <c r="AN74" i="8" s="1"/>
  <c r="AN29" i="8"/>
  <c r="U31" i="8"/>
  <c r="AK38" i="8"/>
  <c r="AL38" i="8" s="1"/>
  <c r="AM38" i="8" s="1"/>
  <c r="AN38" i="8" s="1"/>
  <c r="U41" i="8"/>
  <c r="AK50" i="8"/>
  <c r="AL50" i="8" s="1"/>
  <c r="AM50" i="8" s="1"/>
  <c r="AN50" i="8" s="1"/>
  <c r="AM59" i="8"/>
  <c r="AN59" i="8" s="1"/>
  <c r="U61" i="8"/>
  <c r="AM71" i="8"/>
  <c r="AN71" i="8" s="1"/>
  <c r="AK75" i="8"/>
  <c r="AL75" i="8" s="1"/>
  <c r="AM75" i="8" s="1"/>
  <c r="AN75" i="8" s="1"/>
  <c r="U82" i="8"/>
  <c r="AK88" i="8"/>
  <c r="AL88" i="8" s="1"/>
  <c r="AM88" i="8" s="1"/>
  <c r="AN88" i="8" s="1"/>
  <c r="R102" i="8"/>
  <c r="U102" i="8"/>
  <c r="R110" i="8"/>
  <c r="U110" i="8"/>
  <c r="AK111" i="8"/>
  <c r="AL111" i="8" s="1"/>
  <c r="AM111" i="8" s="1"/>
  <c r="AN111" i="8" s="1"/>
  <c r="AK115" i="8"/>
  <c r="AL115" i="8" s="1"/>
  <c r="AM115" i="8" s="1"/>
  <c r="AN115" i="8" s="1"/>
  <c r="U79" i="8"/>
  <c r="AN81" i="8"/>
  <c r="AN91" i="8"/>
  <c r="AN99" i="8"/>
  <c r="U116" i="8"/>
  <c r="R121" i="8"/>
  <c r="U121" i="8"/>
  <c r="AK132" i="8"/>
  <c r="AL132" i="8" s="1"/>
  <c r="AM132" i="8" s="1"/>
  <c r="AN132" i="8" s="1"/>
  <c r="U47" i="8"/>
  <c r="U63" i="8"/>
  <c r="AM64" i="8"/>
  <c r="AN64" i="8" s="1"/>
  <c r="U100" i="8"/>
  <c r="R100" i="8"/>
  <c r="R107" i="8"/>
  <c r="U107" i="8"/>
  <c r="AM36" i="8"/>
  <c r="AN36" i="8" s="1"/>
  <c r="AK40" i="8"/>
  <c r="AL40" i="8" s="1"/>
  <c r="AM40" i="8" s="1"/>
  <c r="AN40" i="8" s="1"/>
  <c r="U43" i="8"/>
  <c r="Y45" i="8"/>
  <c r="AB45" i="8" s="1"/>
  <c r="AC45" i="8" s="1"/>
  <c r="AE45" i="8" s="1"/>
  <c r="AM52" i="8"/>
  <c r="AN52" i="8" s="1"/>
  <c r="AK56" i="8"/>
  <c r="AL56" i="8" s="1"/>
  <c r="AM56" i="8" s="1"/>
  <c r="AN56" i="8" s="1"/>
  <c r="U59" i="8"/>
  <c r="AK63" i="8"/>
  <c r="AL63" i="8" s="1"/>
  <c r="AM63" i="8" s="1"/>
  <c r="AN63" i="8" s="1"/>
  <c r="R66" i="8"/>
  <c r="U67" i="8"/>
  <c r="AM67" i="8"/>
  <c r="AN67" i="8" s="1"/>
  <c r="AM68" i="8"/>
  <c r="AN68" i="8" s="1"/>
  <c r="Y69" i="8"/>
  <c r="AB69" i="8" s="1"/>
  <c r="AC69" i="8" s="1"/>
  <c r="AE69" i="8" s="1"/>
  <c r="AM78" i="8"/>
  <c r="AN78" i="8" s="1"/>
  <c r="AK82" i="8"/>
  <c r="AL82" i="8" s="1"/>
  <c r="AM82" i="8" s="1"/>
  <c r="AN82" i="8" s="1"/>
  <c r="R86" i="8"/>
  <c r="AK89" i="8"/>
  <c r="AL89" i="8" s="1"/>
  <c r="AM89" i="8" s="1"/>
  <c r="AN89" i="8" s="1"/>
  <c r="R91" i="8"/>
  <c r="U91" i="8"/>
  <c r="AM93" i="8"/>
  <c r="AN93" i="8" s="1"/>
  <c r="AM94" i="8"/>
  <c r="AM108" i="8"/>
  <c r="AN108" i="8" s="1"/>
  <c r="AK109" i="8"/>
  <c r="AL109" i="8" s="1"/>
  <c r="AM109" i="8" s="1"/>
  <c r="AN109" i="8" s="1"/>
  <c r="R125" i="8"/>
  <c r="U125" i="8"/>
  <c r="R131" i="8"/>
  <c r="AK131" i="8"/>
  <c r="AL131" i="8" s="1"/>
  <c r="AM131" i="8" s="1"/>
  <c r="AN131" i="8" s="1"/>
  <c r="R134" i="8"/>
  <c r="U134" i="8"/>
  <c r="U81" i="8"/>
  <c r="U101" i="8"/>
  <c r="AM101" i="8"/>
  <c r="AN101" i="8" s="1"/>
  <c r="AM102" i="8"/>
  <c r="AN102" i="8" s="1"/>
  <c r="U117" i="8"/>
  <c r="AN133" i="8"/>
  <c r="AN134" i="8"/>
  <c r="U135" i="8"/>
  <c r="R135" i="8"/>
  <c r="R145" i="8"/>
  <c r="U145" i="8"/>
  <c r="AN145" i="8"/>
  <c r="U169" i="8"/>
  <c r="R169" i="8"/>
  <c r="AM86" i="8"/>
  <c r="AN86" i="8" s="1"/>
  <c r="AM90" i="8"/>
  <c r="AN90" i="8" s="1"/>
  <c r="Y91" i="8"/>
  <c r="AB91" i="8" s="1"/>
  <c r="AC91" i="8" s="1"/>
  <c r="AE91" i="8" s="1"/>
  <c r="AN94" i="8"/>
  <c r="U105" i="8"/>
  <c r="AM105" i="8"/>
  <c r="AN105" i="8" s="1"/>
  <c r="AM106" i="8"/>
  <c r="AN106" i="8" s="1"/>
  <c r="AK116" i="8"/>
  <c r="AL116" i="8" s="1"/>
  <c r="AM116" i="8" s="1"/>
  <c r="AN116" i="8" s="1"/>
  <c r="U119" i="8"/>
  <c r="R119" i="8"/>
  <c r="R126" i="8"/>
  <c r="U126" i="8"/>
  <c r="AM128" i="8"/>
  <c r="AN128" i="8" s="1"/>
  <c r="AM129" i="8"/>
  <c r="AN129" i="8" s="1"/>
  <c r="R141" i="8"/>
  <c r="U141" i="8"/>
  <c r="AK146" i="8"/>
  <c r="AL146" i="8" s="1"/>
  <c r="AM146" i="8" s="1"/>
  <c r="AN146" i="8" s="1"/>
  <c r="R152" i="8"/>
  <c r="U152" i="8"/>
  <c r="R160" i="8"/>
  <c r="U160" i="8"/>
  <c r="AK166" i="8"/>
  <c r="AL166" i="8" s="1"/>
  <c r="AM166" i="8" s="1"/>
  <c r="AN166" i="8" s="1"/>
  <c r="U120" i="8"/>
  <c r="AM120" i="8"/>
  <c r="AN120" i="8" s="1"/>
  <c r="AM121" i="8"/>
  <c r="AN121" i="8" s="1"/>
  <c r="AK135" i="8"/>
  <c r="AL135" i="8" s="1"/>
  <c r="AM135" i="8" s="1"/>
  <c r="AN135" i="8" s="1"/>
  <c r="AM144" i="8"/>
  <c r="AN144" i="8" s="1"/>
  <c r="AM113" i="8"/>
  <c r="AN113" i="8" s="1"/>
  <c r="U124" i="8"/>
  <c r="AM124" i="8"/>
  <c r="AN124" i="8" s="1"/>
  <c r="AM125" i="8"/>
  <c r="AN125" i="8" s="1"/>
  <c r="AM143" i="8"/>
  <c r="AN143" i="8" s="1"/>
  <c r="AK147" i="8"/>
  <c r="AL147" i="8" s="1"/>
  <c r="AM147" i="8" s="1"/>
  <c r="AN147" i="8" s="1"/>
  <c r="R157" i="8"/>
  <c r="U157" i="8"/>
  <c r="AM136" i="8"/>
  <c r="AN136" i="8" s="1"/>
  <c r="AK148" i="8"/>
  <c r="AL148" i="8" s="1"/>
  <c r="AM148" i="8" s="1"/>
  <c r="AN148" i="8" s="1"/>
  <c r="AN149" i="8"/>
  <c r="AK159" i="8"/>
  <c r="AL159" i="8" s="1"/>
  <c r="AM159" i="8" s="1"/>
  <c r="AN159" i="8" s="1"/>
  <c r="R164" i="8"/>
  <c r="U164" i="8"/>
  <c r="AN137" i="8"/>
  <c r="U139" i="8"/>
  <c r="AM139" i="8"/>
  <c r="AN139" i="8" s="1"/>
  <c r="AM140" i="8"/>
  <c r="AN140" i="8" s="1"/>
  <c r="R153" i="8"/>
  <c r="U153" i="8"/>
  <c r="AK155" i="8"/>
  <c r="AL155" i="8" s="1"/>
  <c r="AM155" i="8" s="1"/>
  <c r="AN155" i="8" s="1"/>
  <c r="R158" i="8"/>
  <c r="AK158" i="8"/>
  <c r="AL158" i="8" s="1"/>
  <c r="AM158" i="8" s="1"/>
  <c r="AN158" i="8" s="1"/>
  <c r="Y165" i="8"/>
  <c r="AB165" i="8" s="1"/>
  <c r="AC165" i="8" s="1"/>
  <c r="AE165" i="8" s="1"/>
  <c r="AN165" i="8"/>
  <c r="U151" i="8"/>
  <c r="AN160" i="8"/>
  <c r="AK162" i="8"/>
  <c r="AL162" i="8" s="1"/>
  <c r="AM162" i="8" s="1"/>
  <c r="AN162" i="8" s="1"/>
  <c r="U163" i="8"/>
  <c r="AM151" i="8"/>
  <c r="AN151" i="8" s="1"/>
  <c r="AM152" i="8"/>
  <c r="AN152" i="8" s="1"/>
  <c r="R161" i="8"/>
  <c r="R168" i="8"/>
  <c r="U168" i="8"/>
  <c r="AN164" i="8"/>
  <c r="U165" i="8"/>
  <c r="R165" i="8"/>
  <c r="AN168" i="8"/>
  <c r="U170" i="8"/>
  <c r="AM171" i="8"/>
  <c r="AN171" i="8" s="1"/>
  <c r="AN173" i="8"/>
  <c r="R178" i="8"/>
  <c r="U178" i="8"/>
  <c r="U162" i="8"/>
  <c r="AM163" i="8"/>
  <c r="AN163" i="8" s="1"/>
  <c r="U166" i="8"/>
  <c r="AM167" i="8"/>
  <c r="AN167" i="8" s="1"/>
  <c r="AN169" i="8"/>
  <c r="AK174" i="8"/>
  <c r="AL174" i="8" s="1"/>
  <c r="AM174" i="8" s="1"/>
  <c r="AN174" i="8" s="1"/>
  <c r="AK175" i="8"/>
  <c r="AL175" i="8" s="1"/>
  <c r="AM175" i="8" s="1"/>
  <c r="AN175" i="8" s="1"/>
  <c r="AK170" i="8"/>
  <c r="AL170" i="8" s="1"/>
  <c r="AM170" i="8" s="1"/>
  <c r="AN170" i="8" s="1"/>
  <c r="U171" i="8"/>
  <c r="U173" i="8"/>
  <c r="R173" i="8"/>
  <c r="U177" i="8"/>
  <c r="AN177" i="8"/>
  <c r="U179" i="8"/>
  <c r="U182" i="8"/>
  <c r="AN178" i="8"/>
  <c r="AK180" i="8"/>
  <c r="AL180" i="8" s="1"/>
  <c r="AM180" i="8" s="1"/>
  <c r="AN180" i="8" s="1"/>
  <c r="U181" i="8"/>
  <c r="AK182" i="8"/>
  <c r="AL182" i="8" s="1"/>
  <c r="AM182" i="8" s="1"/>
  <c r="AN182" i="8" s="1"/>
  <c r="U175" i="8"/>
  <c r="U176" i="8"/>
  <c r="AK176" i="8"/>
  <c r="AL176" i="8" s="1"/>
  <c r="AM176" i="8" s="1"/>
  <c r="AN176" i="8" s="1"/>
  <c r="AN181" i="8"/>
  <c r="AN184" i="8"/>
  <c r="AK185" i="8"/>
  <c r="AL185" i="8" s="1"/>
  <c r="AM185" i="8" s="1"/>
  <c r="AN185" i="8" s="1"/>
  <c r="U186" i="8"/>
  <c r="U194" i="8"/>
  <c r="AN183" i="8"/>
  <c r="U184" i="8"/>
  <c r="R184" i="8"/>
  <c r="AM183" i="8"/>
  <c r="U185" i="8"/>
  <c r="AM186" i="8"/>
  <c r="AN186" i="8" s="1"/>
  <c r="AN187" i="8"/>
  <c r="Y192" i="8"/>
  <c r="AB192" i="8" s="1"/>
  <c r="AC192" i="8" s="1"/>
  <c r="AE192" i="8" s="1"/>
  <c r="AO192" i="8" s="1"/>
  <c r="AN193" i="8"/>
  <c r="AN194" i="8"/>
  <c r="AK195" i="8"/>
  <c r="AL195" i="8" s="1"/>
  <c r="AM195" i="8" s="1"/>
  <c r="AN195" i="8" s="1"/>
  <c r="U187" i="8"/>
  <c r="AN188" i="8"/>
  <c r="U191" i="8"/>
  <c r="AK191" i="8"/>
  <c r="AL191" i="8" s="1"/>
  <c r="AM191" i="8" s="1"/>
  <c r="AN191" i="8" s="1"/>
  <c r="Y180" i="9" l="1"/>
  <c r="Y135" i="9"/>
  <c r="AB135" i="9" s="1"/>
  <c r="AC135" i="9" s="1"/>
  <c r="AE135" i="9" s="1"/>
  <c r="AL140" i="9"/>
  <c r="AM140" i="9" s="1"/>
  <c r="AN140" i="9" s="1"/>
  <c r="Y89" i="8"/>
  <c r="AB89" i="8" s="1"/>
  <c r="AC89" i="8" s="1"/>
  <c r="AE89" i="8" s="1"/>
  <c r="Y165" i="9"/>
  <c r="AB165" i="9" s="1"/>
  <c r="AC165" i="9" s="1"/>
  <c r="AE165" i="9" s="1"/>
  <c r="AL131" i="9"/>
  <c r="AM131" i="9" s="1"/>
  <c r="AN131" i="9" s="1"/>
  <c r="Y110" i="8"/>
  <c r="AB110" i="8" s="1"/>
  <c r="AC110" i="8" s="1"/>
  <c r="AE110" i="8" s="1"/>
  <c r="AO110" i="8" s="1"/>
  <c r="AP110" i="8" s="1"/>
  <c r="Y77" i="8"/>
  <c r="AB77" i="8" s="1"/>
  <c r="AC77" i="8" s="1"/>
  <c r="AE77" i="8" s="1"/>
  <c r="AO77" i="8" s="1"/>
  <c r="AP77" i="8" s="1"/>
  <c r="AT77" i="8" s="1"/>
  <c r="Y53" i="8"/>
  <c r="AB53" i="8" s="1"/>
  <c r="AC53" i="8" s="1"/>
  <c r="AE53" i="8" s="1"/>
  <c r="T53" i="2"/>
  <c r="E58" i="6" s="1"/>
  <c r="F58" i="6" s="1"/>
  <c r="Y178" i="8"/>
  <c r="Y27" i="8"/>
  <c r="Y144" i="9"/>
  <c r="AB144" i="9" s="1"/>
  <c r="AC144" i="9" s="1"/>
  <c r="AE144" i="9" s="1"/>
  <c r="Y194" i="8"/>
  <c r="AB194" i="8" s="1"/>
  <c r="AC194" i="8" s="1"/>
  <c r="AE194" i="8" s="1"/>
  <c r="AO194" i="8" s="1"/>
  <c r="AP194" i="8" s="1"/>
  <c r="T17" i="2"/>
  <c r="E22" i="6" s="1"/>
  <c r="F22" i="6" s="1"/>
  <c r="F127" i="6"/>
  <c r="T65" i="2"/>
  <c r="E70" i="6" s="1"/>
  <c r="F70" i="6" s="1"/>
  <c r="Y192" i="9"/>
  <c r="AB192" i="9" s="1"/>
  <c r="AC192" i="9" s="1"/>
  <c r="AE192" i="9" s="1"/>
  <c r="AO192" i="9" s="1"/>
  <c r="Y191" i="9"/>
  <c r="AB191" i="9" s="1"/>
  <c r="AC191" i="9" s="1"/>
  <c r="AE191" i="9" s="1"/>
  <c r="Y158" i="9"/>
  <c r="AB158" i="9" s="1"/>
  <c r="AC158" i="9" s="1"/>
  <c r="AE158" i="9" s="1"/>
  <c r="Y156" i="9"/>
  <c r="AB156" i="9" s="1"/>
  <c r="AC156" i="9" s="1"/>
  <c r="AE156" i="9" s="1"/>
  <c r="Y103" i="9"/>
  <c r="AB103" i="9" s="1"/>
  <c r="AC103" i="9" s="1"/>
  <c r="AE103" i="9" s="1"/>
  <c r="AO103" i="9" s="1"/>
  <c r="AP103" i="9" s="1"/>
  <c r="Y107" i="9"/>
  <c r="AB107" i="9" s="1"/>
  <c r="AC107" i="9" s="1"/>
  <c r="AE107" i="9" s="1"/>
  <c r="AO107" i="9" s="1"/>
  <c r="AP107" i="9" s="1"/>
  <c r="Y106" i="9"/>
  <c r="AB106" i="9" s="1"/>
  <c r="AC106" i="9" s="1"/>
  <c r="AE106" i="9" s="1"/>
  <c r="AO106" i="9" s="1"/>
  <c r="AP106" i="9" s="1"/>
  <c r="Y97" i="9"/>
  <c r="AB97" i="9" s="1"/>
  <c r="AC97" i="9" s="1"/>
  <c r="AE97" i="9" s="1"/>
  <c r="AO97" i="9" s="1"/>
  <c r="AP97" i="9" s="1"/>
  <c r="R17" i="9"/>
  <c r="R17" i="8"/>
  <c r="AO191" i="9"/>
  <c r="AP191" i="9" s="1"/>
  <c r="Y183" i="9"/>
  <c r="AB183" i="9" s="1"/>
  <c r="AC183" i="9" s="1"/>
  <c r="AE183" i="9" s="1"/>
  <c r="AO183" i="9" s="1"/>
  <c r="Y154" i="9"/>
  <c r="AB154" i="9" s="1"/>
  <c r="AC154" i="9" s="1"/>
  <c r="AE154" i="9" s="1"/>
  <c r="AO154" i="9" s="1"/>
  <c r="AP154" i="9" s="1"/>
  <c r="Y153" i="9"/>
  <c r="AB153" i="9" s="1"/>
  <c r="AC153" i="9" s="1"/>
  <c r="AE153" i="9" s="1"/>
  <c r="AO153" i="9" s="1"/>
  <c r="Y139" i="9"/>
  <c r="AB139" i="9" s="1"/>
  <c r="AC139" i="9" s="1"/>
  <c r="AE139" i="9" s="1"/>
  <c r="AO139" i="9" s="1"/>
  <c r="AP139" i="9" s="1"/>
  <c r="Y109" i="9"/>
  <c r="AB109" i="9" s="1"/>
  <c r="AC109" i="9" s="1"/>
  <c r="AE109" i="9" s="1"/>
  <c r="Y187" i="9"/>
  <c r="AB187" i="9" s="1"/>
  <c r="AC187" i="9" s="1"/>
  <c r="AE187" i="9" s="1"/>
  <c r="Y176" i="9"/>
  <c r="Y134" i="9"/>
  <c r="AB134" i="9" s="1"/>
  <c r="AC134" i="9" s="1"/>
  <c r="AE134" i="9" s="1"/>
  <c r="AO134" i="9" s="1"/>
  <c r="AP134" i="9" s="1"/>
  <c r="Y147" i="9"/>
  <c r="AB147" i="9" s="1"/>
  <c r="AC147" i="9" s="1"/>
  <c r="AE147" i="9" s="1"/>
  <c r="AO147" i="9" s="1"/>
  <c r="AP147" i="9" s="1"/>
  <c r="Y73" i="9"/>
  <c r="AB73" i="9" s="1"/>
  <c r="AC73" i="9" s="1"/>
  <c r="AE73" i="9" s="1"/>
  <c r="AO73" i="9" s="1"/>
  <c r="AP73" i="9" s="1"/>
  <c r="Y33" i="9"/>
  <c r="AB33" i="9" s="1"/>
  <c r="AC33" i="9" s="1"/>
  <c r="AE33" i="9" s="1"/>
  <c r="AO33" i="9" s="1"/>
  <c r="AP33" i="9" s="1"/>
  <c r="Y67" i="9"/>
  <c r="AB67" i="9" s="1"/>
  <c r="AC67" i="9" s="1"/>
  <c r="AE67" i="9" s="1"/>
  <c r="AO67" i="9" s="1"/>
  <c r="AP67" i="9" s="1"/>
  <c r="Y195" i="9"/>
  <c r="Y185" i="9"/>
  <c r="AB185" i="9" s="1"/>
  <c r="AC185" i="9" s="1"/>
  <c r="AE185" i="9" s="1"/>
  <c r="Y170" i="9"/>
  <c r="AB170" i="9" s="1"/>
  <c r="AC170" i="9" s="1"/>
  <c r="AE170" i="9" s="1"/>
  <c r="AO170" i="9" s="1"/>
  <c r="Y145" i="8"/>
  <c r="AB145" i="8" s="1"/>
  <c r="AC145" i="8" s="1"/>
  <c r="AE145" i="8" s="1"/>
  <c r="Y107" i="8"/>
  <c r="AB107" i="8" s="1"/>
  <c r="AC107" i="8" s="1"/>
  <c r="AE107" i="8" s="1"/>
  <c r="AO107" i="8" s="1"/>
  <c r="AP107" i="8" s="1"/>
  <c r="Y79" i="8"/>
  <c r="AB79" i="8" s="1"/>
  <c r="AC79" i="8" s="1"/>
  <c r="AE79" i="8" s="1"/>
  <c r="AO79" i="8" s="1"/>
  <c r="AP79" i="8" s="1"/>
  <c r="Y119" i="8"/>
  <c r="AB119" i="8" s="1"/>
  <c r="AC119" i="8" s="1"/>
  <c r="AE119" i="8" s="1"/>
  <c r="Y38" i="8"/>
  <c r="AB38" i="8" s="1"/>
  <c r="AC38" i="8" s="1"/>
  <c r="AE38" i="8" s="1"/>
  <c r="AO38" i="8" s="1"/>
  <c r="AP38" i="8" s="1"/>
  <c r="Y66" i="8"/>
  <c r="AB66" i="8" s="1"/>
  <c r="AC66" i="8" s="1"/>
  <c r="AE66" i="8" s="1"/>
  <c r="AO66" i="8" s="1"/>
  <c r="AP66" i="8" s="1"/>
  <c r="Y31" i="8"/>
  <c r="AB31" i="8" s="1"/>
  <c r="AC31" i="8" s="1"/>
  <c r="AE31" i="8" s="1"/>
  <c r="Y131" i="9"/>
  <c r="AB131" i="9" s="1"/>
  <c r="AC131" i="9" s="1"/>
  <c r="AE131" i="9" s="1"/>
  <c r="AO131" i="9" s="1"/>
  <c r="AP131" i="9" s="1"/>
  <c r="Y130" i="9"/>
  <c r="Y166" i="9"/>
  <c r="AB166" i="9" s="1"/>
  <c r="AC166" i="9" s="1"/>
  <c r="AE166" i="9" s="1"/>
  <c r="AO166" i="9" s="1"/>
  <c r="AP166" i="9" s="1"/>
  <c r="Y129" i="9"/>
  <c r="AB129" i="9" s="1"/>
  <c r="AC129" i="9" s="1"/>
  <c r="AE129" i="9" s="1"/>
  <c r="AO129" i="9" s="1"/>
  <c r="AP129" i="9" s="1"/>
  <c r="AS129" i="9" s="1"/>
  <c r="Y87" i="9"/>
  <c r="AB87" i="9" s="1"/>
  <c r="AC87" i="9" s="1"/>
  <c r="AE87" i="9" s="1"/>
  <c r="AO87" i="9" s="1"/>
  <c r="AP87" i="9" s="1"/>
  <c r="Y65" i="9"/>
  <c r="AB65" i="9" s="1"/>
  <c r="AC65" i="9" s="1"/>
  <c r="AE65" i="9" s="1"/>
  <c r="AO65" i="9" s="1"/>
  <c r="AP65" i="9" s="1"/>
  <c r="Y53" i="9"/>
  <c r="AB53" i="9" s="1"/>
  <c r="AC53" i="9" s="1"/>
  <c r="AE53" i="9" s="1"/>
  <c r="Y194" i="9"/>
  <c r="Y172" i="9"/>
  <c r="AB172" i="9" s="1"/>
  <c r="AC172" i="9" s="1"/>
  <c r="AE172" i="9" s="1"/>
  <c r="Y126" i="9"/>
  <c r="AB126" i="9" s="1"/>
  <c r="AC126" i="9" s="1"/>
  <c r="AE126" i="9" s="1"/>
  <c r="AO126" i="9" s="1"/>
  <c r="Y123" i="9"/>
  <c r="AB123" i="9" s="1"/>
  <c r="AC123" i="9" s="1"/>
  <c r="AE123" i="9" s="1"/>
  <c r="AO123" i="9" s="1"/>
  <c r="AP123" i="9" s="1"/>
  <c r="AS123" i="9" s="1"/>
  <c r="Y99" i="9"/>
  <c r="AB99" i="9" s="1"/>
  <c r="AC99" i="9" s="1"/>
  <c r="AE99" i="9" s="1"/>
  <c r="AO99" i="9" s="1"/>
  <c r="AP99" i="9" s="1"/>
  <c r="Y78" i="9"/>
  <c r="AB78" i="9" s="1"/>
  <c r="AC78" i="9" s="1"/>
  <c r="AE78" i="9" s="1"/>
  <c r="AO78" i="9" s="1"/>
  <c r="AP78" i="9" s="1"/>
  <c r="Y39" i="9"/>
  <c r="AB39" i="9" s="1"/>
  <c r="AC39" i="9" s="1"/>
  <c r="AE39" i="9" s="1"/>
  <c r="Y63" i="9"/>
  <c r="AB63" i="9" s="1"/>
  <c r="AC63" i="9" s="1"/>
  <c r="AE63" i="9" s="1"/>
  <c r="Y114" i="8"/>
  <c r="AB114" i="8" s="1"/>
  <c r="AC114" i="8" s="1"/>
  <c r="AE114" i="8" s="1"/>
  <c r="AO31" i="8"/>
  <c r="Y134" i="8"/>
  <c r="AB134" i="8" s="1"/>
  <c r="AC134" i="8" s="1"/>
  <c r="AE134" i="8" s="1"/>
  <c r="AO134" i="8" s="1"/>
  <c r="AP134" i="8" s="1"/>
  <c r="AQ134" i="8" s="1"/>
  <c r="BQ134" i="8" s="1"/>
  <c r="AD127" i="6" s="1"/>
  <c r="Y51" i="8"/>
  <c r="AB51" i="8" s="1"/>
  <c r="AC51" i="8" s="1"/>
  <c r="AE51" i="8" s="1"/>
  <c r="AO51" i="8" s="1"/>
  <c r="AP51" i="8" s="1"/>
  <c r="AQ51" i="8" s="1"/>
  <c r="BQ51" i="8" s="1"/>
  <c r="AD44" i="6" s="1"/>
  <c r="Y186" i="9"/>
  <c r="AB186" i="9" s="1"/>
  <c r="AC186" i="9" s="1"/>
  <c r="AE186" i="9" s="1"/>
  <c r="Y179" i="9"/>
  <c r="AB179" i="9" s="1"/>
  <c r="AC179" i="9" s="1"/>
  <c r="AE179" i="9" s="1"/>
  <c r="AO179" i="9" s="1"/>
  <c r="AP179" i="9" s="1"/>
  <c r="Y162" i="9"/>
  <c r="AB162" i="9" s="1"/>
  <c r="AC162" i="9" s="1"/>
  <c r="AE162" i="9" s="1"/>
  <c r="AO162" i="9" s="1"/>
  <c r="AP162" i="9" s="1"/>
  <c r="Y152" i="9"/>
  <c r="AB152" i="9" s="1"/>
  <c r="AC152" i="9" s="1"/>
  <c r="AE152" i="9" s="1"/>
  <c r="Y119" i="9"/>
  <c r="Y117" i="9"/>
  <c r="AB117" i="9" s="1"/>
  <c r="AC117" i="9" s="1"/>
  <c r="AE117" i="9" s="1"/>
  <c r="Y35" i="9"/>
  <c r="AB35" i="9" s="1"/>
  <c r="AC35" i="9" s="1"/>
  <c r="AE35" i="9" s="1"/>
  <c r="AO35" i="9" s="1"/>
  <c r="AP35" i="9" s="1"/>
  <c r="Y55" i="9"/>
  <c r="F95" i="6"/>
  <c r="AO144" i="9"/>
  <c r="AO99" i="8"/>
  <c r="AP99" i="8" s="1"/>
  <c r="BI99" i="8" s="1"/>
  <c r="Y35" i="8"/>
  <c r="AB35" i="8" s="1"/>
  <c r="AC35" i="8" s="1"/>
  <c r="AE35" i="8" s="1"/>
  <c r="Y181" i="8"/>
  <c r="AB181" i="8" s="1"/>
  <c r="AC181" i="8" s="1"/>
  <c r="AE181" i="8" s="1"/>
  <c r="Y179" i="8"/>
  <c r="AB179" i="8" s="1"/>
  <c r="AC179" i="8" s="1"/>
  <c r="AE179" i="8" s="1"/>
  <c r="Y142" i="8"/>
  <c r="AB142" i="8" s="1"/>
  <c r="AC142" i="8" s="1"/>
  <c r="AE142" i="8" s="1"/>
  <c r="AO142" i="8" s="1"/>
  <c r="Y122" i="8"/>
  <c r="AB122" i="8" s="1"/>
  <c r="AC122" i="8" s="1"/>
  <c r="AE122" i="8" s="1"/>
  <c r="AO122" i="8" s="1"/>
  <c r="AP122" i="8" s="1"/>
  <c r="AT122" i="8" s="1"/>
  <c r="Y116" i="8"/>
  <c r="AB116" i="8" s="1"/>
  <c r="AC116" i="8" s="1"/>
  <c r="AE116" i="8" s="1"/>
  <c r="AO116" i="8"/>
  <c r="AP116" i="8" s="1"/>
  <c r="Y88" i="8"/>
  <c r="AB88" i="8" s="1"/>
  <c r="AC88" i="8" s="1"/>
  <c r="AE88" i="8" s="1"/>
  <c r="AO88" i="8" s="1"/>
  <c r="AP88" i="8" s="1"/>
  <c r="Y173" i="9"/>
  <c r="Y161" i="9"/>
  <c r="AB161" i="9" s="1"/>
  <c r="AC161" i="9" s="1"/>
  <c r="AE161" i="9" s="1"/>
  <c r="AO161" i="9" s="1"/>
  <c r="AP161" i="9" s="1"/>
  <c r="Y111" i="9"/>
  <c r="AB111" i="9" s="1"/>
  <c r="AC111" i="9" s="1"/>
  <c r="AE111" i="9" s="1"/>
  <c r="AO111" i="9" s="1"/>
  <c r="AP111" i="9" s="1"/>
  <c r="Y138" i="9"/>
  <c r="AB138" i="9" s="1"/>
  <c r="AC138" i="9" s="1"/>
  <c r="AE138" i="9" s="1"/>
  <c r="AO138" i="9" s="1"/>
  <c r="AP138" i="9" s="1"/>
  <c r="Y133" i="9"/>
  <c r="AB133" i="9" s="1"/>
  <c r="AC133" i="9" s="1"/>
  <c r="AE133" i="9" s="1"/>
  <c r="AO133" i="9" s="1"/>
  <c r="AP133" i="9" s="1"/>
  <c r="Y169" i="9"/>
  <c r="AB169" i="9" s="1"/>
  <c r="AC169" i="9" s="1"/>
  <c r="AE169" i="9" s="1"/>
  <c r="AO169" i="9" s="1"/>
  <c r="Y101" i="9"/>
  <c r="AB101" i="9" s="1"/>
  <c r="AC101" i="9" s="1"/>
  <c r="AE101" i="9" s="1"/>
  <c r="Y140" i="9"/>
  <c r="AB140" i="9" s="1"/>
  <c r="AC140" i="9" s="1"/>
  <c r="AE140" i="9" s="1"/>
  <c r="AO140" i="9" s="1"/>
  <c r="AP140" i="9" s="1"/>
  <c r="Y37" i="9"/>
  <c r="AB37" i="9" s="1"/>
  <c r="AC37" i="9" s="1"/>
  <c r="AE37" i="9" s="1"/>
  <c r="F81" i="6"/>
  <c r="AP192" i="8"/>
  <c r="T15" i="2"/>
  <c r="E20" i="6" s="1"/>
  <c r="F20" i="6" s="1"/>
  <c r="T77" i="2"/>
  <c r="E82" i="6" s="1"/>
  <c r="F82" i="6" s="1"/>
  <c r="T104" i="2"/>
  <c r="E109" i="6" s="1"/>
  <c r="F109" i="6" s="1"/>
  <c r="F165" i="6"/>
  <c r="F135" i="6"/>
  <c r="F119" i="6"/>
  <c r="F187" i="6"/>
  <c r="F123" i="6"/>
  <c r="F53" i="6"/>
  <c r="T158" i="2"/>
  <c r="E163" i="6" s="1"/>
  <c r="F163" i="6" s="1"/>
  <c r="T85" i="2"/>
  <c r="E90" i="6" s="1"/>
  <c r="F90" i="6" s="1"/>
  <c r="T129" i="2"/>
  <c r="E134" i="6" s="1"/>
  <c r="F134" i="6" s="1"/>
  <c r="T88" i="2"/>
  <c r="E93" i="6" s="1"/>
  <c r="F93" i="6" s="1"/>
  <c r="T45" i="2"/>
  <c r="E50" i="6" s="1"/>
  <c r="F50" i="6" s="1"/>
  <c r="T142" i="2"/>
  <c r="E147" i="6" s="1"/>
  <c r="F147" i="6" s="1"/>
  <c r="AL154" i="9"/>
  <c r="AM154" i="9" s="1"/>
  <c r="AN154" i="9" s="1"/>
  <c r="T71" i="2"/>
  <c r="E76" i="6" s="1"/>
  <c r="F76" i="6" s="1"/>
  <c r="AL83" i="9"/>
  <c r="AM83" i="9" s="1"/>
  <c r="AN83" i="9" s="1"/>
  <c r="AP192" i="9"/>
  <c r="AT192" i="9" s="1"/>
  <c r="F188" i="6"/>
  <c r="T96" i="2"/>
  <c r="E101" i="6" s="1"/>
  <c r="F101" i="6" s="1"/>
  <c r="AP126" i="9"/>
  <c r="AS126" i="9" s="1"/>
  <c r="F131" i="6"/>
  <c r="F84" i="6"/>
  <c r="T171" i="2"/>
  <c r="E176" i="6" s="1"/>
  <c r="F176" i="6" s="1"/>
  <c r="AL183" i="9"/>
  <c r="AM183" i="9" s="1"/>
  <c r="AN183" i="9" s="1"/>
  <c r="T107" i="2"/>
  <c r="E112" i="6" s="1"/>
  <c r="F112" i="6" s="1"/>
  <c r="AL119" i="9"/>
  <c r="AM119" i="9" s="1"/>
  <c r="AN119" i="9" s="1"/>
  <c r="AP142" i="8"/>
  <c r="BI142" i="8" s="1"/>
  <c r="AL178" i="9"/>
  <c r="AM178" i="9" s="1"/>
  <c r="AN178" i="9" s="1"/>
  <c r="T166" i="2"/>
  <c r="E171" i="6" s="1"/>
  <c r="F171" i="6" s="1"/>
  <c r="AL149" i="9"/>
  <c r="AM149" i="9" s="1"/>
  <c r="AN149" i="9" s="1"/>
  <c r="T137" i="2"/>
  <c r="E142" i="6" s="1"/>
  <c r="F142" i="6" s="1"/>
  <c r="AL153" i="9"/>
  <c r="AM153" i="9" s="1"/>
  <c r="AN153" i="9" s="1"/>
  <c r="T141" i="2"/>
  <c r="E146" i="6" s="1"/>
  <c r="F146" i="6" s="1"/>
  <c r="AP170" i="9"/>
  <c r="AQ170" i="9" s="1"/>
  <c r="I163" i="6" s="1"/>
  <c r="AL145" i="9"/>
  <c r="AM145" i="9" s="1"/>
  <c r="AN145" i="9" s="1"/>
  <c r="T133" i="2"/>
  <c r="E138" i="6" s="1"/>
  <c r="F138" i="6" s="1"/>
  <c r="AL121" i="9"/>
  <c r="AM121" i="9" s="1"/>
  <c r="AN121" i="9" s="1"/>
  <c r="T109" i="2"/>
  <c r="E114" i="6" s="1"/>
  <c r="F114" i="6" s="1"/>
  <c r="AL50" i="9"/>
  <c r="AM50" i="9" s="1"/>
  <c r="AN50" i="9" s="1"/>
  <c r="T38" i="2"/>
  <c r="E43" i="6" s="1"/>
  <c r="F43" i="6" s="1"/>
  <c r="AL46" i="9"/>
  <c r="AM46" i="9" s="1"/>
  <c r="AN46" i="9" s="1"/>
  <c r="T34" i="2"/>
  <c r="E39" i="6" s="1"/>
  <c r="F39" i="6" s="1"/>
  <c r="F126" i="6"/>
  <c r="T68" i="2"/>
  <c r="E73" i="6" s="1"/>
  <c r="F73" i="6" s="1"/>
  <c r="AL80" i="9"/>
  <c r="AM80" i="9" s="1"/>
  <c r="AN80" i="9" s="1"/>
  <c r="AL61" i="9"/>
  <c r="AM61" i="9" s="1"/>
  <c r="AN61" i="9" s="1"/>
  <c r="T49" i="2"/>
  <c r="E54" i="6" s="1"/>
  <c r="F54" i="6" s="1"/>
  <c r="AL37" i="9"/>
  <c r="AM37" i="9" s="1"/>
  <c r="AN37" i="9" s="1"/>
  <c r="T25" i="2"/>
  <c r="E30" i="6" s="1"/>
  <c r="F30" i="6" s="1"/>
  <c r="F102" i="6"/>
  <c r="F92" i="6"/>
  <c r="AL175" i="9"/>
  <c r="AM175" i="9" s="1"/>
  <c r="AN175" i="9" s="1"/>
  <c r="T163" i="2"/>
  <c r="E168" i="6" s="1"/>
  <c r="F168" i="6" s="1"/>
  <c r="AL160" i="9"/>
  <c r="AM160" i="9" s="1"/>
  <c r="AN160" i="9" s="1"/>
  <c r="T148" i="2"/>
  <c r="E153" i="6" s="1"/>
  <c r="F153" i="6" s="1"/>
  <c r="AL139" i="9"/>
  <c r="AM139" i="9" s="1"/>
  <c r="AN139" i="9" s="1"/>
  <c r="T127" i="2"/>
  <c r="E132" i="6" s="1"/>
  <c r="F132" i="6" s="1"/>
  <c r="AL128" i="9"/>
  <c r="AM128" i="9" s="1"/>
  <c r="AN128" i="9" s="1"/>
  <c r="T116" i="2"/>
  <c r="E121" i="6" s="1"/>
  <c r="F121" i="6" s="1"/>
  <c r="AL129" i="9"/>
  <c r="AM129" i="9" s="1"/>
  <c r="AN129" i="9" s="1"/>
  <c r="T117" i="2"/>
  <c r="E122" i="6" s="1"/>
  <c r="F122" i="6" s="1"/>
  <c r="AL112" i="9"/>
  <c r="AM112" i="9" s="1"/>
  <c r="AN112" i="9" s="1"/>
  <c r="T100" i="2"/>
  <c r="E105" i="6" s="1"/>
  <c r="F105" i="6" s="1"/>
  <c r="AL94" i="9"/>
  <c r="AM94" i="9" s="1"/>
  <c r="AN94" i="9" s="1"/>
  <c r="T82" i="2"/>
  <c r="E87" i="6" s="1"/>
  <c r="F87" i="6" s="1"/>
  <c r="AL96" i="9"/>
  <c r="AM96" i="9" s="1"/>
  <c r="AN96" i="9" s="1"/>
  <c r="T84" i="2"/>
  <c r="E89" i="6" s="1"/>
  <c r="F89" i="6" s="1"/>
  <c r="AL90" i="9"/>
  <c r="AM90" i="9" s="1"/>
  <c r="AN90" i="9" s="1"/>
  <c r="T78" i="2"/>
  <c r="E83" i="6" s="1"/>
  <c r="F83" i="6" s="1"/>
  <c r="AL70" i="9"/>
  <c r="AM70" i="9" s="1"/>
  <c r="AN70" i="9" s="1"/>
  <c r="T58" i="2"/>
  <c r="E63" i="6" s="1"/>
  <c r="F63" i="6" s="1"/>
  <c r="AL38" i="9"/>
  <c r="AM38" i="9" s="1"/>
  <c r="AN38" i="9" s="1"/>
  <c r="T26" i="2"/>
  <c r="E31" i="6" s="1"/>
  <c r="F31" i="6" s="1"/>
  <c r="AL30" i="9"/>
  <c r="AM30" i="9" s="1"/>
  <c r="AN30" i="9" s="1"/>
  <c r="T18" i="2"/>
  <c r="E23" i="6" s="1"/>
  <c r="F23" i="6" s="1"/>
  <c r="AL40" i="9"/>
  <c r="AM40" i="9" s="1"/>
  <c r="AN40" i="9" s="1"/>
  <c r="T28" i="2"/>
  <c r="E33" i="6" s="1"/>
  <c r="F33" i="6" s="1"/>
  <c r="AL32" i="9"/>
  <c r="AM32" i="9" s="1"/>
  <c r="AN32" i="9" s="1"/>
  <c r="T20" i="2"/>
  <c r="E25" i="6" s="1"/>
  <c r="F25" i="6" s="1"/>
  <c r="AL36" i="9"/>
  <c r="AM36" i="9" s="1"/>
  <c r="AN36" i="9" s="1"/>
  <c r="T24" i="2"/>
  <c r="E29" i="6" s="1"/>
  <c r="F29" i="6" s="1"/>
  <c r="AL74" i="9"/>
  <c r="AM74" i="9" s="1"/>
  <c r="AN74" i="9" s="1"/>
  <c r="T62" i="2"/>
  <c r="E67" i="6" s="1"/>
  <c r="F67" i="6" s="1"/>
  <c r="AL58" i="9"/>
  <c r="AM58" i="9" s="1"/>
  <c r="AN58" i="9" s="1"/>
  <c r="T46" i="2"/>
  <c r="E51" i="6" s="1"/>
  <c r="F51" i="6" s="1"/>
  <c r="AL85" i="9"/>
  <c r="AM85" i="9" s="1"/>
  <c r="AN85" i="9" s="1"/>
  <c r="T73" i="2"/>
  <c r="E78" i="6" s="1"/>
  <c r="F78" i="6" s="1"/>
  <c r="AL33" i="9"/>
  <c r="AM33" i="9" s="1"/>
  <c r="AN33" i="9" s="1"/>
  <c r="T21" i="2"/>
  <c r="E26" i="6" s="1"/>
  <c r="F26" i="6" s="1"/>
  <c r="F57" i="6"/>
  <c r="F41" i="6"/>
  <c r="F61" i="6"/>
  <c r="F111" i="6"/>
  <c r="F94" i="6"/>
  <c r="F74" i="6"/>
  <c r="F108" i="6"/>
  <c r="F68" i="6"/>
  <c r="F88" i="6"/>
  <c r="F28" i="6"/>
  <c r="AL190" i="9"/>
  <c r="AM190" i="9" s="1"/>
  <c r="AN190" i="9" s="1"/>
  <c r="T178" i="2"/>
  <c r="E183" i="6" s="1"/>
  <c r="F183" i="6" s="1"/>
  <c r="AL179" i="9"/>
  <c r="AM179" i="9" s="1"/>
  <c r="AN179" i="9" s="1"/>
  <c r="T167" i="2"/>
  <c r="E172" i="6" s="1"/>
  <c r="F172" i="6" s="1"/>
  <c r="AL168" i="9"/>
  <c r="AM168" i="9" s="1"/>
  <c r="AN168" i="9" s="1"/>
  <c r="T156" i="2"/>
  <c r="E161" i="6" s="1"/>
  <c r="F161" i="6" s="1"/>
  <c r="AL171" i="9"/>
  <c r="AM171" i="9" s="1"/>
  <c r="AN171" i="9" s="1"/>
  <c r="T159" i="2"/>
  <c r="E164" i="6" s="1"/>
  <c r="F164" i="6" s="1"/>
  <c r="AL150" i="9"/>
  <c r="AM150" i="9" s="1"/>
  <c r="AN150" i="9" s="1"/>
  <c r="T138" i="2"/>
  <c r="E143" i="6" s="1"/>
  <c r="F143" i="6" s="1"/>
  <c r="AL124" i="9"/>
  <c r="AM124" i="9" s="1"/>
  <c r="AN124" i="9" s="1"/>
  <c r="T112" i="2"/>
  <c r="E117" i="6" s="1"/>
  <c r="F117" i="6" s="1"/>
  <c r="AL137" i="9"/>
  <c r="AM137" i="9" s="1"/>
  <c r="AN137" i="9" s="1"/>
  <c r="T125" i="2"/>
  <c r="E130" i="6" s="1"/>
  <c r="F130" i="6" s="1"/>
  <c r="AL132" i="9"/>
  <c r="AM132" i="9" s="1"/>
  <c r="AN132" i="9" s="1"/>
  <c r="T120" i="2"/>
  <c r="E125" i="6" s="1"/>
  <c r="F125" i="6" s="1"/>
  <c r="AL104" i="9"/>
  <c r="AM104" i="9" s="1"/>
  <c r="AN104" i="9" s="1"/>
  <c r="T92" i="2"/>
  <c r="E97" i="6" s="1"/>
  <c r="F97" i="6" s="1"/>
  <c r="AP169" i="9"/>
  <c r="AT169" i="9" s="1"/>
  <c r="AL92" i="9"/>
  <c r="AM92" i="9" s="1"/>
  <c r="AN92" i="9" s="1"/>
  <c r="T80" i="2"/>
  <c r="E85" i="6" s="1"/>
  <c r="F85" i="6" s="1"/>
  <c r="AL82" i="9"/>
  <c r="AM82" i="9" s="1"/>
  <c r="AN82" i="9" s="1"/>
  <c r="T70" i="2"/>
  <c r="E75" i="6" s="1"/>
  <c r="F75" i="6" s="1"/>
  <c r="AL54" i="9"/>
  <c r="AM54" i="9" s="1"/>
  <c r="AN54" i="9" s="1"/>
  <c r="T42" i="2"/>
  <c r="E47" i="6" s="1"/>
  <c r="F47" i="6" s="1"/>
  <c r="AL42" i="9"/>
  <c r="AM42" i="9" s="1"/>
  <c r="AN42" i="9" s="1"/>
  <c r="T30" i="2"/>
  <c r="E35" i="6" s="1"/>
  <c r="F35" i="6" s="1"/>
  <c r="AL44" i="9"/>
  <c r="AM44" i="9" s="1"/>
  <c r="AN44" i="9" s="1"/>
  <c r="T32" i="2"/>
  <c r="E37" i="6" s="1"/>
  <c r="F37" i="6" s="1"/>
  <c r="AL28" i="9"/>
  <c r="AM28" i="9" s="1"/>
  <c r="AN28" i="9" s="1"/>
  <c r="T16" i="2"/>
  <c r="E21" i="6" s="1"/>
  <c r="F21" i="6" s="1"/>
  <c r="F150" i="6"/>
  <c r="F166" i="6"/>
  <c r="F157" i="6"/>
  <c r="F45" i="6"/>
  <c r="T168" i="2"/>
  <c r="E173" i="6" s="1"/>
  <c r="F173" i="6" s="1"/>
  <c r="AL180" i="9"/>
  <c r="AM180" i="9" s="1"/>
  <c r="AN180" i="9" s="1"/>
  <c r="F65" i="6"/>
  <c r="F49" i="6"/>
  <c r="F159" i="6"/>
  <c r="F56" i="6"/>
  <c r="AL163" i="9"/>
  <c r="AM163" i="9" s="1"/>
  <c r="AN163" i="9" s="1"/>
  <c r="T151" i="2"/>
  <c r="E156" i="6" s="1"/>
  <c r="F156" i="6" s="1"/>
  <c r="AL184" i="9"/>
  <c r="AM184" i="9" s="1"/>
  <c r="AN184" i="9" s="1"/>
  <c r="T172" i="2"/>
  <c r="E177" i="6" s="1"/>
  <c r="F177" i="6" s="1"/>
  <c r="AL136" i="9"/>
  <c r="AM136" i="9" s="1"/>
  <c r="AN136" i="9" s="1"/>
  <c r="T124" i="2"/>
  <c r="E129" i="6" s="1"/>
  <c r="F129" i="6" s="1"/>
  <c r="AL193" i="9"/>
  <c r="AM193" i="9" s="1"/>
  <c r="AN193" i="9" s="1"/>
  <c r="T181" i="2"/>
  <c r="E186" i="6" s="1"/>
  <c r="F186" i="6" s="1"/>
  <c r="AL156" i="9"/>
  <c r="AM156" i="9" s="1"/>
  <c r="AN156" i="9" s="1"/>
  <c r="T144" i="2"/>
  <c r="E149" i="6" s="1"/>
  <c r="F149" i="6" s="1"/>
  <c r="AL151" i="9"/>
  <c r="AM151" i="9" s="1"/>
  <c r="AN151" i="9" s="1"/>
  <c r="T139" i="2"/>
  <c r="E144" i="6" s="1"/>
  <c r="F144" i="6" s="1"/>
  <c r="AL86" i="9"/>
  <c r="AM86" i="9" s="1"/>
  <c r="AN86" i="9" s="1"/>
  <c r="T74" i="2"/>
  <c r="E79" i="6" s="1"/>
  <c r="F79" i="6" s="1"/>
  <c r="AL62" i="9"/>
  <c r="AM62" i="9" s="1"/>
  <c r="AN62" i="9" s="1"/>
  <c r="T50" i="2"/>
  <c r="E55" i="6" s="1"/>
  <c r="F55" i="6" s="1"/>
  <c r="AL34" i="9"/>
  <c r="AM34" i="9" s="1"/>
  <c r="AN34" i="9" s="1"/>
  <c r="T22" i="2"/>
  <c r="E27" i="6" s="1"/>
  <c r="F27" i="6" s="1"/>
  <c r="AL76" i="9"/>
  <c r="AM76" i="9" s="1"/>
  <c r="AN76" i="9" s="1"/>
  <c r="T64" i="2"/>
  <c r="E69" i="6" s="1"/>
  <c r="F69" i="6" s="1"/>
  <c r="AL66" i="9"/>
  <c r="AM66" i="9" s="1"/>
  <c r="AN66" i="9" s="1"/>
  <c r="T54" i="2"/>
  <c r="E59" i="6" s="1"/>
  <c r="F59" i="6" s="1"/>
  <c r="F118" i="6"/>
  <c r="F136" i="6"/>
  <c r="F178" i="6"/>
  <c r="F158" i="6"/>
  <c r="F115" i="6"/>
  <c r="F110" i="6"/>
  <c r="F103" i="6"/>
  <c r="F151" i="6"/>
  <c r="F80" i="6"/>
  <c r="F52" i="6"/>
  <c r="AT191" i="9"/>
  <c r="AS191" i="9"/>
  <c r="AQ191" i="9"/>
  <c r="I184" i="6" s="1"/>
  <c r="AO186" i="9"/>
  <c r="AP186" i="9" s="1"/>
  <c r="AO184" i="9"/>
  <c r="AO109" i="9"/>
  <c r="AP109" i="9" s="1"/>
  <c r="AB119" i="9"/>
  <c r="AC119" i="9" s="1"/>
  <c r="AE119" i="9" s="1"/>
  <c r="AO119" i="9" s="1"/>
  <c r="U17" i="9"/>
  <c r="AB55" i="9"/>
  <c r="AC55" i="9" s="1"/>
  <c r="AE55" i="9" s="1"/>
  <c r="AO55" i="9" s="1"/>
  <c r="AP55" i="9" s="1"/>
  <c r="AO39" i="9"/>
  <c r="AP39" i="9" s="1"/>
  <c r="AB194" i="9"/>
  <c r="AC194" i="9" s="1"/>
  <c r="AE194" i="9" s="1"/>
  <c r="AO194" i="9" s="1"/>
  <c r="AP194" i="9" s="1"/>
  <c r="AO185" i="9"/>
  <c r="AP185" i="9" s="1"/>
  <c r="AB173" i="9"/>
  <c r="AC173" i="9" s="1"/>
  <c r="AE173" i="9" s="1"/>
  <c r="AO173" i="9" s="1"/>
  <c r="AP173" i="9" s="1"/>
  <c r="AO171" i="9"/>
  <c r="AP171" i="9" s="1"/>
  <c r="AB180" i="9"/>
  <c r="AC180" i="9" s="1"/>
  <c r="AE180" i="9" s="1"/>
  <c r="AO180" i="9" s="1"/>
  <c r="AP180" i="9" s="1"/>
  <c r="AO172" i="9"/>
  <c r="AP172" i="9" s="1"/>
  <c r="AB142" i="9"/>
  <c r="AC142" i="9" s="1"/>
  <c r="AE142" i="9" s="1"/>
  <c r="AO142" i="9" s="1"/>
  <c r="AP142" i="9" s="1"/>
  <c r="AS170" i="9"/>
  <c r="AT170" i="9"/>
  <c r="AO152" i="9"/>
  <c r="AP152" i="9" s="1"/>
  <c r="AB130" i="9"/>
  <c r="AC130" i="9" s="1"/>
  <c r="AE130" i="9" s="1"/>
  <c r="AO130" i="9" s="1"/>
  <c r="AP130" i="9" s="1"/>
  <c r="AO117" i="9"/>
  <c r="AP117" i="9" s="1"/>
  <c r="AO101" i="9"/>
  <c r="AP101" i="9" s="1"/>
  <c r="AO91" i="9"/>
  <c r="AP91" i="9" s="1"/>
  <c r="AO84" i="9"/>
  <c r="AP84" i="9" s="1"/>
  <c r="Y181" i="9"/>
  <c r="AB181" i="9" s="1"/>
  <c r="AC181" i="9" s="1"/>
  <c r="AE181" i="9" s="1"/>
  <c r="AO181" i="9" s="1"/>
  <c r="AP181" i="9" s="1"/>
  <c r="Y189" i="9"/>
  <c r="AB189" i="9" s="1"/>
  <c r="AC189" i="9" s="1"/>
  <c r="AE189" i="9" s="1"/>
  <c r="AO189" i="9" s="1"/>
  <c r="AP189" i="9" s="1"/>
  <c r="Y188" i="9"/>
  <c r="AB188" i="9" s="1"/>
  <c r="AC188" i="9" s="1"/>
  <c r="AE188" i="9" s="1"/>
  <c r="AO188" i="9" s="1"/>
  <c r="AP188" i="9" s="1"/>
  <c r="Y184" i="9"/>
  <c r="AB184" i="9" s="1"/>
  <c r="AC184" i="9" s="1"/>
  <c r="AE184" i="9" s="1"/>
  <c r="Y178" i="9"/>
  <c r="AB178" i="9" s="1"/>
  <c r="AC178" i="9" s="1"/>
  <c r="AE178" i="9" s="1"/>
  <c r="AO178" i="9" s="1"/>
  <c r="Y174" i="9"/>
  <c r="AB174" i="9" s="1"/>
  <c r="AC174" i="9" s="1"/>
  <c r="AE174" i="9" s="1"/>
  <c r="AO174" i="9" s="1"/>
  <c r="AP174" i="9" s="1"/>
  <c r="Y182" i="9"/>
  <c r="AB182" i="9" s="1"/>
  <c r="AC182" i="9" s="1"/>
  <c r="AE182" i="9" s="1"/>
  <c r="AO182" i="9" s="1"/>
  <c r="AP182" i="9" s="1"/>
  <c r="Y177" i="9"/>
  <c r="AB177" i="9" s="1"/>
  <c r="AC177" i="9" s="1"/>
  <c r="AE177" i="9" s="1"/>
  <c r="AO177" i="9" s="1"/>
  <c r="AP177" i="9" s="1"/>
  <c r="Y157" i="9"/>
  <c r="AB157" i="9" s="1"/>
  <c r="AC157" i="9" s="1"/>
  <c r="AE157" i="9" s="1"/>
  <c r="AO157" i="9" s="1"/>
  <c r="AP157" i="9" s="1"/>
  <c r="Y175" i="9"/>
  <c r="AB175" i="9" s="1"/>
  <c r="AC175" i="9" s="1"/>
  <c r="AE175" i="9" s="1"/>
  <c r="AO175" i="9" s="1"/>
  <c r="Y167" i="9"/>
  <c r="AB167" i="9" s="1"/>
  <c r="AC167" i="9" s="1"/>
  <c r="AE167" i="9" s="1"/>
  <c r="AO167" i="9" s="1"/>
  <c r="AP167" i="9" s="1"/>
  <c r="Y159" i="9"/>
  <c r="AB159" i="9" s="1"/>
  <c r="AC159" i="9" s="1"/>
  <c r="AE159" i="9" s="1"/>
  <c r="AO159" i="9" s="1"/>
  <c r="AP159" i="9" s="1"/>
  <c r="Y149" i="9"/>
  <c r="AB149" i="9" s="1"/>
  <c r="AC149" i="9" s="1"/>
  <c r="AE149" i="9" s="1"/>
  <c r="AO149" i="9" s="1"/>
  <c r="Y193" i="9"/>
  <c r="AB193" i="9" s="1"/>
  <c r="AC193" i="9" s="1"/>
  <c r="AE193" i="9" s="1"/>
  <c r="AO193" i="9" s="1"/>
  <c r="Y190" i="9"/>
  <c r="AB190" i="9" s="1"/>
  <c r="AC190" i="9" s="1"/>
  <c r="AE190" i="9" s="1"/>
  <c r="Y163" i="9"/>
  <c r="AB163" i="9" s="1"/>
  <c r="AC163" i="9" s="1"/>
  <c r="AE163" i="9" s="1"/>
  <c r="AO163" i="9" s="1"/>
  <c r="AP163" i="9" s="1"/>
  <c r="Y160" i="9"/>
  <c r="AB160" i="9" s="1"/>
  <c r="AC160" i="9" s="1"/>
  <c r="AE160" i="9" s="1"/>
  <c r="AO160" i="9" s="1"/>
  <c r="Y155" i="9"/>
  <c r="AB155" i="9" s="1"/>
  <c r="AC155" i="9" s="1"/>
  <c r="AE155" i="9" s="1"/>
  <c r="AO155" i="9" s="1"/>
  <c r="AP155" i="9" s="1"/>
  <c r="Y145" i="9"/>
  <c r="AB145" i="9" s="1"/>
  <c r="AC145" i="9" s="1"/>
  <c r="AE145" i="9" s="1"/>
  <c r="AO145" i="9" s="1"/>
  <c r="AP145" i="9" s="1"/>
  <c r="Y171" i="9"/>
  <c r="AB171" i="9" s="1"/>
  <c r="AC171" i="9" s="1"/>
  <c r="AE171" i="9" s="1"/>
  <c r="Y146" i="9"/>
  <c r="AB146" i="9" s="1"/>
  <c r="AC146" i="9" s="1"/>
  <c r="AE146" i="9" s="1"/>
  <c r="Y143" i="9"/>
  <c r="AB143" i="9" s="1"/>
  <c r="AC143" i="9" s="1"/>
  <c r="AE143" i="9" s="1"/>
  <c r="AO143" i="9" s="1"/>
  <c r="AP143" i="9" s="1"/>
  <c r="Y132" i="9"/>
  <c r="AB132" i="9" s="1"/>
  <c r="AC132" i="9" s="1"/>
  <c r="AE132" i="9" s="1"/>
  <c r="AO132" i="9" s="1"/>
  <c r="AP132" i="9" s="1"/>
  <c r="Y124" i="9"/>
  <c r="AB124" i="9" s="1"/>
  <c r="AC124" i="9" s="1"/>
  <c r="AE124" i="9" s="1"/>
  <c r="AO124" i="9" s="1"/>
  <c r="Y168" i="9"/>
  <c r="AB168" i="9" s="1"/>
  <c r="AC168" i="9" s="1"/>
  <c r="AE168" i="9" s="1"/>
  <c r="AO168" i="9" s="1"/>
  <c r="AP168" i="9" s="1"/>
  <c r="Y136" i="9"/>
  <c r="AB136" i="9" s="1"/>
  <c r="AC136" i="9" s="1"/>
  <c r="AE136" i="9" s="1"/>
  <c r="AO136" i="9" s="1"/>
  <c r="AP136" i="9" s="1"/>
  <c r="Y108" i="9"/>
  <c r="AB108" i="9" s="1"/>
  <c r="AC108" i="9" s="1"/>
  <c r="AE108" i="9" s="1"/>
  <c r="AO108" i="9" s="1"/>
  <c r="AP108" i="9" s="1"/>
  <c r="Y141" i="9"/>
  <c r="AB141" i="9" s="1"/>
  <c r="AC141" i="9" s="1"/>
  <c r="AE141" i="9" s="1"/>
  <c r="Y120" i="9"/>
  <c r="AB120" i="9" s="1"/>
  <c r="AC120" i="9" s="1"/>
  <c r="AE120" i="9" s="1"/>
  <c r="AO120" i="9" s="1"/>
  <c r="AP120" i="9" s="1"/>
  <c r="Y128" i="9"/>
  <c r="AB128" i="9" s="1"/>
  <c r="AC128" i="9" s="1"/>
  <c r="AE128" i="9" s="1"/>
  <c r="AO128" i="9" s="1"/>
  <c r="Y116" i="9"/>
  <c r="AB116" i="9" s="1"/>
  <c r="AC116" i="9" s="1"/>
  <c r="AE116" i="9" s="1"/>
  <c r="AO116" i="9" s="1"/>
  <c r="AP116" i="9" s="1"/>
  <c r="Y100" i="9"/>
  <c r="AB100" i="9" s="1"/>
  <c r="AC100" i="9" s="1"/>
  <c r="AE100" i="9" s="1"/>
  <c r="AO100" i="9" s="1"/>
  <c r="AP100" i="9" s="1"/>
  <c r="Y110" i="9"/>
  <c r="AB110" i="9" s="1"/>
  <c r="AC110" i="9" s="1"/>
  <c r="AE110" i="9" s="1"/>
  <c r="AO110" i="9" s="1"/>
  <c r="AP110" i="9" s="1"/>
  <c r="Y102" i="9"/>
  <c r="AB102" i="9" s="1"/>
  <c r="AC102" i="9" s="1"/>
  <c r="AE102" i="9" s="1"/>
  <c r="AO102" i="9" s="1"/>
  <c r="AP102" i="9" s="1"/>
  <c r="Y94" i="9"/>
  <c r="AB94" i="9" s="1"/>
  <c r="AC94" i="9" s="1"/>
  <c r="AE94" i="9" s="1"/>
  <c r="AO94" i="9" s="1"/>
  <c r="AP94" i="9" s="1"/>
  <c r="Y91" i="9"/>
  <c r="AB91" i="9" s="1"/>
  <c r="AC91" i="9" s="1"/>
  <c r="AE91" i="9" s="1"/>
  <c r="Y89" i="9"/>
  <c r="AB89" i="9" s="1"/>
  <c r="AC89" i="9" s="1"/>
  <c r="AE89" i="9" s="1"/>
  <c r="AO89" i="9" s="1"/>
  <c r="AP89" i="9" s="1"/>
  <c r="Y85" i="9"/>
  <c r="AB85" i="9" s="1"/>
  <c r="AC85" i="9" s="1"/>
  <c r="AE85" i="9" s="1"/>
  <c r="AO85" i="9" s="1"/>
  <c r="Y81" i="9"/>
  <c r="AB81" i="9" s="1"/>
  <c r="AC81" i="9" s="1"/>
  <c r="AE81" i="9" s="1"/>
  <c r="AO81" i="9" s="1"/>
  <c r="AP81" i="9" s="1"/>
  <c r="Y150" i="9"/>
  <c r="AB150" i="9" s="1"/>
  <c r="AC150" i="9" s="1"/>
  <c r="AE150" i="9" s="1"/>
  <c r="AO150" i="9" s="1"/>
  <c r="Y112" i="9"/>
  <c r="AB112" i="9" s="1"/>
  <c r="AC112" i="9" s="1"/>
  <c r="AE112" i="9" s="1"/>
  <c r="AO112" i="9" s="1"/>
  <c r="Y104" i="9"/>
  <c r="AB104" i="9" s="1"/>
  <c r="AC104" i="9" s="1"/>
  <c r="AE104" i="9" s="1"/>
  <c r="AO104" i="9" s="1"/>
  <c r="Y96" i="9"/>
  <c r="AB96" i="9" s="1"/>
  <c r="AC96" i="9" s="1"/>
  <c r="AE96" i="9" s="1"/>
  <c r="AO96" i="9" s="1"/>
  <c r="AP96" i="9" s="1"/>
  <c r="Y88" i="9"/>
  <c r="AB88" i="9" s="1"/>
  <c r="AC88" i="9" s="1"/>
  <c r="AE88" i="9" s="1"/>
  <c r="Y84" i="9"/>
  <c r="AB84" i="9" s="1"/>
  <c r="AC84" i="9" s="1"/>
  <c r="AE84" i="9" s="1"/>
  <c r="Y80" i="9"/>
  <c r="AB80" i="9" s="1"/>
  <c r="AC80" i="9" s="1"/>
  <c r="AE80" i="9" s="1"/>
  <c r="AO80" i="9" s="1"/>
  <c r="Y113" i="9"/>
  <c r="AB113" i="9" s="1"/>
  <c r="AC113" i="9" s="1"/>
  <c r="AE113" i="9" s="1"/>
  <c r="AO113" i="9" s="1"/>
  <c r="AP113" i="9" s="1"/>
  <c r="Y105" i="9"/>
  <c r="AB105" i="9" s="1"/>
  <c r="AC105" i="9" s="1"/>
  <c r="AE105" i="9" s="1"/>
  <c r="AO105" i="9" s="1"/>
  <c r="AP105" i="9" s="1"/>
  <c r="Y98" i="9"/>
  <c r="AB98" i="9" s="1"/>
  <c r="AC98" i="9" s="1"/>
  <c r="AE98" i="9" s="1"/>
  <c r="AO98" i="9" s="1"/>
  <c r="AP98" i="9" s="1"/>
  <c r="Y118" i="9"/>
  <c r="AB118" i="9" s="1"/>
  <c r="AC118" i="9" s="1"/>
  <c r="AE118" i="9" s="1"/>
  <c r="AO118" i="9" s="1"/>
  <c r="AP118" i="9" s="1"/>
  <c r="Y92" i="9"/>
  <c r="AB92" i="9" s="1"/>
  <c r="AC92" i="9" s="1"/>
  <c r="AE92" i="9" s="1"/>
  <c r="AO92" i="9" s="1"/>
  <c r="AP92" i="9" s="1"/>
  <c r="Y90" i="9"/>
  <c r="AB90" i="9" s="1"/>
  <c r="AC90" i="9" s="1"/>
  <c r="AE90" i="9" s="1"/>
  <c r="AO90" i="9" s="1"/>
  <c r="Y86" i="9"/>
  <c r="AB86" i="9" s="1"/>
  <c r="AC86" i="9" s="1"/>
  <c r="AE86" i="9" s="1"/>
  <c r="AO86" i="9" s="1"/>
  <c r="Y64" i="9"/>
  <c r="AB64" i="9" s="1"/>
  <c r="AC64" i="9" s="1"/>
  <c r="AE64" i="9" s="1"/>
  <c r="AO64" i="9" s="1"/>
  <c r="AP64" i="9" s="1"/>
  <c r="Y60" i="9"/>
  <c r="AB60" i="9" s="1"/>
  <c r="AC60" i="9" s="1"/>
  <c r="AE60" i="9" s="1"/>
  <c r="AO60" i="9" s="1"/>
  <c r="AP60" i="9" s="1"/>
  <c r="Y56" i="9"/>
  <c r="AB56" i="9" s="1"/>
  <c r="AC56" i="9" s="1"/>
  <c r="AE56" i="9" s="1"/>
  <c r="AO56" i="9" s="1"/>
  <c r="AP56" i="9" s="1"/>
  <c r="Y52" i="9"/>
  <c r="AB52" i="9" s="1"/>
  <c r="AC52" i="9" s="1"/>
  <c r="AE52" i="9" s="1"/>
  <c r="AO52" i="9" s="1"/>
  <c r="AP52" i="9" s="1"/>
  <c r="Y76" i="9"/>
  <c r="AB76" i="9" s="1"/>
  <c r="AC76" i="9" s="1"/>
  <c r="AE76" i="9" s="1"/>
  <c r="AO76" i="9" s="1"/>
  <c r="Y72" i="9"/>
  <c r="AB72" i="9" s="1"/>
  <c r="AC72" i="9" s="1"/>
  <c r="AE72" i="9" s="1"/>
  <c r="AO72" i="9" s="1"/>
  <c r="AP72" i="9" s="1"/>
  <c r="Y68" i="9"/>
  <c r="AB68" i="9" s="1"/>
  <c r="AC68" i="9" s="1"/>
  <c r="AE68" i="9" s="1"/>
  <c r="AO68" i="9" s="1"/>
  <c r="AP68" i="9" s="1"/>
  <c r="Y82" i="9"/>
  <c r="AB82" i="9" s="1"/>
  <c r="AC82" i="9" s="1"/>
  <c r="AE82" i="9" s="1"/>
  <c r="AO82" i="9" s="1"/>
  <c r="Y77" i="9"/>
  <c r="AB77" i="9" s="1"/>
  <c r="AC77" i="9" s="1"/>
  <c r="AE77" i="9" s="1"/>
  <c r="AO77" i="9" s="1"/>
  <c r="AP77" i="9" s="1"/>
  <c r="Y42" i="9"/>
  <c r="AB42" i="9" s="1"/>
  <c r="AC42" i="9" s="1"/>
  <c r="AE42" i="9" s="1"/>
  <c r="AO42" i="9" s="1"/>
  <c r="AP42" i="9" s="1"/>
  <c r="Y34" i="9"/>
  <c r="AB34" i="9" s="1"/>
  <c r="AC34" i="9" s="1"/>
  <c r="AE34" i="9" s="1"/>
  <c r="AO34" i="9" s="1"/>
  <c r="AP34" i="9" s="1"/>
  <c r="Y46" i="9"/>
  <c r="AB46" i="9" s="1"/>
  <c r="AC46" i="9" s="1"/>
  <c r="AE46" i="9" s="1"/>
  <c r="AO46" i="9" s="1"/>
  <c r="AP46" i="9" s="1"/>
  <c r="Y54" i="9"/>
  <c r="AB54" i="9" s="1"/>
  <c r="AC54" i="9" s="1"/>
  <c r="AE54" i="9" s="1"/>
  <c r="AO54" i="9" s="1"/>
  <c r="AP54" i="9" s="1"/>
  <c r="Y48" i="9"/>
  <c r="AB48" i="9" s="1"/>
  <c r="AC48" i="9" s="1"/>
  <c r="AE48" i="9" s="1"/>
  <c r="AO48" i="9" s="1"/>
  <c r="AP48" i="9" s="1"/>
  <c r="Y74" i="9"/>
  <c r="AB74" i="9" s="1"/>
  <c r="AC74" i="9" s="1"/>
  <c r="AE74" i="9" s="1"/>
  <c r="AO74" i="9" s="1"/>
  <c r="AP74" i="9" s="1"/>
  <c r="Y66" i="9"/>
  <c r="AB66" i="9" s="1"/>
  <c r="AC66" i="9" s="1"/>
  <c r="AE66" i="9" s="1"/>
  <c r="AO66" i="9" s="1"/>
  <c r="Y58" i="9"/>
  <c r="AB58" i="9" s="1"/>
  <c r="AC58" i="9" s="1"/>
  <c r="AE58" i="9" s="1"/>
  <c r="AO58" i="9" s="1"/>
  <c r="Y50" i="9"/>
  <c r="AB50" i="9" s="1"/>
  <c r="AC50" i="9" s="1"/>
  <c r="AE50" i="9" s="1"/>
  <c r="AO50" i="9" s="1"/>
  <c r="Y44" i="9"/>
  <c r="AB44" i="9" s="1"/>
  <c r="AC44" i="9" s="1"/>
  <c r="AE44" i="9" s="1"/>
  <c r="AO44" i="9" s="1"/>
  <c r="Y36" i="9"/>
  <c r="AB36" i="9" s="1"/>
  <c r="AC36" i="9" s="1"/>
  <c r="AE36" i="9" s="1"/>
  <c r="AO36" i="9" s="1"/>
  <c r="AP36" i="9" s="1"/>
  <c r="Y28" i="9"/>
  <c r="AB28" i="9" s="1"/>
  <c r="AC28" i="9" s="1"/>
  <c r="AE28" i="9" s="1"/>
  <c r="AO28" i="9" s="1"/>
  <c r="Y38" i="9"/>
  <c r="AB38" i="9" s="1"/>
  <c r="AC38" i="9" s="1"/>
  <c r="AE38" i="9" s="1"/>
  <c r="AO38" i="9" s="1"/>
  <c r="AP38" i="9" s="1"/>
  <c r="Y30" i="9"/>
  <c r="AB30" i="9" s="1"/>
  <c r="AC30" i="9" s="1"/>
  <c r="AE30" i="9" s="1"/>
  <c r="AO30" i="9" s="1"/>
  <c r="Y70" i="9"/>
  <c r="AB70" i="9" s="1"/>
  <c r="AC70" i="9" s="1"/>
  <c r="AE70" i="9" s="1"/>
  <c r="AO70" i="9" s="1"/>
  <c r="Y62" i="9"/>
  <c r="AB62" i="9" s="1"/>
  <c r="AC62" i="9" s="1"/>
  <c r="AE62" i="9" s="1"/>
  <c r="AO62" i="9" s="1"/>
  <c r="AP62" i="9" s="1"/>
  <c r="Y40" i="9"/>
  <c r="AB40" i="9" s="1"/>
  <c r="AC40" i="9" s="1"/>
  <c r="AE40" i="9" s="1"/>
  <c r="AO40" i="9" s="1"/>
  <c r="Y32" i="9"/>
  <c r="AB32" i="9" s="1"/>
  <c r="AC32" i="9" s="1"/>
  <c r="AE32" i="9" s="1"/>
  <c r="AO32" i="9" s="1"/>
  <c r="Y61" i="9"/>
  <c r="AB61" i="9" s="1"/>
  <c r="AC61" i="9" s="1"/>
  <c r="AE61" i="9" s="1"/>
  <c r="AO61" i="9" s="1"/>
  <c r="Y29" i="9"/>
  <c r="AB29" i="9" s="1"/>
  <c r="AC29" i="9" s="1"/>
  <c r="AE29" i="9" s="1"/>
  <c r="AO29" i="9" s="1"/>
  <c r="AP29" i="9" s="1"/>
  <c r="Y57" i="9"/>
  <c r="AB57" i="9" s="1"/>
  <c r="AC57" i="9" s="1"/>
  <c r="AE57" i="9" s="1"/>
  <c r="AO57" i="9" s="1"/>
  <c r="AP57" i="9" s="1"/>
  <c r="Y41" i="9"/>
  <c r="AB41" i="9" s="1"/>
  <c r="AC41" i="9" s="1"/>
  <c r="AE41" i="9" s="1"/>
  <c r="AO41" i="9" s="1"/>
  <c r="AP41" i="9" s="1"/>
  <c r="Y51" i="9"/>
  <c r="AB51" i="9" s="1"/>
  <c r="AC51" i="9" s="1"/>
  <c r="AE51" i="9" s="1"/>
  <c r="AO51" i="9" s="1"/>
  <c r="AP51" i="9" s="1"/>
  <c r="AO146" i="9"/>
  <c r="AP146" i="9" s="1"/>
  <c r="AP144" i="9"/>
  <c r="AB195" i="9"/>
  <c r="AC195" i="9" s="1"/>
  <c r="AE195" i="9" s="1"/>
  <c r="AO195" i="9" s="1"/>
  <c r="AP195" i="9" s="1"/>
  <c r="AO187" i="9"/>
  <c r="AP187" i="9" s="1"/>
  <c r="AO93" i="9"/>
  <c r="AP93" i="9" s="1"/>
  <c r="AO88" i="9"/>
  <c r="AP88" i="9" s="1"/>
  <c r="AO53" i="9"/>
  <c r="AP53" i="9" s="1"/>
  <c r="AO63" i="9"/>
  <c r="AP63" i="9" s="1"/>
  <c r="AO190" i="9"/>
  <c r="AP190" i="9" s="1"/>
  <c r="AB176" i="9"/>
  <c r="AC176" i="9" s="1"/>
  <c r="AE176" i="9" s="1"/>
  <c r="AO176" i="9" s="1"/>
  <c r="AP176" i="9" s="1"/>
  <c r="AO165" i="9"/>
  <c r="AP165" i="9" s="1"/>
  <c r="AO156" i="9"/>
  <c r="AP156" i="9" s="1"/>
  <c r="Y148" i="9"/>
  <c r="AB148" i="9" s="1"/>
  <c r="AC148" i="9" s="1"/>
  <c r="AE148" i="9" s="1"/>
  <c r="AO148" i="9" s="1"/>
  <c r="AP148" i="9" s="1"/>
  <c r="AO158" i="9"/>
  <c r="AP158" i="9" s="1"/>
  <c r="Y127" i="9"/>
  <c r="AB127" i="9" s="1"/>
  <c r="AC127" i="9" s="1"/>
  <c r="AE127" i="9" s="1"/>
  <c r="AO127" i="9" s="1"/>
  <c r="AP127" i="9" s="1"/>
  <c r="AO141" i="9"/>
  <c r="AP141" i="9" s="1"/>
  <c r="AO135" i="9"/>
  <c r="AP135" i="9" s="1"/>
  <c r="Y121" i="9"/>
  <c r="AB121" i="9" s="1"/>
  <c r="AC121" i="9" s="1"/>
  <c r="AE121" i="9" s="1"/>
  <c r="AO121" i="9" s="1"/>
  <c r="AP121" i="9" s="1"/>
  <c r="Y151" i="9"/>
  <c r="AB151" i="9" s="1"/>
  <c r="AC151" i="9" s="1"/>
  <c r="AE151" i="9" s="1"/>
  <c r="AO151" i="9" s="1"/>
  <c r="AP151" i="9" s="1"/>
  <c r="Y122" i="9"/>
  <c r="AB122" i="9" s="1"/>
  <c r="AC122" i="9" s="1"/>
  <c r="AE122" i="9" s="1"/>
  <c r="AO122" i="9" s="1"/>
  <c r="AP122" i="9" s="1"/>
  <c r="Y164" i="9"/>
  <c r="AB164" i="9" s="1"/>
  <c r="AC164" i="9" s="1"/>
  <c r="AE164" i="9" s="1"/>
  <c r="AO164" i="9" s="1"/>
  <c r="AP164" i="9" s="1"/>
  <c r="Y125" i="9"/>
  <c r="AB125" i="9" s="1"/>
  <c r="AC125" i="9" s="1"/>
  <c r="AE125" i="9" s="1"/>
  <c r="AO125" i="9" s="1"/>
  <c r="AP125" i="9" s="1"/>
  <c r="Y115" i="9"/>
  <c r="AB115" i="9" s="1"/>
  <c r="AC115" i="9" s="1"/>
  <c r="AE115" i="9" s="1"/>
  <c r="AO115" i="9" s="1"/>
  <c r="AP115" i="9" s="1"/>
  <c r="Y137" i="9"/>
  <c r="AB137" i="9" s="1"/>
  <c r="AC137" i="9" s="1"/>
  <c r="AE137" i="9" s="1"/>
  <c r="AO137" i="9" s="1"/>
  <c r="AP137" i="9" s="1"/>
  <c r="Y114" i="9"/>
  <c r="AB114" i="9" s="1"/>
  <c r="AC114" i="9" s="1"/>
  <c r="AE114" i="9" s="1"/>
  <c r="AO114" i="9" s="1"/>
  <c r="AP114" i="9" s="1"/>
  <c r="Y95" i="9"/>
  <c r="AB95" i="9" s="1"/>
  <c r="AC95" i="9" s="1"/>
  <c r="AE95" i="9" s="1"/>
  <c r="AO95" i="9" s="1"/>
  <c r="AP95" i="9" s="1"/>
  <c r="Y83" i="9"/>
  <c r="AB83" i="9" s="1"/>
  <c r="AC83" i="9" s="1"/>
  <c r="AE83" i="9" s="1"/>
  <c r="AO83" i="9" s="1"/>
  <c r="Y79" i="9"/>
  <c r="AB79" i="9" s="1"/>
  <c r="AC79" i="9" s="1"/>
  <c r="AE79" i="9" s="1"/>
  <c r="AO79" i="9" s="1"/>
  <c r="AP79" i="9" s="1"/>
  <c r="Y47" i="9"/>
  <c r="AB47" i="9" s="1"/>
  <c r="AC47" i="9" s="1"/>
  <c r="AE47" i="9" s="1"/>
  <c r="AO47" i="9" s="1"/>
  <c r="AP47" i="9" s="1"/>
  <c r="AO37" i="9"/>
  <c r="Y31" i="9"/>
  <c r="AB31" i="9" s="1"/>
  <c r="AC31" i="9" s="1"/>
  <c r="AE31" i="9" s="1"/>
  <c r="AO31" i="9" s="1"/>
  <c r="AP31" i="9" s="1"/>
  <c r="Y27" i="9"/>
  <c r="AB27" i="9" s="1"/>
  <c r="Y69" i="9"/>
  <c r="AB69" i="9" s="1"/>
  <c r="AC69" i="9" s="1"/>
  <c r="AE69" i="9" s="1"/>
  <c r="AO69" i="9" s="1"/>
  <c r="AP69" i="9" s="1"/>
  <c r="Y45" i="9"/>
  <c r="AB45" i="9" s="1"/>
  <c r="AC45" i="9" s="1"/>
  <c r="AE45" i="9" s="1"/>
  <c r="AO45" i="9" s="1"/>
  <c r="AP45" i="9" s="1"/>
  <c r="Y71" i="9"/>
  <c r="AB71" i="9" s="1"/>
  <c r="AC71" i="9" s="1"/>
  <c r="AE71" i="9" s="1"/>
  <c r="AO71" i="9" s="1"/>
  <c r="AP71" i="9" s="1"/>
  <c r="Y49" i="9"/>
  <c r="AB49" i="9" s="1"/>
  <c r="AC49" i="9" s="1"/>
  <c r="AE49" i="9" s="1"/>
  <c r="AO49" i="9" s="1"/>
  <c r="AP49" i="9" s="1"/>
  <c r="Y43" i="9"/>
  <c r="AB43" i="9" s="1"/>
  <c r="AC43" i="9" s="1"/>
  <c r="AE43" i="9" s="1"/>
  <c r="AO43" i="9" s="1"/>
  <c r="AP43" i="9" s="1"/>
  <c r="Y75" i="9"/>
  <c r="AB75" i="9" s="1"/>
  <c r="AC75" i="9" s="1"/>
  <c r="AE75" i="9" s="1"/>
  <c r="AO75" i="9" s="1"/>
  <c r="AP75" i="9" s="1"/>
  <c r="Y59" i="9"/>
  <c r="AB59" i="9" s="1"/>
  <c r="AC59" i="9" s="1"/>
  <c r="AE59" i="9" s="1"/>
  <c r="AO59" i="9" s="1"/>
  <c r="AP59" i="9" s="1"/>
  <c r="AT66" i="8"/>
  <c r="AS66" i="8"/>
  <c r="AQ66" i="8"/>
  <c r="BQ66" i="8" s="1"/>
  <c r="AD59" i="6" s="1"/>
  <c r="BI66" i="8"/>
  <c r="AT142" i="8"/>
  <c r="AQ142" i="8"/>
  <c r="BQ142" i="8" s="1"/>
  <c r="AD135" i="6" s="1"/>
  <c r="AS142" i="8"/>
  <c r="AT104" i="8"/>
  <c r="AS104" i="8"/>
  <c r="AQ104" i="8"/>
  <c r="BQ104" i="8" s="1"/>
  <c r="AD97" i="6" s="1"/>
  <c r="BI104" i="8"/>
  <c r="BI51" i="8"/>
  <c r="AT51" i="8"/>
  <c r="AS51" i="8"/>
  <c r="AN17" i="8"/>
  <c r="AO181" i="8"/>
  <c r="AP181" i="8" s="1"/>
  <c r="AB178" i="8"/>
  <c r="AC178" i="8" s="1"/>
  <c r="AE178" i="8" s="1"/>
  <c r="AO91" i="8"/>
  <c r="AP91" i="8" s="1"/>
  <c r="AB27" i="8"/>
  <c r="AB57" i="8"/>
  <c r="AC57" i="8" s="1"/>
  <c r="AE57" i="8" s="1"/>
  <c r="AO57" i="8" s="1"/>
  <c r="AP57" i="8" s="1"/>
  <c r="Y186" i="8"/>
  <c r="AB186" i="8" s="1"/>
  <c r="AC186" i="8" s="1"/>
  <c r="AE186" i="8" s="1"/>
  <c r="AO186" i="8" s="1"/>
  <c r="AP186" i="8" s="1"/>
  <c r="Y195" i="8"/>
  <c r="AB195" i="8" s="1"/>
  <c r="AC195" i="8" s="1"/>
  <c r="AE195" i="8" s="1"/>
  <c r="AO195" i="8" s="1"/>
  <c r="AP195" i="8" s="1"/>
  <c r="Y188" i="8"/>
  <c r="AB188" i="8" s="1"/>
  <c r="AC188" i="8" s="1"/>
  <c r="AE188" i="8" s="1"/>
  <c r="AO188" i="8" s="1"/>
  <c r="AP188" i="8" s="1"/>
  <c r="Y183" i="8"/>
  <c r="AB183" i="8" s="1"/>
  <c r="AC183" i="8" s="1"/>
  <c r="AE183" i="8" s="1"/>
  <c r="AO183" i="8" s="1"/>
  <c r="AP183" i="8" s="1"/>
  <c r="Y191" i="8"/>
  <c r="AB191" i="8" s="1"/>
  <c r="AC191" i="8" s="1"/>
  <c r="AE191" i="8" s="1"/>
  <c r="AO191" i="8" s="1"/>
  <c r="AP191" i="8" s="1"/>
  <c r="Y187" i="8"/>
  <c r="AB187" i="8" s="1"/>
  <c r="AC187" i="8" s="1"/>
  <c r="AE187" i="8" s="1"/>
  <c r="AO187" i="8" s="1"/>
  <c r="AP187" i="8" s="1"/>
  <c r="Y189" i="8"/>
  <c r="AB189" i="8" s="1"/>
  <c r="AC189" i="8" s="1"/>
  <c r="AE189" i="8" s="1"/>
  <c r="AO189" i="8" s="1"/>
  <c r="AP189" i="8" s="1"/>
  <c r="Y185" i="8"/>
  <c r="AB185" i="8" s="1"/>
  <c r="AC185" i="8" s="1"/>
  <c r="AE185" i="8" s="1"/>
  <c r="AO185" i="8" s="1"/>
  <c r="AP185" i="8" s="1"/>
  <c r="Y180" i="8"/>
  <c r="AB180" i="8" s="1"/>
  <c r="AC180" i="8" s="1"/>
  <c r="AE180" i="8" s="1"/>
  <c r="AO180" i="8" s="1"/>
  <c r="AP180" i="8" s="1"/>
  <c r="Y171" i="8"/>
  <c r="AB171" i="8" s="1"/>
  <c r="AC171" i="8" s="1"/>
  <c r="AE171" i="8" s="1"/>
  <c r="AO171" i="8" s="1"/>
  <c r="AP171" i="8" s="1"/>
  <c r="Y167" i="8"/>
  <c r="AB167" i="8" s="1"/>
  <c r="AC167" i="8" s="1"/>
  <c r="AE167" i="8" s="1"/>
  <c r="AO167" i="8" s="1"/>
  <c r="AP167" i="8" s="1"/>
  <c r="Y163" i="8"/>
  <c r="AB163" i="8" s="1"/>
  <c r="AC163" i="8" s="1"/>
  <c r="AE163" i="8" s="1"/>
  <c r="Y176" i="8"/>
  <c r="AB176" i="8" s="1"/>
  <c r="AC176" i="8" s="1"/>
  <c r="AE176" i="8" s="1"/>
  <c r="Y170" i="8"/>
  <c r="AB170" i="8" s="1"/>
  <c r="AC170" i="8" s="1"/>
  <c r="AE170" i="8" s="1"/>
  <c r="AO170" i="8" s="1"/>
  <c r="AP170" i="8" s="1"/>
  <c r="Y174" i="8"/>
  <c r="AB174" i="8" s="1"/>
  <c r="AC174" i="8" s="1"/>
  <c r="AE174" i="8" s="1"/>
  <c r="AO174" i="8" s="1"/>
  <c r="AP174" i="8" s="1"/>
  <c r="Y156" i="8"/>
  <c r="AB156" i="8" s="1"/>
  <c r="AC156" i="8" s="1"/>
  <c r="AE156" i="8" s="1"/>
  <c r="AO156" i="8" s="1"/>
  <c r="AP156" i="8" s="1"/>
  <c r="Y152" i="8"/>
  <c r="AB152" i="8" s="1"/>
  <c r="AC152" i="8" s="1"/>
  <c r="AE152" i="8" s="1"/>
  <c r="AO152" i="8" s="1"/>
  <c r="AP152" i="8" s="1"/>
  <c r="Y159" i="8"/>
  <c r="AB159" i="8" s="1"/>
  <c r="AC159" i="8" s="1"/>
  <c r="AE159" i="8" s="1"/>
  <c r="AO159" i="8" s="1"/>
  <c r="AP159" i="8" s="1"/>
  <c r="Y148" i="8"/>
  <c r="AB148" i="8" s="1"/>
  <c r="AC148" i="8" s="1"/>
  <c r="AE148" i="8" s="1"/>
  <c r="AO148" i="8" s="1"/>
  <c r="AP148" i="8" s="1"/>
  <c r="Y144" i="8"/>
  <c r="AB144" i="8" s="1"/>
  <c r="AC144" i="8" s="1"/>
  <c r="AE144" i="8" s="1"/>
  <c r="AO144" i="8" s="1"/>
  <c r="AP144" i="8" s="1"/>
  <c r="Y140" i="8"/>
  <c r="AB140" i="8" s="1"/>
  <c r="AC140" i="8" s="1"/>
  <c r="AE140" i="8" s="1"/>
  <c r="AO140" i="8" s="1"/>
  <c r="AP140" i="8" s="1"/>
  <c r="Y162" i="8"/>
  <c r="AB162" i="8" s="1"/>
  <c r="AC162" i="8" s="1"/>
  <c r="AE162" i="8" s="1"/>
  <c r="AO162" i="8" s="1"/>
  <c r="AP162" i="8" s="1"/>
  <c r="Y161" i="8"/>
  <c r="AB161" i="8" s="1"/>
  <c r="AC161" i="8" s="1"/>
  <c r="AE161" i="8" s="1"/>
  <c r="AO161" i="8" s="1"/>
  <c r="AP161" i="8" s="1"/>
  <c r="Y155" i="8"/>
  <c r="AB155" i="8" s="1"/>
  <c r="AC155" i="8" s="1"/>
  <c r="AE155" i="8" s="1"/>
  <c r="AO155" i="8" s="1"/>
  <c r="AP155" i="8" s="1"/>
  <c r="Y151" i="8"/>
  <c r="AB151" i="8" s="1"/>
  <c r="AC151" i="8" s="1"/>
  <c r="AE151" i="8" s="1"/>
  <c r="AO151" i="8" s="1"/>
  <c r="AP151" i="8" s="1"/>
  <c r="Y147" i="8"/>
  <c r="AB147" i="8" s="1"/>
  <c r="AC147" i="8" s="1"/>
  <c r="AE147" i="8" s="1"/>
  <c r="AO147" i="8" s="1"/>
  <c r="AP147" i="8" s="1"/>
  <c r="Y133" i="8"/>
  <c r="AB133" i="8" s="1"/>
  <c r="AC133" i="8" s="1"/>
  <c r="AE133" i="8" s="1"/>
  <c r="AO133" i="8" s="1"/>
  <c r="AP133" i="8" s="1"/>
  <c r="Y129" i="8"/>
  <c r="AB129" i="8" s="1"/>
  <c r="AC129" i="8" s="1"/>
  <c r="AE129" i="8" s="1"/>
  <c r="AO129" i="8" s="1"/>
  <c r="AP129" i="8" s="1"/>
  <c r="Y125" i="8"/>
  <c r="AB125" i="8" s="1"/>
  <c r="AC125" i="8" s="1"/>
  <c r="AE125" i="8" s="1"/>
  <c r="Y121" i="8"/>
  <c r="AB121" i="8" s="1"/>
  <c r="AC121" i="8" s="1"/>
  <c r="AE121" i="8" s="1"/>
  <c r="AO121" i="8" s="1"/>
  <c r="AP121" i="8" s="1"/>
  <c r="Y117" i="8"/>
  <c r="AB117" i="8" s="1"/>
  <c r="AC117" i="8" s="1"/>
  <c r="AE117" i="8" s="1"/>
  <c r="AO117" i="8" s="1"/>
  <c r="AP117" i="8" s="1"/>
  <c r="Y158" i="8"/>
  <c r="AB158" i="8" s="1"/>
  <c r="AC158" i="8" s="1"/>
  <c r="AE158" i="8" s="1"/>
  <c r="AO158" i="8" s="1"/>
  <c r="AP158" i="8" s="1"/>
  <c r="Y143" i="8"/>
  <c r="AB143" i="8" s="1"/>
  <c r="AC143" i="8" s="1"/>
  <c r="AE143" i="8" s="1"/>
  <c r="AO143" i="8" s="1"/>
  <c r="AP143" i="8" s="1"/>
  <c r="Y150" i="8"/>
  <c r="AB150" i="8" s="1"/>
  <c r="AC150" i="8" s="1"/>
  <c r="AE150" i="8" s="1"/>
  <c r="AO150" i="8" s="1"/>
  <c r="AP150" i="8" s="1"/>
  <c r="Y146" i="8"/>
  <c r="AB146" i="8" s="1"/>
  <c r="AC146" i="8" s="1"/>
  <c r="AE146" i="8" s="1"/>
  <c r="AO146" i="8" s="1"/>
  <c r="AP146" i="8" s="1"/>
  <c r="Y132" i="8"/>
  <c r="AB132" i="8" s="1"/>
  <c r="AC132" i="8" s="1"/>
  <c r="AE132" i="8" s="1"/>
  <c r="AO132" i="8" s="1"/>
  <c r="AP132" i="8" s="1"/>
  <c r="Y127" i="8"/>
  <c r="AB127" i="8" s="1"/>
  <c r="AC127" i="8" s="1"/>
  <c r="AE127" i="8" s="1"/>
  <c r="AO127" i="8" s="1"/>
  <c r="AP127" i="8" s="1"/>
  <c r="Y112" i="8"/>
  <c r="AB112" i="8" s="1"/>
  <c r="AC112" i="8" s="1"/>
  <c r="AE112" i="8" s="1"/>
  <c r="AO112" i="8" s="1"/>
  <c r="AP112" i="8" s="1"/>
  <c r="Y111" i="8"/>
  <c r="AB111" i="8" s="1"/>
  <c r="AC111" i="8" s="1"/>
  <c r="AE111" i="8" s="1"/>
  <c r="AO111" i="8" s="1"/>
  <c r="AP111" i="8" s="1"/>
  <c r="Y106" i="8"/>
  <c r="AB106" i="8" s="1"/>
  <c r="AC106" i="8" s="1"/>
  <c r="AE106" i="8" s="1"/>
  <c r="Y102" i="8"/>
  <c r="AB102" i="8" s="1"/>
  <c r="AC102" i="8" s="1"/>
  <c r="AE102" i="8" s="1"/>
  <c r="AO102" i="8" s="1"/>
  <c r="AP102" i="8" s="1"/>
  <c r="Y98" i="8"/>
  <c r="AB98" i="8" s="1"/>
  <c r="AC98" i="8" s="1"/>
  <c r="AE98" i="8" s="1"/>
  <c r="AO98" i="8" s="1"/>
  <c r="AP98" i="8" s="1"/>
  <c r="Y94" i="8"/>
  <c r="AB94" i="8" s="1"/>
  <c r="AC94" i="8" s="1"/>
  <c r="AE94" i="8" s="1"/>
  <c r="AO94" i="8" s="1"/>
  <c r="AP94" i="8" s="1"/>
  <c r="Y90" i="8"/>
  <c r="AB90" i="8" s="1"/>
  <c r="AC90" i="8" s="1"/>
  <c r="AE90" i="8" s="1"/>
  <c r="AO90" i="8" s="1"/>
  <c r="AP90" i="8" s="1"/>
  <c r="Y136" i="8"/>
  <c r="AB136" i="8" s="1"/>
  <c r="AC136" i="8" s="1"/>
  <c r="AE136" i="8" s="1"/>
  <c r="AO136" i="8" s="1"/>
  <c r="AP136" i="8" s="1"/>
  <c r="Y128" i="8"/>
  <c r="AB128" i="8" s="1"/>
  <c r="AC128" i="8" s="1"/>
  <c r="AE128" i="8" s="1"/>
  <c r="AO128" i="8" s="1"/>
  <c r="AP128" i="8" s="1"/>
  <c r="Y166" i="8"/>
  <c r="AB166" i="8" s="1"/>
  <c r="AC166" i="8" s="1"/>
  <c r="AE166" i="8" s="1"/>
  <c r="AO166" i="8" s="1"/>
  <c r="AP166" i="8" s="1"/>
  <c r="Y108" i="8"/>
  <c r="AB108" i="8" s="1"/>
  <c r="AC108" i="8" s="1"/>
  <c r="AE108" i="8" s="1"/>
  <c r="AO108" i="8" s="1"/>
  <c r="AP108" i="8" s="1"/>
  <c r="Y97" i="8"/>
  <c r="AB97" i="8" s="1"/>
  <c r="AC97" i="8" s="1"/>
  <c r="AE97" i="8" s="1"/>
  <c r="AO97" i="8" s="1"/>
  <c r="AP97" i="8" s="1"/>
  <c r="Y92" i="8"/>
  <c r="AB92" i="8" s="1"/>
  <c r="AC92" i="8" s="1"/>
  <c r="AE92" i="8" s="1"/>
  <c r="AO92" i="8" s="1"/>
  <c r="AP92" i="8" s="1"/>
  <c r="Y85" i="8"/>
  <c r="AB85" i="8" s="1"/>
  <c r="AC85" i="8" s="1"/>
  <c r="AE85" i="8" s="1"/>
  <c r="AO85" i="8" s="1"/>
  <c r="AP85" i="8" s="1"/>
  <c r="Y84" i="8"/>
  <c r="AB84" i="8" s="1"/>
  <c r="AC84" i="8" s="1"/>
  <c r="AE84" i="8" s="1"/>
  <c r="AO84" i="8" s="1"/>
  <c r="AP84" i="8" s="1"/>
  <c r="Y76" i="8"/>
  <c r="AB76" i="8" s="1"/>
  <c r="AC76" i="8" s="1"/>
  <c r="AE76" i="8" s="1"/>
  <c r="AO76" i="8" s="1"/>
  <c r="AP76" i="8" s="1"/>
  <c r="Y72" i="8"/>
  <c r="AB72" i="8" s="1"/>
  <c r="AC72" i="8" s="1"/>
  <c r="AE72" i="8" s="1"/>
  <c r="AO72" i="8" s="1"/>
  <c r="AP72" i="8" s="1"/>
  <c r="Y68" i="8"/>
  <c r="AB68" i="8" s="1"/>
  <c r="AC68" i="8" s="1"/>
  <c r="AE68" i="8" s="1"/>
  <c r="AO68" i="8" s="1"/>
  <c r="AP68" i="8" s="1"/>
  <c r="Y64" i="8"/>
  <c r="AB64" i="8" s="1"/>
  <c r="AC64" i="8" s="1"/>
  <c r="AE64" i="8" s="1"/>
  <c r="AO64" i="8" s="1"/>
  <c r="AP64" i="8" s="1"/>
  <c r="Y139" i="8"/>
  <c r="AB139" i="8" s="1"/>
  <c r="AC139" i="8" s="1"/>
  <c r="AE139" i="8" s="1"/>
  <c r="AO139" i="8" s="1"/>
  <c r="AP139" i="8" s="1"/>
  <c r="Y120" i="8"/>
  <c r="AB120" i="8" s="1"/>
  <c r="AC120" i="8" s="1"/>
  <c r="AE120" i="8" s="1"/>
  <c r="AO120" i="8" s="1"/>
  <c r="AP120" i="8" s="1"/>
  <c r="Y113" i="8"/>
  <c r="AB113" i="8" s="1"/>
  <c r="AC113" i="8" s="1"/>
  <c r="AE113" i="8" s="1"/>
  <c r="AO113" i="8" s="1"/>
  <c r="AP113" i="8" s="1"/>
  <c r="Y109" i="8"/>
  <c r="AB109" i="8" s="1"/>
  <c r="AC109" i="8" s="1"/>
  <c r="AE109" i="8" s="1"/>
  <c r="AO109" i="8" s="1"/>
  <c r="AP109" i="8" s="1"/>
  <c r="Y93" i="8"/>
  <c r="AB93" i="8" s="1"/>
  <c r="AC93" i="8" s="1"/>
  <c r="AE93" i="8" s="1"/>
  <c r="AO93" i="8" s="1"/>
  <c r="AP93" i="8" s="1"/>
  <c r="Y82" i="8"/>
  <c r="AB82" i="8" s="1"/>
  <c r="AC82" i="8" s="1"/>
  <c r="AE82" i="8" s="1"/>
  <c r="AO82" i="8" s="1"/>
  <c r="AP82" i="8" s="1"/>
  <c r="Y105" i="8"/>
  <c r="AB105" i="8" s="1"/>
  <c r="AC105" i="8" s="1"/>
  <c r="AE105" i="8" s="1"/>
  <c r="AO105" i="8" s="1"/>
  <c r="AP105" i="8" s="1"/>
  <c r="Y80" i="8"/>
  <c r="AB80" i="8" s="1"/>
  <c r="AC80" i="8" s="1"/>
  <c r="AE80" i="8" s="1"/>
  <c r="AO80" i="8" s="1"/>
  <c r="AP80" i="8" s="1"/>
  <c r="Y75" i="8"/>
  <c r="AB75" i="8" s="1"/>
  <c r="AC75" i="8" s="1"/>
  <c r="AE75" i="8" s="1"/>
  <c r="AO75" i="8" s="1"/>
  <c r="AP75" i="8" s="1"/>
  <c r="Y60" i="8"/>
  <c r="AB60" i="8" s="1"/>
  <c r="AC60" i="8" s="1"/>
  <c r="AE60" i="8" s="1"/>
  <c r="AO60" i="8" s="1"/>
  <c r="AP60" i="8" s="1"/>
  <c r="Y44" i="8"/>
  <c r="AB44" i="8" s="1"/>
  <c r="AC44" i="8" s="1"/>
  <c r="AE44" i="8" s="1"/>
  <c r="AO44" i="8" s="1"/>
  <c r="AP44" i="8" s="1"/>
  <c r="Y48" i="8"/>
  <c r="AB48" i="8" s="1"/>
  <c r="AC48" i="8" s="1"/>
  <c r="AE48" i="8" s="1"/>
  <c r="Y131" i="8"/>
  <c r="AB131" i="8" s="1"/>
  <c r="AC131" i="8" s="1"/>
  <c r="AE131" i="8" s="1"/>
  <c r="AO131" i="8" s="1"/>
  <c r="AP131" i="8" s="1"/>
  <c r="Y124" i="8"/>
  <c r="AB124" i="8" s="1"/>
  <c r="AC124" i="8" s="1"/>
  <c r="AE124" i="8" s="1"/>
  <c r="AO124" i="8" s="1"/>
  <c r="AP124" i="8" s="1"/>
  <c r="Y86" i="8"/>
  <c r="AB86" i="8" s="1"/>
  <c r="AC86" i="8" s="1"/>
  <c r="AE86" i="8" s="1"/>
  <c r="AO86" i="8" s="1"/>
  <c r="AP86" i="8" s="1"/>
  <c r="Y71" i="8"/>
  <c r="AB71" i="8" s="1"/>
  <c r="AC71" i="8" s="1"/>
  <c r="AE71" i="8" s="1"/>
  <c r="AO71" i="8" s="1"/>
  <c r="AP71" i="8" s="1"/>
  <c r="Y78" i="8"/>
  <c r="AB78" i="8" s="1"/>
  <c r="AC78" i="8" s="1"/>
  <c r="AE78" i="8" s="1"/>
  <c r="AO78" i="8" s="1"/>
  <c r="AP78" i="8" s="1"/>
  <c r="Y74" i="8"/>
  <c r="AB74" i="8" s="1"/>
  <c r="AC74" i="8" s="1"/>
  <c r="AE74" i="8" s="1"/>
  <c r="AO74" i="8" s="1"/>
  <c r="AP74" i="8" s="1"/>
  <c r="Y62" i="8"/>
  <c r="AB62" i="8" s="1"/>
  <c r="AC62" i="8" s="1"/>
  <c r="AE62" i="8" s="1"/>
  <c r="AO62" i="8" s="1"/>
  <c r="AP62" i="8" s="1"/>
  <c r="Y52" i="8"/>
  <c r="AB52" i="8" s="1"/>
  <c r="AC52" i="8" s="1"/>
  <c r="AE52" i="8" s="1"/>
  <c r="Y46" i="8"/>
  <c r="AB46" i="8" s="1"/>
  <c r="AC46" i="8" s="1"/>
  <c r="AE46" i="8" s="1"/>
  <c r="AO46" i="8" s="1"/>
  <c r="AP46" i="8" s="1"/>
  <c r="Y42" i="8"/>
  <c r="AB42" i="8" s="1"/>
  <c r="AC42" i="8" s="1"/>
  <c r="AE42" i="8" s="1"/>
  <c r="AO42" i="8" s="1"/>
  <c r="AP42" i="8" s="1"/>
  <c r="Y32" i="8"/>
  <c r="AB32" i="8" s="1"/>
  <c r="AC32" i="8" s="1"/>
  <c r="AE32" i="8" s="1"/>
  <c r="AO32" i="8" s="1"/>
  <c r="AP32" i="8" s="1"/>
  <c r="Y36" i="8"/>
  <c r="AB36" i="8" s="1"/>
  <c r="AC36" i="8" s="1"/>
  <c r="AE36" i="8" s="1"/>
  <c r="AO36" i="8" s="1"/>
  <c r="AP36" i="8" s="1"/>
  <c r="Y63" i="8"/>
  <c r="AB63" i="8" s="1"/>
  <c r="AC63" i="8" s="1"/>
  <c r="AE63" i="8" s="1"/>
  <c r="AO63" i="8" s="1"/>
  <c r="AP63" i="8" s="1"/>
  <c r="Y58" i="8"/>
  <c r="AB58" i="8" s="1"/>
  <c r="AC58" i="8" s="1"/>
  <c r="AE58" i="8" s="1"/>
  <c r="AO58" i="8" s="1"/>
  <c r="AP58" i="8" s="1"/>
  <c r="Y47" i="8"/>
  <c r="AB47" i="8" s="1"/>
  <c r="AC47" i="8" s="1"/>
  <c r="AE47" i="8" s="1"/>
  <c r="AO47" i="8" s="1"/>
  <c r="AP47" i="8" s="1"/>
  <c r="Y101" i="8"/>
  <c r="AB101" i="8" s="1"/>
  <c r="AC101" i="8" s="1"/>
  <c r="AE101" i="8" s="1"/>
  <c r="AO101" i="8" s="1"/>
  <c r="AP101" i="8" s="1"/>
  <c r="Y96" i="8"/>
  <c r="AB96" i="8" s="1"/>
  <c r="AC96" i="8" s="1"/>
  <c r="AE96" i="8" s="1"/>
  <c r="AO96" i="8" s="1"/>
  <c r="AP96" i="8" s="1"/>
  <c r="Y81" i="8"/>
  <c r="AB81" i="8" s="1"/>
  <c r="AC81" i="8" s="1"/>
  <c r="AE81" i="8" s="1"/>
  <c r="AO81" i="8" s="1"/>
  <c r="AP81" i="8" s="1"/>
  <c r="Y67" i="8"/>
  <c r="AB67" i="8" s="1"/>
  <c r="AC67" i="8" s="1"/>
  <c r="AE67" i="8" s="1"/>
  <c r="Y56" i="8"/>
  <c r="AB56" i="8" s="1"/>
  <c r="AC56" i="8" s="1"/>
  <c r="AE56" i="8" s="1"/>
  <c r="AO56" i="8" s="1"/>
  <c r="AP56" i="8" s="1"/>
  <c r="Y40" i="8"/>
  <c r="AB40" i="8" s="1"/>
  <c r="AC40" i="8" s="1"/>
  <c r="AE40" i="8" s="1"/>
  <c r="AO40" i="8" s="1"/>
  <c r="AP40" i="8" s="1"/>
  <c r="Y34" i="8"/>
  <c r="AB34" i="8" s="1"/>
  <c r="AC34" i="8" s="1"/>
  <c r="AE34" i="8" s="1"/>
  <c r="AO34" i="8" s="1"/>
  <c r="AP34" i="8" s="1"/>
  <c r="Y28" i="8"/>
  <c r="AB28" i="8" s="1"/>
  <c r="AC28" i="8" s="1"/>
  <c r="AE28" i="8" s="1"/>
  <c r="AO28" i="8" s="1"/>
  <c r="AP28" i="8" s="1"/>
  <c r="AO37" i="8"/>
  <c r="AP37" i="8" s="1"/>
  <c r="Y29" i="8"/>
  <c r="AB29" i="8" s="1"/>
  <c r="AC29" i="8" s="1"/>
  <c r="AE29" i="8" s="1"/>
  <c r="AO29" i="8" s="1"/>
  <c r="AP29" i="8" s="1"/>
  <c r="AO33" i="8"/>
  <c r="AP33" i="8" s="1"/>
  <c r="AO69" i="8"/>
  <c r="AP69" i="8" s="1"/>
  <c r="AO52" i="8"/>
  <c r="AP52" i="8" s="1"/>
  <c r="AO48" i="8"/>
  <c r="AP48" i="8" s="1"/>
  <c r="AM17" i="8"/>
  <c r="Y190" i="8"/>
  <c r="AB190" i="8" s="1"/>
  <c r="AC190" i="8" s="1"/>
  <c r="AE190" i="8" s="1"/>
  <c r="AO190" i="8" s="1"/>
  <c r="AP190" i="8" s="1"/>
  <c r="Y184" i="8"/>
  <c r="AB184" i="8" s="1"/>
  <c r="AC184" i="8" s="1"/>
  <c r="AE184" i="8" s="1"/>
  <c r="AO184" i="8" s="1"/>
  <c r="AP184" i="8" s="1"/>
  <c r="Y175" i="8"/>
  <c r="AB175" i="8" s="1"/>
  <c r="AC175" i="8" s="1"/>
  <c r="AE175" i="8" s="1"/>
  <c r="AO175" i="8" s="1"/>
  <c r="AP175" i="8" s="1"/>
  <c r="Y169" i="8"/>
  <c r="AB169" i="8" s="1"/>
  <c r="AC169" i="8" s="1"/>
  <c r="AE169" i="8" s="1"/>
  <c r="AO169" i="8" s="1"/>
  <c r="AP169" i="8" s="1"/>
  <c r="Y164" i="8"/>
  <c r="AB164" i="8" s="1"/>
  <c r="AC164" i="8" s="1"/>
  <c r="AE164" i="8" s="1"/>
  <c r="AO164" i="8" s="1"/>
  <c r="AP164" i="8" s="1"/>
  <c r="AO178" i="8"/>
  <c r="AP178" i="8" s="1"/>
  <c r="Y173" i="8"/>
  <c r="AB173" i="8" s="1"/>
  <c r="AC173" i="8" s="1"/>
  <c r="AE173" i="8" s="1"/>
  <c r="AO173" i="8" s="1"/>
  <c r="AP173" i="8" s="1"/>
  <c r="Y153" i="8"/>
  <c r="AB153" i="8" s="1"/>
  <c r="AC153" i="8" s="1"/>
  <c r="AE153" i="8" s="1"/>
  <c r="Y149" i="8"/>
  <c r="AB149" i="8" s="1"/>
  <c r="AC149" i="8" s="1"/>
  <c r="AE149" i="8" s="1"/>
  <c r="AO149" i="8" s="1"/>
  <c r="AP149" i="8" s="1"/>
  <c r="Y154" i="8"/>
  <c r="AB154" i="8" s="1"/>
  <c r="AC154" i="8" s="1"/>
  <c r="AE154" i="8" s="1"/>
  <c r="AO154" i="8" s="1"/>
  <c r="AP154" i="8" s="1"/>
  <c r="Y160" i="8"/>
  <c r="AB160" i="8" s="1"/>
  <c r="AC160" i="8" s="1"/>
  <c r="AE160" i="8" s="1"/>
  <c r="AO160" i="8" s="1"/>
  <c r="AP160" i="8" s="1"/>
  <c r="Y138" i="8"/>
  <c r="AB138" i="8" s="1"/>
  <c r="AC138" i="8" s="1"/>
  <c r="AE138" i="8" s="1"/>
  <c r="AO138" i="8" s="1"/>
  <c r="AP138" i="8" s="1"/>
  <c r="Y130" i="8"/>
  <c r="AB130" i="8" s="1"/>
  <c r="AC130" i="8" s="1"/>
  <c r="AE130" i="8" s="1"/>
  <c r="AO130" i="8" s="1"/>
  <c r="AP130" i="8" s="1"/>
  <c r="Y83" i="8"/>
  <c r="AB83" i="8" s="1"/>
  <c r="AC83" i="8" s="1"/>
  <c r="AE83" i="8" s="1"/>
  <c r="Y95" i="8"/>
  <c r="AB95" i="8" s="1"/>
  <c r="AC95" i="8" s="1"/>
  <c r="AE95" i="8" s="1"/>
  <c r="AO95" i="8" s="1"/>
  <c r="AP95" i="8" s="1"/>
  <c r="Y157" i="8"/>
  <c r="AB157" i="8" s="1"/>
  <c r="AC157" i="8" s="1"/>
  <c r="AE157" i="8" s="1"/>
  <c r="AO157" i="8" s="1"/>
  <c r="AP157" i="8" s="1"/>
  <c r="Y49" i="8"/>
  <c r="AB49" i="8" s="1"/>
  <c r="AC49" i="8" s="1"/>
  <c r="AE49" i="8" s="1"/>
  <c r="AO49" i="8" s="1"/>
  <c r="AP49" i="8" s="1"/>
  <c r="Y70" i="8"/>
  <c r="AB70" i="8" s="1"/>
  <c r="AC70" i="8" s="1"/>
  <c r="AE70" i="8" s="1"/>
  <c r="AO70" i="8" s="1"/>
  <c r="AP70" i="8" s="1"/>
  <c r="Y87" i="8"/>
  <c r="AB87" i="8" s="1"/>
  <c r="AC87" i="8" s="1"/>
  <c r="AE87" i="8" s="1"/>
  <c r="AO87" i="8" s="1"/>
  <c r="AP87" i="8" s="1"/>
  <c r="AO35" i="8"/>
  <c r="AP35" i="8" s="1"/>
  <c r="Y54" i="8"/>
  <c r="AB54" i="8" s="1"/>
  <c r="AC54" i="8" s="1"/>
  <c r="AE54" i="8" s="1"/>
  <c r="AO54" i="8" s="1"/>
  <c r="AP54" i="8" s="1"/>
  <c r="Y135" i="8"/>
  <c r="AB135" i="8" s="1"/>
  <c r="AC135" i="8" s="1"/>
  <c r="AE135" i="8" s="1"/>
  <c r="AO135" i="8" s="1"/>
  <c r="AP135" i="8" s="1"/>
  <c r="Y55" i="8"/>
  <c r="AB55" i="8" s="1"/>
  <c r="AC55" i="8" s="1"/>
  <c r="AE55" i="8" s="1"/>
  <c r="AO55" i="8" s="1"/>
  <c r="AP55" i="8" s="1"/>
  <c r="Y50" i="8"/>
  <c r="AB50" i="8" s="1"/>
  <c r="AC50" i="8" s="1"/>
  <c r="AE50" i="8" s="1"/>
  <c r="AO50" i="8" s="1"/>
  <c r="AP50" i="8" s="1"/>
  <c r="AO106" i="8"/>
  <c r="AP106" i="8" s="1"/>
  <c r="Y59" i="8"/>
  <c r="AB59" i="8" s="1"/>
  <c r="AC59" i="8" s="1"/>
  <c r="AE59" i="8" s="1"/>
  <c r="AO59" i="8" s="1"/>
  <c r="AP59" i="8" s="1"/>
  <c r="Y39" i="8"/>
  <c r="AB39" i="8" s="1"/>
  <c r="AC39" i="8" s="1"/>
  <c r="AE39" i="8" s="1"/>
  <c r="AO39" i="8" s="1"/>
  <c r="AP39" i="8" s="1"/>
  <c r="Y43" i="8"/>
  <c r="AB43" i="8" s="1"/>
  <c r="AC43" i="8" s="1"/>
  <c r="AE43" i="8" s="1"/>
  <c r="AO43" i="8" s="1"/>
  <c r="AP43" i="8" s="1"/>
  <c r="BI192" i="8"/>
  <c r="AS192" i="8"/>
  <c r="AQ192" i="8"/>
  <c r="BQ192" i="8" s="1"/>
  <c r="AD185" i="6" s="1"/>
  <c r="AT192" i="8"/>
  <c r="AO119" i="8"/>
  <c r="AP119" i="8" s="1"/>
  <c r="AO145" i="8"/>
  <c r="AP145" i="8" s="1"/>
  <c r="AP31" i="8"/>
  <c r="AO114" i="8"/>
  <c r="AP114" i="8" s="1"/>
  <c r="AQ77" i="8"/>
  <c r="BQ77" i="8" s="1"/>
  <c r="AD70" i="6" s="1"/>
  <c r="U17" i="8"/>
  <c r="AO179" i="8"/>
  <c r="AP179" i="8" s="1"/>
  <c r="Y193" i="8"/>
  <c r="AB193" i="8" s="1"/>
  <c r="AC193" i="8" s="1"/>
  <c r="AE193" i="8" s="1"/>
  <c r="AO193" i="8" s="1"/>
  <c r="AP193" i="8" s="1"/>
  <c r="AO176" i="8"/>
  <c r="AP176" i="8" s="1"/>
  <c r="Y182" i="8"/>
  <c r="AB182" i="8" s="1"/>
  <c r="AC182" i="8" s="1"/>
  <c r="AE182" i="8" s="1"/>
  <c r="AO182" i="8" s="1"/>
  <c r="AP182" i="8" s="1"/>
  <c r="Y168" i="8"/>
  <c r="AB168" i="8" s="1"/>
  <c r="AC168" i="8" s="1"/>
  <c r="AE168" i="8" s="1"/>
  <c r="AO168" i="8" s="1"/>
  <c r="AP168" i="8" s="1"/>
  <c r="Y172" i="8"/>
  <c r="AB172" i="8" s="1"/>
  <c r="AC172" i="8" s="1"/>
  <c r="AE172" i="8" s="1"/>
  <c r="AO172" i="8" s="1"/>
  <c r="AP172" i="8" s="1"/>
  <c r="AO165" i="8"/>
  <c r="AP165" i="8" s="1"/>
  <c r="AO163" i="8"/>
  <c r="AP163" i="8" s="1"/>
  <c r="Y177" i="8"/>
  <c r="AB177" i="8" s="1"/>
  <c r="AC177" i="8" s="1"/>
  <c r="AE177" i="8" s="1"/>
  <c r="AO177" i="8" s="1"/>
  <c r="AP177" i="8" s="1"/>
  <c r="AO153" i="8"/>
  <c r="AP153" i="8" s="1"/>
  <c r="Y141" i="8"/>
  <c r="AB141" i="8" s="1"/>
  <c r="AC141" i="8" s="1"/>
  <c r="AE141" i="8" s="1"/>
  <c r="AO141" i="8" s="1"/>
  <c r="AP141" i="8" s="1"/>
  <c r="Y137" i="8"/>
  <c r="AB137" i="8" s="1"/>
  <c r="AC137" i="8" s="1"/>
  <c r="AE137" i="8" s="1"/>
  <c r="AO137" i="8" s="1"/>
  <c r="AP137" i="8" s="1"/>
  <c r="Y126" i="8"/>
  <c r="AB126" i="8" s="1"/>
  <c r="AC126" i="8" s="1"/>
  <c r="AE126" i="8" s="1"/>
  <c r="AO126" i="8" s="1"/>
  <c r="AP126" i="8" s="1"/>
  <c r="Y103" i="8"/>
  <c r="AB103" i="8" s="1"/>
  <c r="AC103" i="8" s="1"/>
  <c r="AE103" i="8" s="1"/>
  <c r="AO103" i="8" s="1"/>
  <c r="AP103" i="8" s="1"/>
  <c r="AO125" i="8"/>
  <c r="AP125" i="8" s="1"/>
  <c r="Y115" i="8"/>
  <c r="AB115" i="8" s="1"/>
  <c r="AC115" i="8" s="1"/>
  <c r="AE115" i="8" s="1"/>
  <c r="AO115" i="8" s="1"/>
  <c r="AP115" i="8" s="1"/>
  <c r="AO67" i="8"/>
  <c r="AP67" i="8" s="1"/>
  <c r="Y61" i="8"/>
  <c r="AB61" i="8" s="1"/>
  <c r="AC61" i="8" s="1"/>
  <c r="AE61" i="8" s="1"/>
  <c r="AO61" i="8" s="1"/>
  <c r="AP61" i="8" s="1"/>
  <c r="Y65" i="8"/>
  <c r="AB65" i="8" s="1"/>
  <c r="AC65" i="8" s="1"/>
  <c r="AE65" i="8" s="1"/>
  <c r="AO65" i="8" s="1"/>
  <c r="AP65" i="8" s="1"/>
  <c r="Y118" i="8"/>
  <c r="AB118" i="8" s="1"/>
  <c r="AC118" i="8" s="1"/>
  <c r="AE118" i="8" s="1"/>
  <c r="AO118" i="8" s="1"/>
  <c r="AP118" i="8" s="1"/>
  <c r="Y33" i="8"/>
  <c r="AB33" i="8" s="1"/>
  <c r="AC33" i="8" s="1"/>
  <c r="AE33" i="8" s="1"/>
  <c r="Y123" i="8"/>
  <c r="AB123" i="8" s="1"/>
  <c r="AC123" i="8" s="1"/>
  <c r="AE123" i="8" s="1"/>
  <c r="AO123" i="8" s="1"/>
  <c r="AP123" i="8" s="1"/>
  <c r="AO83" i="8"/>
  <c r="AP83" i="8" s="1"/>
  <c r="Y73" i="8"/>
  <c r="AB73" i="8" s="1"/>
  <c r="AC73" i="8" s="1"/>
  <c r="AE73" i="8" s="1"/>
  <c r="AO73" i="8" s="1"/>
  <c r="AP73" i="8" s="1"/>
  <c r="AO45" i="8"/>
  <c r="AP45" i="8" s="1"/>
  <c r="AO89" i="8"/>
  <c r="AP89" i="8" s="1"/>
  <c r="AO53" i="8"/>
  <c r="AP53" i="8" s="1"/>
  <c r="Y100" i="8"/>
  <c r="AB100" i="8" s="1"/>
  <c r="AC100" i="8" s="1"/>
  <c r="AE100" i="8" s="1"/>
  <c r="AO100" i="8" s="1"/>
  <c r="AP100" i="8" s="1"/>
  <c r="Y41" i="8"/>
  <c r="AB41" i="8" s="1"/>
  <c r="AC41" i="8" s="1"/>
  <c r="AE41" i="8" s="1"/>
  <c r="AO41" i="8" s="1"/>
  <c r="AP41" i="8" s="1"/>
  <c r="Y30" i="8"/>
  <c r="AB30" i="8" s="1"/>
  <c r="AC30" i="8" s="1"/>
  <c r="AE30" i="8" s="1"/>
  <c r="AO30" i="8" s="1"/>
  <c r="AP30" i="8" s="1"/>
  <c r="AT162" i="9" l="1"/>
  <c r="AS162" i="9"/>
  <c r="AQ162" i="9"/>
  <c r="I155" i="6" s="1"/>
  <c r="AS78" i="9"/>
  <c r="AT78" i="9"/>
  <c r="AQ87" i="9"/>
  <c r="I80" i="6" s="1"/>
  <c r="AT87" i="9"/>
  <c r="AV87" i="9" s="1"/>
  <c r="AW87" i="9" s="1"/>
  <c r="AX87" i="9" s="1"/>
  <c r="AS87" i="9"/>
  <c r="AN17" i="9"/>
  <c r="AT99" i="9"/>
  <c r="AW99" i="9" s="1"/>
  <c r="AX99" i="9" s="1"/>
  <c r="AS99" i="9"/>
  <c r="AV99" i="9" s="1"/>
  <c r="AQ99" i="9"/>
  <c r="I92" i="6" s="1"/>
  <c r="AQ147" i="9"/>
  <c r="I140" i="6" s="1"/>
  <c r="AT147" i="9"/>
  <c r="AW147" i="9" s="1"/>
  <c r="AX147" i="9" s="1"/>
  <c r="AS147" i="9"/>
  <c r="AS77" i="8"/>
  <c r="AV77" i="8" s="1"/>
  <c r="AW77" i="8" s="1"/>
  <c r="AX77" i="8" s="1"/>
  <c r="W70" i="6" s="1"/>
  <c r="BI77" i="8"/>
  <c r="AP61" i="9"/>
  <c r="AP112" i="9"/>
  <c r="AP160" i="9"/>
  <c r="AP32" i="9"/>
  <c r="AT32" i="9" s="1"/>
  <c r="AP150" i="9"/>
  <c r="AT150" i="9" s="1"/>
  <c r="AP124" i="9"/>
  <c r="AQ124" i="9" s="1"/>
  <c r="I117" i="6" s="1"/>
  <c r="AQ192" i="9"/>
  <c r="I185" i="6" s="1"/>
  <c r="AP40" i="9"/>
  <c r="AP50" i="9"/>
  <c r="AS192" i="9"/>
  <c r="AQ169" i="9"/>
  <c r="I162" i="6" s="1"/>
  <c r="AP83" i="9"/>
  <c r="AT83" i="9" s="1"/>
  <c r="AP58" i="9"/>
  <c r="AS58" i="9" s="1"/>
  <c r="AP80" i="9"/>
  <c r="AT80" i="9" s="1"/>
  <c r="AP85" i="9"/>
  <c r="AS85" i="9" s="1"/>
  <c r="AP128" i="9"/>
  <c r="AS169" i="9"/>
  <c r="AP70" i="9"/>
  <c r="AP66" i="9"/>
  <c r="AQ66" i="9" s="1"/>
  <c r="I59" i="6" s="1"/>
  <c r="AP86" i="9"/>
  <c r="AQ86" i="9" s="1"/>
  <c r="I79" i="6" s="1"/>
  <c r="AP149" i="9"/>
  <c r="AQ149" i="9" s="1"/>
  <c r="I142" i="6" s="1"/>
  <c r="AT126" i="9"/>
  <c r="AW126" i="9" s="1"/>
  <c r="AX126" i="9" s="1"/>
  <c r="AP90" i="9"/>
  <c r="AQ90" i="9" s="1"/>
  <c r="I83" i="6" s="1"/>
  <c r="AS97" i="9"/>
  <c r="AT97" i="9"/>
  <c r="AS140" i="9"/>
  <c r="AT140" i="9"/>
  <c r="AQ140" i="9"/>
  <c r="I133" i="6" s="1"/>
  <c r="BI116" i="8"/>
  <c r="AT116" i="8"/>
  <c r="AV116" i="8" s="1"/>
  <c r="AT161" i="9"/>
  <c r="AV161" i="9" s="1"/>
  <c r="AW161" i="9" s="1"/>
  <c r="AX161" i="9" s="1"/>
  <c r="AS161" i="9"/>
  <c r="AQ161" i="9"/>
  <c r="I154" i="6" s="1"/>
  <c r="AP76" i="9"/>
  <c r="AQ76" i="9" s="1"/>
  <c r="I69" i="6" s="1"/>
  <c r="AP104" i="9"/>
  <c r="AP175" i="9"/>
  <c r="AT175" i="9" s="1"/>
  <c r="AQ126" i="9"/>
  <c r="I119" i="6" s="1"/>
  <c r="AQ129" i="9"/>
  <c r="I122" i="6" s="1"/>
  <c r="AP44" i="9"/>
  <c r="AQ44" i="9" s="1"/>
  <c r="I37" i="6" s="1"/>
  <c r="AP119" i="9"/>
  <c r="AQ78" i="9"/>
  <c r="I71" i="6" s="1"/>
  <c r="AQ116" i="8"/>
  <c r="BQ116" i="8" s="1"/>
  <c r="AD109" i="6" s="1"/>
  <c r="AS116" i="8"/>
  <c r="AT99" i="8"/>
  <c r="AW99" i="8" s="1"/>
  <c r="AX99" i="8" s="1"/>
  <c r="AQ122" i="8"/>
  <c r="BQ122" i="8" s="1"/>
  <c r="AD115" i="6" s="1"/>
  <c r="AS134" i="8"/>
  <c r="BI134" i="8"/>
  <c r="AQ99" i="8"/>
  <c r="BQ99" i="8" s="1"/>
  <c r="AD92" i="6" s="1"/>
  <c r="AS122" i="8"/>
  <c r="AV122" i="8" s="1"/>
  <c r="AP28" i="9"/>
  <c r="AT28" i="9" s="1"/>
  <c r="AP193" i="9"/>
  <c r="AQ193" i="9" s="1"/>
  <c r="I186" i="6" s="1"/>
  <c r="AP153" i="9"/>
  <c r="AT153" i="9" s="1"/>
  <c r="AT123" i="9"/>
  <c r="AP184" i="9"/>
  <c r="AS184" i="9" s="1"/>
  <c r="AQ97" i="9"/>
  <c r="I90" i="6" s="1"/>
  <c r="AS99" i="8"/>
  <c r="BI122" i="8"/>
  <c r="AP37" i="9"/>
  <c r="AS37" i="9" s="1"/>
  <c r="AP82" i="9"/>
  <c r="AP178" i="9"/>
  <c r="AS178" i="9" s="1"/>
  <c r="AQ123" i="9"/>
  <c r="I116" i="6" s="1"/>
  <c r="AM17" i="9"/>
  <c r="AT134" i="8"/>
  <c r="AW134" i="8" s="1"/>
  <c r="AX134" i="8" s="1"/>
  <c r="AP183" i="9"/>
  <c r="AT129" i="9"/>
  <c r="AT59" i="9"/>
  <c r="AS59" i="9"/>
  <c r="AQ59" i="9"/>
  <c r="I52" i="6" s="1"/>
  <c r="AT71" i="9"/>
  <c r="AS71" i="9"/>
  <c r="AQ71" i="9"/>
  <c r="I64" i="6" s="1"/>
  <c r="AS65" i="9"/>
  <c r="AQ65" i="9"/>
  <c r="I58" i="6" s="1"/>
  <c r="AT65" i="9"/>
  <c r="AT72" i="9"/>
  <c r="AS72" i="9"/>
  <c r="AQ72" i="9"/>
  <c r="I65" i="6" s="1"/>
  <c r="AS166" i="9"/>
  <c r="AQ166" i="9"/>
  <c r="I159" i="6" s="1"/>
  <c r="AT166" i="9"/>
  <c r="AS49" i="9"/>
  <c r="AQ49" i="9"/>
  <c r="I42" i="6" s="1"/>
  <c r="AT49" i="9"/>
  <c r="AT164" i="9"/>
  <c r="AS164" i="9"/>
  <c r="AQ164" i="9"/>
  <c r="I157" i="6" s="1"/>
  <c r="AT56" i="9"/>
  <c r="AS56" i="9"/>
  <c r="AQ56" i="9"/>
  <c r="I49" i="6" s="1"/>
  <c r="AS75" i="9"/>
  <c r="AQ75" i="9"/>
  <c r="I68" i="6" s="1"/>
  <c r="AT75" i="9"/>
  <c r="AS45" i="9"/>
  <c r="AQ45" i="9"/>
  <c r="I38" i="6" s="1"/>
  <c r="AT45" i="9"/>
  <c r="AS31" i="9"/>
  <c r="AT31" i="9"/>
  <c r="AQ31" i="9"/>
  <c r="I24" i="6" s="1"/>
  <c r="AT79" i="9"/>
  <c r="AS79" i="9"/>
  <c r="AQ79" i="9"/>
  <c r="I72" i="6" s="1"/>
  <c r="AT114" i="9"/>
  <c r="AS114" i="9"/>
  <c r="AQ114" i="9"/>
  <c r="I107" i="6" s="1"/>
  <c r="AS115" i="9"/>
  <c r="AT115" i="9"/>
  <c r="AQ115" i="9"/>
  <c r="I108" i="6" s="1"/>
  <c r="AT151" i="9"/>
  <c r="AS151" i="9"/>
  <c r="AQ151" i="9"/>
  <c r="I144" i="6" s="1"/>
  <c r="AS176" i="9"/>
  <c r="AT176" i="9"/>
  <c r="AQ176" i="9"/>
  <c r="I169" i="6" s="1"/>
  <c r="AT77" i="9"/>
  <c r="AS77" i="9"/>
  <c r="AQ77" i="9"/>
  <c r="I70" i="6" s="1"/>
  <c r="AT64" i="9"/>
  <c r="AS64" i="9"/>
  <c r="AQ64" i="9"/>
  <c r="I57" i="6" s="1"/>
  <c r="AQ128" i="9"/>
  <c r="I121" i="6" s="1"/>
  <c r="AT128" i="9"/>
  <c r="AS128" i="9"/>
  <c r="AS193" i="9"/>
  <c r="AS174" i="9"/>
  <c r="AQ174" i="9"/>
  <c r="I167" i="6" s="1"/>
  <c r="AT174" i="9"/>
  <c r="AT173" i="9"/>
  <c r="AS173" i="9"/>
  <c r="AQ173" i="9"/>
  <c r="I166" i="6" s="1"/>
  <c r="AT194" i="9"/>
  <c r="AS194" i="9"/>
  <c r="AQ194" i="9"/>
  <c r="I187" i="6" s="1"/>
  <c r="AS47" i="9"/>
  <c r="AT47" i="9"/>
  <c r="AQ47" i="9"/>
  <c r="I40" i="6" s="1"/>
  <c r="AS83" i="9"/>
  <c r="AQ83" i="9"/>
  <c r="I76" i="6" s="1"/>
  <c r="AT137" i="9"/>
  <c r="AQ137" i="9"/>
  <c r="I130" i="6" s="1"/>
  <c r="AS137" i="9"/>
  <c r="AT125" i="9"/>
  <c r="AS125" i="9"/>
  <c r="AQ125" i="9"/>
  <c r="I118" i="6" s="1"/>
  <c r="AS127" i="9"/>
  <c r="AQ127" i="9"/>
  <c r="I120" i="6" s="1"/>
  <c r="AT127" i="9"/>
  <c r="AT67" i="9"/>
  <c r="AS67" i="9"/>
  <c r="AQ67" i="9"/>
  <c r="I60" i="6" s="1"/>
  <c r="AT51" i="9"/>
  <c r="AS51" i="9"/>
  <c r="AQ51" i="9"/>
  <c r="I44" i="6" s="1"/>
  <c r="AS61" i="9"/>
  <c r="AQ61" i="9"/>
  <c r="I54" i="6" s="1"/>
  <c r="AT61" i="9"/>
  <c r="AS89" i="9"/>
  <c r="AQ89" i="9"/>
  <c r="I82" i="6" s="1"/>
  <c r="AT89" i="9"/>
  <c r="AT160" i="9"/>
  <c r="AS160" i="9"/>
  <c r="AQ160" i="9"/>
  <c r="I153" i="6" s="1"/>
  <c r="AT165" i="9"/>
  <c r="AS165" i="9"/>
  <c r="AQ165" i="9"/>
  <c r="I158" i="6" s="1"/>
  <c r="AS29" i="9"/>
  <c r="AQ29" i="9"/>
  <c r="I22" i="6" s="1"/>
  <c r="AT29" i="9"/>
  <c r="AT121" i="9"/>
  <c r="AQ121" i="9"/>
  <c r="I114" i="6" s="1"/>
  <c r="AS121" i="9"/>
  <c r="AQ62" i="9"/>
  <c r="I55" i="6" s="1"/>
  <c r="AT62" i="9"/>
  <c r="AS62" i="9"/>
  <c r="AQ54" i="9"/>
  <c r="I47" i="6" s="1"/>
  <c r="AT54" i="9"/>
  <c r="AS54" i="9"/>
  <c r="AQ155" i="9"/>
  <c r="I148" i="6" s="1"/>
  <c r="AS155" i="9"/>
  <c r="AT155" i="9"/>
  <c r="AQ117" i="9"/>
  <c r="I110" i="6" s="1"/>
  <c r="AT117" i="9"/>
  <c r="AS117" i="9"/>
  <c r="AT172" i="9"/>
  <c r="AS172" i="9"/>
  <c r="AQ172" i="9"/>
  <c r="I165" i="6" s="1"/>
  <c r="AS41" i="9"/>
  <c r="AQ41" i="9"/>
  <c r="I34" i="6" s="1"/>
  <c r="AT41" i="9"/>
  <c r="AS57" i="9"/>
  <c r="AQ57" i="9"/>
  <c r="I50" i="6" s="1"/>
  <c r="AT57" i="9"/>
  <c r="AQ141" i="9"/>
  <c r="I134" i="6" s="1"/>
  <c r="AT141" i="9"/>
  <c r="AS141" i="9"/>
  <c r="AT190" i="9"/>
  <c r="AS190" i="9"/>
  <c r="AQ190" i="9"/>
  <c r="I183" i="6" s="1"/>
  <c r="AT139" i="9"/>
  <c r="AS139" i="9"/>
  <c r="AQ139" i="9"/>
  <c r="I132" i="6" s="1"/>
  <c r="AS144" i="9"/>
  <c r="AQ144" i="9"/>
  <c r="I137" i="6" s="1"/>
  <c r="AT144" i="9"/>
  <c r="AT146" i="9"/>
  <c r="AS146" i="9"/>
  <c r="AQ146" i="9"/>
  <c r="I139" i="6" s="1"/>
  <c r="AQ70" i="9"/>
  <c r="I63" i="6" s="1"/>
  <c r="AT70" i="9"/>
  <c r="AS70" i="9"/>
  <c r="AQ46" i="9"/>
  <c r="I39" i="6" s="1"/>
  <c r="AT46" i="9"/>
  <c r="AS46" i="9"/>
  <c r="AT52" i="9"/>
  <c r="AS52" i="9"/>
  <c r="AQ52" i="9"/>
  <c r="I45" i="6" s="1"/>
  <c r="AQ112" i="9"/>
  <c r="I105" i="6" s="1"/>
  <c r="AT112" i="9"/>
  <c r="AS112" i="9"/>
  <c r="AQ120" i="9"/>
  <c r="I113" i="6" s="1"/>
  <c r="AT120" i="9"/>
  <c r="AS120" i="9"/>
  <c r="AQ136" i="9"/>
  <c r="I129" i="6" s="1"/>
  <c r="AT136" i="9"/>
  <c r="AS136" i="9"/>
  <c r="AT88" i="9"/>
  <c r="AS88" i="9"/>
  <c r="AQ88" i="9"/>
  <c r="I81" i="6" s="1"/>
  <c r="AT168" i="9"/>
  <c r="AQ168" i="9"/>
  <c r="I161" i="6" s="1"/>
  <c r="AS168" i="9"/>
  <c r="AQ58" i="9"/>
  <c r="I51" i="6" s="1"/>
  <c r="AT58" i="9"/>
  <c r="AT76" i="9"/>
  <c r="AS76" i="9"/>
  <c r="AT118" i="9"/>
  <c r="AQ118" i="9"/>
  <c r="I111" i="6" s="1"/>
  <c r="AS118" i="9"/>
  <c r="AT102" i="9"/>
  <c r="AQ102" i="9"/>
  <c r="I95" i="6" s="1"/>
  <c r="AS102" i="9"/>
  <c r="AQ175" i="9"/>
  <c r="I168" i="6" s="1"/>
  <c r="AQ189" i="9"/>
  <c r="I182" i="6" s="1"/>
  <c r="AS189" i="9"/>
  <c r="AT189" i="9"/>
  <c r="AT84" i="9"/>
  <c r="AS84" i="9"/>
  <c r="AQ84" i="9"/>
  <c r="I77" i="6" s="1"/>
  <c r="AQ171" i="9"/>
  <c r="I164" i="6" s="1"/>
  <c r="AT171" i="9"/>
  <c r="AS171" i="9"/>
  <c r="AT195" i="9"/>
  <c r="AS195" i="9"/>
  <c r="AQ195" i="9"/>
  <c r="I188" i="6" s="1"/>
  <c r="AT122" i="9"/>
  <c r="AS122" i="9"/>
  <c r="AQ122" i="9"/>
  <c r="I115" i="6" s="1"/>
  <c r="AS69" i="9"/>
  <c r="AQ69" i="9"/>
  <c r="I62" i="6" s="1"/>
  <c r="AT69" i="9"/>
  <c r="AQ145" i="9"/>
  <c r="I138" i="6" s="1"/>
  <c r="AT145" i="9"/>
  <c r="AS145" i="9"/>
  <c r="AS158" i="9"/>
  <c r="AQ158" i="9"/>
  <c r="I151" i="6" s="1"/>
  <c r="AT158" i="9"/>
  <c r="AS43" i="9"/>
  <c r="AT43" i="9"/>
  <c r="AQ43" i="9"/>
  <c r="I36" i="6" s="1"/>
  <c r="AT36" i="9"/>
  <c r="AQ36" i="9"/>
  <c r="I29" i="6" s="1"/>
  <c r="AS36" i="9"/>
  <c r="AQ82" i="9"/>
  <c r="I75" i="6" s="1"/>
  <c r="AT82" i="9"/>
  <c r="AS82" i="9"/>
  <c r="AT98" i="9"/>
  <c r="AS98" i="9"/>
  <c r="AQ98" i="9"/>
  <c r="I91" i="6" s="1"/>
  <c r="AT110" i="9"/>
  <c r="AQ110" i="9"/>
  <c r="I103" i="6" s="1"/>
  <c r="AS110" i="9"/>
  <c r="AT157" i="9"/>
  <c r="AS157" i="9"/>
  <c r="AQ157" i="9"/>
  <c r="I150" i="6" s="1"/>
  <c r="AQ181" i="9"/>
  <c r="I174" i="6" s="1"/>
  <c r="AT181" i="9"/>
  <c r="AS181" i="9"/>
  <c r="AQ91" i="9"/>
  <c r="I84" i="6" s="1"/>
  <c r="AT91" i="9"/>
  <c r="AS91" i="9"/>
  <c r="AT130" i="9"/>
  <c r="AS130" i="9"/>
  <c r="AQ130" i="9"/>
  <c r="I123" i="6" s="1"/>
  <c r="AQ142" i="9"/>
  <c r="I135" i="6" s="1"/>
  <c r="AS142" i="9"/>
  <c r="AT142" i="9"/>
  <c r="AW140" i="9"/>
  <c r="AX140" i="9" s="1"/>
  <c r="AV140" i="9"/>
  <c r="AT185" i="9"/>
  <c r="AS185" i="9"/>
  <c r="AQ185" i="9"/>
  <c r="I178" i="6" s="1"/>
  <c r="AS39" i="9"/>
  <c r="AT39" i="9"/>
  <c r="AQ39" i="9"/>
  <c r="I32" i="6" s="1"/>
  <c r="AT109" i="9"/>
  <c r="AQ109" i="9"/>
  <c r="I102" i="6" s="1"/>
  <c r="AS109" i="9"/>
  <c r="AT134" i="9"/>
  <c r="AS134" i="9"/>
  <c r="AQ134" i="9"/>
  <c r="I127" i="6" s="1"/>
  <c r="AV97" i="9"/>
  <c r="AW97" i="9"/>
  <c r="AX97" i="9" s="1"/>
  <c r="AT179" i="9"/>
  <c r="AQ179" i="9"/>
  <c r="I172" i="6" s="1"/>
  <c r="AS179" i="9"/>
  <c r="AV129" i="9"/>
  <c r="AW129" i="9" s="1"/>
  <c r="AX129" i="9" s="1"/>
  <c r="AS111" i="9"/>
  <c r="AQ111" i="9"/>
  <c r="I104" i="6" s="1"/>
  <c r="AT111" i="9"/>
  <c r="AS107" i="9"/>
  <c r="AT107" i="9"/>
  <c r="AQ107" i="9"/>
  <c r="I100" i="6" s="1"/>
  <c r="AS148" i="9"/>
  <c r="AT148" i="9"/>
  <c r="AQ148" i="9"/>
  <c r="I141" i="6" s="1"/>
  <c r="AQ163" i="9"/>
  <c r="I156" i="6" s="1"/>
  <c r="AT163" i="9"/>
  <c r="AS163" i="9"/>
  <c r="AT55" i="9"/>
  <c r="AS55" i="9"/>
  <c r="AQ55" i="9"/>
  <c r="I48" i="6" s="1"/>
  <c r="AS53" i="9"/>
  <c r="AQ53" i="9"/>
  <c r="I46" i="6" s="1"/>
  <c r="AT53" i="9"/>
  <c r="AS81" i="9"/>
  <c r="AQ81" i="9"/>
  <c r="I74" i="6" s="1"/>
  <c r="AT81" i="9"/>
  <c r="AS154" i="9"/>
  <c r="AT154" i="9"/>
  <c r="AQ154" i="9"/>
  <c r="I147" i="6" s="1"/>
  <c r="AQ32" i="9"/>
  <c r="I25" i="6" s="1"/>
  <c r="AS32" i="9"/>
  <c r="AP30" i="9"/>
  <c r="AT44" i="9"/>
  <c r="AQ74" i="9"/>
  <c r="I67" i="6" s="1"/>
  <c r="AT74" i="9"/>
  <c r="AS74" i="9"/>
  <c r="AQ34" i="9"/>
  <c r="I27" i="6" s="1"/>
  <c r="AT34" i="9"/>
  <c r="AS34" i="9"/>
  <c r="AT68" i="9"/>
  <c r="AS68" i="9"/>
  <c r="AQ68" i="9"/>
  <c r="I61" i="6" s="1"/>
  <c r="AS105" i="9"/>
  <c r="AT105" i="9"/>
  <c r="AQ105" i="9"/>
  <c r="I98" i="6" s="1"/>
  <c r="AQ100" i="9"/>
  <c r="I93" i="6" s="1"/>
  <c r="AS100" i="9"/>
  <c r="AT100" i="9"/>
  <c r="AT124" i="9"/>
  <c r="AQ159" i="9"/>
  <c r="I152" i="6" s="1"/>
  <c r="AS159" i="9"/>
  <c r="AT159" i="9"/>
  <c r="AT138" i="9"/>
  <c r="AS138" i="9"/>
  <c r="AQ138" i="9"/>
  <c r="I131" i="6" s="1"/>
  <c r="AS183" i="9"/>
  <c r="AQ183" i="9"/>
  <c r="I176" i="6" s="1"/>
  <c r="AT183" i="9"/>
  <c r="AW170" i="9"/>
  <c r="AX170" i="9" s="1"/>
  <c r="AV170" i="9"/>
  <c r="AS131" i="9"/>
  <c r="AQ131" i="9"/>
  <c r="I124" i="6" s="1"/>
  <c r="AT131" i="9"/>
  <c r="AW123" i="9"/>
  <c r="AX123" i="9" s="1"/>
  <c r="AV123" i="9"/>
  <c r="AW191" i="9"/>
  <c r="AX191" i="9" s="1"/>
  <c r="AV191" i="9"/>
  <c r="AW162" i="9"/>
  <c r="AX162" i="9" s="1"/>
  <c r="AV162" i="9"/>
  <c r="AW192" i="9"/>
  <c r="AX192" i="9" s="1"/>
  <c r="AV192" i="9"/>
  <c r="AS33" i="9"/>
  <c r="AT33" i="9"/>
  <c r="AQ33" i="9"/>
  <c r="I26" i="6" s="1"/>
  <c r="AT180" i="9"/>
  <c r="AS180" i="9"/>
  <c r="AQ180" i="9"/>
  <c r="I173" i="6" s="1"/>
  <c r="AS93" i="9"/>
  <c r="AT93" i="9"/>
  <c r="AQ93" i="9"/>
  <c r="I86" i="6" s="1"/>
  <c r="AS28" i="9"/>
  <c r="AQ104" i="9"/>
  <c r="I97" i="6" s="1"/>
  <c r="AT104" i="9"/>
  <c r="AS104" i="9"/>
  <c r="AT143" i="9"/>
  <c r="AQ143" i="9"/>
  <c r="I136" i="6" s="1"/>
  <c r="AS143" i="9"/>
  <c r="AS152" i="9"/>
  <c r="AT152" i="9"/>
  <c r="AQ152" i="9"/>
  <c r="I145" i="6" s="1"/>
  <c r="AS103" i="9"/>
  <c r="AQ103" i="9"/>
  <c r="I96" i="6" s="1"/>
  <c r="AT103" i="9"/>
  <c r="AT86" i="9"/>
  <c r="AS86" i="9"/>
  <c r="AQ178" i="9"/>
  <c r="I171" i="6" s="1"/>
  <c r="AT178" i="9"/>
  <c r="AB17" i="9"/>
  <c r="AC27" i="9"/>
  <c r="AS95" i="9"/>
  <c r="AT95" i="9"/>
  <c r="AQ95" i="9"/>
  <c r="I88" i="6" s="1"/>
  <c r="AT106" i="9"/>
  <c r="AS106" i="9"/>
  <c r="AQ106" i="9"/>
  <c r="I99" i="6" s="1"/>
  <c r="AS135" i="9"/>
  <c r="AQ135" i="9"/>
  <c r="I128" i="6" s="1"/>
  <c r="AT135" i="9"/>
  <c r="AT133" i="9"/>
  <c r="AS133" i="9"/>
  <c r="AQ133" i="9"/>
  <c r="I126" i="6" s="1"/>
  <c r="AS156" i="9"/>
  <c r="AQ156" i="9"/>
  <c r="I149" i="6" s="1"/>
  <c r="AT156" i="9"/>
  <c r="AS177" i="9"/>
  <c r="AQ177" i="9"/>
  <c r="I170" i="6" s="1"/>
  <c r="AT177" i="9"/>
  <c r="AT63" i="9"/>
  <c r="AS63" i="9"/>
  <c r="AQ63" i="9"/>
  <c r="I56" i="6" s="1"/>
  <c r="AS187" i="9"/>
  <c r="AQ187" i="9"/>
  <c r="I180" i="6" s="1"/>
  <c r="AT187" i="9"/>
  <c r="AT40" i="9"/>
  <c r="AQ40" i="9"/>
  <c r="I33" i="6" s="1"/>
  <c r="AS40" i="9"/>
  <c r="AQ38" i="9"/>
  <c r="I31" i="6" s="1"/>
  <c r="AT38" i="9"/>
  <c r="AS38" i="9"/>
  <c r="AQ50" i="9"/>
  <c r="I43" i="6" s="1"/>
  <c r="AT50" i="9"/>
  <c r="AS50" i="9"/>
  <c r="AT48" i="9"/>
  <c r="AS48" i="9"/>
  <c r="AQ48" i="9"/>
  <c r="I41" i="6" s="1"/>
  <c r="AQ42" i="9"/>
  <c r="I35" i="6" s="1"/>
  <c r="AT42" i="9"/>
  <c r="AS42" i="9"/>
  <c r="AT60" i="9"/>
  <c r="AS60" i="9"/>
  <c r="AQ60" i="9"/>
  <c r="I53" i="6" s="1"/>
  <c r="AQ92" i="9"/>
  <c r="I85" i="6" s="1"/>
  <c r="AT92" i="9"/>
  <c r="AS92" i="9"/>
  <c r="AS113" i="9"/>
  <c r="AT113" i="9"/>
  <c r="AQ113" i="9"/>
  <c r="I106" i="6" s="1"/>
  <c r="AQ96" i="9"/>
  <c r="I89" i="6" s="1"/>
  <c r="AT96" i="9"/>
  <c r="AS96" i="9"/>
  <c r="AT94" i="9"/>
  <c r="AQ94" i="9"/>
  <c r="I87" i="6" s="1"/>
  <c r="AS94" i="9"/>
  <c r="AQ116" i="9"/>
  <c r="I109" i="6" s="1"/>
  <c r="AS116" i="9"/>
  <c r="AT116" i="9"/>
  <c r="AQ108" i="9"/>
  <c r="I101" i="6" s="1"/>
  <c r="AS108" i="9"/>
  <c r="AT108" i="9"/>
  <c r="AQ132" i="9"/>
  <c r="I125" i="6" s="1"/>
  <c r="AT132" i="9"/>
  <c r="AS132" i="9"/>
  <c r="AQ167" i="9"/>
  <c r="I160" i="6" s="1"/>
  <c r="AS167" i="9"/>
  <c r="AT167" i="9"/>
  <c r="AT182" i="9"/>
  <c r="AQ182" i="9"/>
  <c r="I175" i="6" s="1"/>
  <c r="AS182" i="9"/>
  <c r="AS188" i="9"/>
  <c r="AQ188" i="9"/>
  <c r="I181" i="6" s="1"/>
  <c r="AT188" i="9"/>
  <c r="AS73" i="9"/>
  <c r="AQ73" i="9"/>
  <c r="I66" i="6" s="1"/>
  <c r="AT73" i="9"/>
  <c r="AQ101" i="9"/>
  <c r="I94" i="6" s="1"/>
  <c r="AT101" i="9"/>
  <c r="AS101" i="9"/>
  <c r="AS35" i="9"/>
  <c r="AT35" i="9"/>
  <c r="AQ35" i="9"/>
  <c r="I28" i="6" s="1"/>
  <c r="AS119" i="9"/>
  <c r="AT119" i="9"/>
  <c r="AQ119" i="9"/>
  <c r="I112" i="6" s="1"/>
  <c r="AT186" i="9"/>
  <c r="AS186" i="9"/>
  <c r="AQ186" i="9"/>
  <c r="I179" i="6" s="1"/>
  <c r="AV78" i="9"/>
  <c r="AW78" i="9"/>
  <c r="AX78" i="9" s="1"/>
  <c r="AV169" i="9"/>
  <c r="AW169" i="9" s="1"/>
  <c r="AX169" i="9" s="1"/>
  <c r="BI41" i="8"/>
  <c r="AS41" i="8"/>
  <c r="AT41" i="8"/>
  <c r="AQ41" i="8"/>
  <c r="BQ41" i="8" s="1"/>
  <c r="AD34" i="6" s="1"/>
  <c r="AT184" i="8"/>
  <c r="BI184" i="8"/>
  <c r="AS184" i="8"/>
  <c r="AQ184" i="8"/>
  <c r="BQ184" i="8" s="1"/>
  <c r="AD177" i="6" s="1"/>
  <c r="AQ124" i="8"/>
  <c r="BQ124" i="8" s="1"/>
  <c r="AD117" i="6" s="1"/>
  <c r="AS124" i="8"/>
  <c r="BI124" i="8"/>
  <c r="AT124" i="8"/>
  <c r="AQ120" i="8"/>
  <c r="BQ120" i="8" s="1"/>
  <c r="AD113" i="6" s="1"/>
  <c r="AT120" i="8"/>
  <c r="AS120" i="8"/>
  <c r="BI120" i="8"/>
  <c r="AQ162" i="8"/>
  <c r="BQ162" i="8" s="1"/>
  <c r="AD155" i="6" s="1"/>
  <c r="AT162" i="8"/>
  <c r="AS162" i="8"/>
  <c r="BI162" i="8"/>
  <c r="BI171" i="8"/>
  <c r="AS171" i="8"/>
  <c r="AQ171" i="8"/>
  <c r="BQ171" i="8" s="1"/>
  <c r="AD164" i="6" s="1"/>
  <c r="AT171" i="8"/>
  <c r="AT126" i="8"/>
  <c r="BI126" i="8"/>
  <c r="AS126" i="8"/>
  <c r="AQ126" i="8"/>
  <c r="BQ126" i="8" s="1"/>
  <c r="AD119" i="6" s="1"/>
  <c r="AT160" i="8"/>
  <c r="BI160" i="8"/>
  <c r="AS160" i="8"/>
  <c r="AQ160" i="8"/>
  <c r="BQ160" i="8" s="1"/>
  <c r="AD153" i="6" s="1"/>
  <c r="AT164" i="8"/>
  <c r="BI164" i="8"/>
  <c r="AS164" i="8"/>
  <c r="AQ164" i="8"/>
  <c r="BQ164" i="8" s="1"/>
  <c r="AD157" i="6" s="1"/>
  <c r="AQ40" i="8"/>
  <c r="BQ40" i="8" s="1"/>
  <c r="AD33" i="6" s="1"/>
  <c r="BI40" i="8"/>
  <c r="AT40" i="8"/>
  <c r="AS40" i="8"/>
  <c r="AQ63" i="8"/>
  <c r="BQ63" i="8" s="1"/>
  <c r="AD56" i="6" s="1"/>
  <c r="AT63" i="8"/>
  <c r="AS63" i="8"/>
  <c r="BI63" i="8"/>
  <c r="AT78" i="8"/>
  <c r="AS78" i="8"/>
  <c r="BI78" i="8"/>
  <c r="AQ78" i="8"/>
  <c r="BQ78" i="8" s="1"/>
  <c r="AD71" i="6" s="1"/>
  <c r="AQ191" i="8"/>
  <c r="BQ191" i="8" s="1"/>
  <c r="AD184" i="6" s="1"/>
  <c r="AT191" i="8"/>
  <c r="AS191" i="8"/>
  <c r="BI191" i="8"/>
  <c r="BI43" i="8"/>
  <c r="AT43" i="8"/>
  <c r="AS43" i="8"/>
  <c r="AQ43" i="8"/>
  <c r="BQ43" i="8" s="1"/>
  <c r="AD36" i="6" s="1"/>
  <c r="BI29" i="8"/>
  <c r="AS29" i="8"/>
  <c r="AT29" i="8"/>
  <c r="AQ29" i="8"/>
  <c r="BQ29" i="8" s="1"/>
  <c r="AD22" i="6" s="1"/>
  <c r="AQ82" i="8"/>
  <c r="BQ82" i="8" s="1"/>
  <c r="AD75" i="6" s="1"/>
  <c r="BI82" i="8"/>
  <c r="AT82" i="8"/>
  <c r="AS82" i="8"/>
  <c r="BI121" i="8"/>
  <c r="AS121" i="8"/>
  <c r="AQ121" i="8"/>
  <c r="BQ121" i="8" s="1"/>
  <c r="AD114" i="6" s="1"/>
  <c r="AT121" i="8"/>
  <c r="AQ170" i="8"/>
  <c r="BQ170" i="8" s="1"/>
  <c r="AD163" i="6" s="1"/>
  <c r="AT170" i="8"/>
  <c r="AS170" i="8"/>
  <c r="BI170" i="8"/>
  <c r="BI187" i="8"/>
  <c r="AT187" i="8"/>
  <c r="AS187" i="8"/>
  <c r="AQ187" i="8"/>
  <c r="BQ187" i="8" s="1"/>
  <c r="AD180" i="6" s="1"/>
  <c r="AT137" i="8"/>
  <c r="BI137" i="8"/>
  <c r="AS137" i="8"/>
  <c r="AQ137" i="8"/>
  <c r="BQ137" i="8" s="1"/>
  <c r="AD130" i="6" s="1"/>
  <c r="BI177" i="8"/>
  <c r="AS177" i="8"/>
  <c r="AQ177" i="8"/>
  <c r="BQ177" i="8" s="1"/>
  <c r="AD170" i="6" s="1"/>
  <c r="AT177" i="8"/>
  <c r="AT168" i="8"/>
  <c r="BI168" i="8"/>
  <c r="AS168" i="8"/>
  <c r="AQ168" i="8"/>
  <c r="BQ168" i="8" s="1"/>
  <c r="AD161" i="6" s="1"/>
  <c r="BI59" i="8"/>
  <c r="AT59" i="8"/>
  <c r="AS59" i="8"/>
  <c r="AQ59" i="8"/>
  <c r="BQ59" i="8" s="1"/>
  <c r="AD52" i="6" s="1"/>
  <c r="AS135" i="8"/>
  <c r="AQ135" i="8"/>
  <c r="BQ135" i="8" s="1"/>
  <c r="AD128" i="6" s="1"/>
  <c r="AT135" i="8"/>
  <c r="BI135" i="8"/>
  <c r="BI90" i="8"/>
  <c r="AS90" i="8"/>
  <c r="AQ90" i="8"/>
  <c r="BQ90" i="8" s="1"/>
  <c r="AD83" i="6" s="1"/>
  <c r="AT90" i="8"/>
  <c r="AT141" i="8"/>
  <c r="BI141" i="8"/>
  <c r="AS141" i="8"/>
  <c r="AQ141" i="8"/>
  <c r="BQ141" i="8" s="1"/>
  <c r="AD134" i="6" s="1"/>
  <c r="BI81" i="8"/>
  <c r="AT81" i="8"/>
  <c r="AS81" i="8"/>
  <c r="AQ81" i="8"/>
  <c r="BQ81" i="8" s="1"/>
  <c r="AD74" i="6" s="1"/>
  <c r="AT73" i="8"/>
  <c r="BI73" i="8"/>
  <c r="AS73" i="8"/>
  <c r="AQ73" i="8"/>
  <c r="BQ73" i="8" s="1"/>
  <c r="AD66" i="6" s="1"/>
  <c r="BI61" i="8"/>
  <c r="AS61" i="8"/>
  <c r="AT61" i="8"/>
  <c r="AQ61" i="8"/>
  <c r="BQ61" i="8" s="1"/>
  <c r="AD54" i="6" s="1"/>
  <c r="AQ182" i="8"/>
  <c r="BQ182" i="8" s="1"/>
  <c r="AD175" i="6" s="1"/>
  <c r="BI182" i="8"/>
  <c r="AT182" i="8"/>
  <c r="AS182" i="8"/>
  <c r="AT107" i="8"/>
  <c r="BI107" i="8"/>
  <c r="AS107" i="8"/>
  <c r="AQ107" i="8"/>
  <c r="BQ107" i="8" s="1"/>
  <c r="AD100" i="6" s="1"/>
  <c r="AT95" i="8"/>
  <c r="BI95" i="8"/>
  <c r="AS95" i="8"/>
  <c r="AQ95" i="8"/>
  <c r="BQ95" i="8" s="1"/>
  <c r="AD88" i="6" s="1"/>
  <c r="AT130" i="8"/>
  <c r="BI130" i="8"/>
  <c r="AS130" i="8"/>
  <c r="AQ130" i="8"/>
  <c r="BQ130" i="8" s="1"/>
  <c r="AD123" i="6" s="1"/>
  <c r="AT173" i="8"/>
  <c r="BI173" i="8"/>
  <c r="AS173" i="8"/>
  <c r="AQ173" i="8"/>
  <c r="BQ173" i="8" s="1"/>
  <c r="AD166" i="6" s="1"/>
  <c r="AQ32" i="8"/>
  <c r="BQ32" i="8" s="1"/>
  <c r="AD25" i="6" s="1"/>
  <c r="AS32" i="8"/>
  <c r="AT32" i="8"/>
  <c r="BI32" i="8"/>
  <c r="AT103" i="8"/>
  <c r="BI103" i="8"/>
  <c r="AS103" i="8"/>
  <c r="AQ103" i="8"/>
  <c r="BQ103" i="8" s="1"/>
  <c r="AD96" i="6" s="1"/>
  <c r="BH77" i="8"/>
  <c r="BP77" i="8" s="1"/>
  <c r="AC70" i="6" s="1"/>
  <c r="BG77" i="8"/>
  <c r="BO77" i="8" s="1"/>
  <c r="AB70" i="6" s="1"/>
  <c r="BI175" i="8"/>
  <c r="AT175" i="8"/>
  <c r="AS175" i="8"/>
  <c r="AQ175" i="8"/>
  <c r="BQ175" i="8" s="1"/>
  <c r="AD168" i="6" s="1"/>
  <c r="AT70" i="8"/>
  <c r="AQ70" i="8"/>
  <c r="BQ70" i="8" s="1"/>
  <c r="AD63" i="6" s="1"/>
  <c r="BI70" i="8"/>
  <c r="AS70" i="8"/>
  <c r="AT154" i="8"/>
  <c r="AQ154" i="8"/>
  <c r="BQ154" i="8" s="1"/>
  <c r="AD147" i="6" s="1"/>
  <c r="BI154" i="8"/>
  <c r="AS154" i="8"/>
  <c r="AT34" i="8"/>
  <c r="BI34" i="8"/>
  <c r="AQ34" i="8"/>
  <c r="BQ34" i="8" s="1"/>
  <c r="AD27" i="6" s="1"/>
  <c r="AS34" i="8"/>
  <c r="AT74" i="8"/>
  <c r="BI74" i="8"/>
  <c r="AS74" i="8"/>
  <c r="AQ74" i="8"/>
  <c r="BQ74" i="8" s="1"/>
  <c r="AD67" i="6" s="1"/>
  <c r="AT92" i="8"/>
  <c r="AQ92" i="8"/>
  <c r="BQ92" i="8" s="1"/>
  <c r="AD85" i="6" s="1"/>
  <c r="BI92" i="8"/>
  <c r="AS92" i="8"/>
  <c r="AQ112" i="8"/>
  <c r="BQ112" i="8" s="1"/>
  <c r="AD105" i="6" s="1"/>
  <c r="BI112" i="8"/>
  <c r="AT112" i="8"/>
  <c r="AS112" i="8"/>
  <c r="AQ195" i="8"/>
  <c r="BQ195" i="8" s="1"/>
  <c r="AD188" i="6" s="1"/>
  <c r="AT195" i="8"/>
  <c r="AS195" i="8"/>
  <c r="BI195" i="8"/>
  <c r="AT91" i="8"/>
  <c r="BI91" i="8"/>
  <c r="AS91" i="8"/>
  <c r="AQ91" i="8"/>
  <c r="BQ91" i="8" s="1"/>
  <c r="AD84" i="6" s="1"/>
  <c r="BI47" i="8"/>
  <c r="AT47" i="8"/>
  <c r="AS47" i="8"/>
  <c r="AQ47" i="8"/>
  <c r="BQ47" i="8" s="1"/>
  <c r="AD40" i="6" s="1"/>
  <c r="AT38" i="8"/>
  <c r="BI38" i="8"/>
  <c r="AS38" i="8"/>
  <c r="AQ38" i="8"/>
  <c r="BQ38" i="8" s="1"/>
  <c r="AD31" i="6" s="1"/>
  <c r="AS89" i="8"/>
  <c r="AQ89" i="8"/>
  <c r="BQ89" i="8" s="1"/>
  <c r="AD82" i="6" s="1"/>
  <c r="BI89" i="8"/>
  <c r="AT89" i="8"/>
  <c r="AT123" i="8"/>
  <c r="AS123" i="8"/>
  <c r="AQ123" i="8"/>
  <c r="BQ123" i="8" s="1"/>
  <c r="AD116" i="6" s="1"/>
  <c r="BI123" i="8"/>
  <c r="AT118" i="8"/>
  <c r="BI118" i="8"/>
  <c r="AS118" i="8"/>
  <c r="AQ118" i="8"/>
  <c r="BQ118" i="8" s="1"/>
  <c r="AD111" i="6" s="1"/>
  <c r="BI152" i="8"/>
  <c r="AS152" i="8"/>
  <c r="AQ152" i="8"/>
  <c r="BQ152" i="8" s="1"/>
  <c r="AD145" i="6" s="1"/>
  <c r="AT152" i="8"/>
  <c r="AT157" i="8"/>
  <c r="BI157" i="8"/>
  <c r="AS157" i="8"/>
  <c r="AQ157" i="8"/>
  <c r="BQ157" i="8" s="1"/>
  <c r="AD150" i="6" s="1"/>
  <c r="BI163" i="8"/>
  <c r="AS163" i="8"/>
  <c r="AQ163" i="8"/>
  <c r="BQ163" i="8" s="1"/>
  <c r="AD156" i="6" s="1"/>
  <c r="AT163" i="8"/>
  <c r="BI186" i="8"/>
  <c r="AS186" i="8"/>
  <c r="AQ186" i="8"/>
  <c r="BQ186" i="8" s="1"/>
  <c r="AD179" i="6" s="1"/>
  <c r="AT186" i="8"/>
  <c r="AT194" i="8"/>
  <c r="BI194" i="8"/>
  <c r="AS194" i="8"/>
  <c r="AQ194" i="8"/>
  <c r="BQ194" i="8" s="1"/>
  <c r="AD187" i="6" s="1"/>
  <c r="BI114" i="8"/>
  <c r="AS114" i="8"/>
  <c r="AQ114" i="8"/>
  <c r="BQ114" i="8" s="1"/>
  <c r="AD107" i="6" s="1"/>
  <c r="AT114" i="8"/>
  <c r="BI117" i="8"/>
  <c r="AS117" i="8"/>
  <c r="AQ117" i="8"/>
  <c r="BQ117" i="8" s="1"/>
  <c r="AD110" i="6" s="1"/>
  <c r="AT117" i="8"/>
  <c r="AW192" i="8"/>
  <c r="AX192" i="8" s="1"/>
  <c r="AV192" i="8"/>
  <c r="BI106" i="8"/>
  <c r="AS106" i="8"/>
  <c r="AQ106" i="8"/>
  <c r="BQ106" i="8" s="1"/>
  <c r="AD99" i="6" s="1"/>
  <c r="AT106" i="8"/>
  <c r="BI64" i="8"/>
  <c r="AS64" i="8"/>
  <c r="AQ64" i="8"/>
  <c r="BQ64" i="8" s="1"/>
  <c r="AD57" i="6" s="1"/>
  <c r="AT64" i="8"/>
  <c r="BI49" i="8"/>
  <c r="AS49" i="8"/>
  <c r="AT49" i="8"/>
  <c r="AQ49" i="8"/>
  <c r="BQ49" i="8" s="1"/>
  <c r="AD42" i="6" s="1"/>
  <c r="AQ101" i="8"/>
  <c r="BQ101" i="8" s="1"/>
  <c r="AD94" i="6" s="1"/>
  <c r="AT101" i="8"/>
  <c r="AS101" i="8"/>
  <c r="BI101" i="8"/>
  <c r="AT138" i="8"/>
  <c r="AS138" i="8"/>
  <c r="AQ138" i="8"/>
  <c r="BQ138" i="8" s="1"/>
  <c r="AD131" i="6" s="1"/>
  <c r="BI138" i="8"/>
  <c r="AT69" i="8"/>
  <c r="BI69" i="8"/>
  <c r="AS69" i="8"/>
  <c r="AQ69" i="8"/>
  <c r="BQ69" i="8" s="1"/>
  <c r="AD62" i="6" s="1"/>
  <c r="AT96" i="8"/>
  <c r="BI96" i="8"/>
  <c r="AS96" i="8"/>
  <c r="AQ96" i="8"/>
  <c r="BQ96" i="8" s="1"/>
  <c r="AD89" i="6" s="1"/>
  <c r="AT46" i="8"/>
  <c r="AQ46" i="8"/>
  <c r="BQ46" i="8" s="1"/>
  <c r="AD39" i="6" s="1"/>
  <c r="AS46" i="8"/>
  <c r="BI46" i="8"/>
  <c r="AT131" i="8"/>
  <c r="BI131" i="8"/>
  <c r="AS131" i="8"/>
  <c r="AQ131" i="8"/>
  <c r="BQ131" i="8" s="1"/>
  <c r="AD124" i="6" s="1"/>
  <c r="AQ75" i="8"/>
  <c r="BQ75" i="8" s="1"/>
  <c r="AD68" i="6" s="1"/>
  <c r="BI75" i="8"/>
  <c r="AT75" i="8"/>
  <c r="AS75" i="8"/>
  <c r="AQ93" i="8"/>
  <c r="BQ93" i="8" s="1"/>
  <c r="AD86" i="6" s="1"/>
  <c r="BI93" i="8"/>
  <c r="AT93" i="8"/>
  <c r="AS93" i="8"/>
  <c r="BI76" i="8"/>
  <c r="AS76" i="8"/>
  <c r="AQ76" i="8"/>
  <c r="BQ76" i="8" s="1"/>
  <c r="AD69" i="6" s="1"/>
  <c r="AT76" i="8"/>
  <c r="AQ97" i="8"/>
  <c r="BQ97" i="8" s="1"/>
  <c r="AD90" i="6" s="1"/>
  <c r="BI97" i="8"/>
  <c r="AT97" i="8"/>
  <c r="AS97" i="8"/>
  <c r="AQ136" i="8"/>
  <c r="BQ136" i="8" s="1"/>
  <c r="AD129" i="6" s="1"/>
  <c r="AS136" i="8"/>
  <c r="AT136" i="8"/>
  <c r="BI136" i="8"/>
  <c r="AT127" i="8"/>
  <c r="AQ127" i="8"/>
  <c r="BQ127" i="8" s="1"/>
  <c r="AD120" i="6" s="1"/>
  <c r="BI127" i="8"/>
  <c r="AS127" i="8"/>
  <c r="AQ143" i="8"/>
  <c r="BQ143" i="8" s="1"/>
  <c r="AD136" i="6" s="1"/>
  <c r="BI143" i="8"/>
  <c r="AT143" i="8"/>
  <c r="AS143" i="8"/>
  <c r="BI140" i="8"/>
  <c r="AS140" i="8"/>
  <c r="AQ140" i="8"/>
  <c r="BQ140" i="8" s="1"/>
  <c r="AD133" i="6" s="1"/>
  <c r="AT140" i="8"/>
  <c r="AQ180" i="8"/>
  <c r="BQ180" i="8" s="1"/>
  <c r="AD173" i="6" s="1"/>
  <c r="AT180" i="8"/>
  <c r="BI180" i="8"/>
  <c r="AS180" i="8"/>
  <c r="AB17" i="8"/>
  <c r="AC27" i="8"/>
  <c r="BI181" i="8"/>
  <c r="AS181" i="8"/>
  <c r="AQ181" i="8"/>
  <c r="BQ181" i="8" s="1"/>
  <c r="AD174" i="6" s="1"/>
  <c r="AT181" i="8"/>
  <c r="BG51" i="8"/>
  <c r="BO51" i="8" s="1"/>
  <c r="AB44" i="6" s="1"/>
  <c r="AV51" i="8"/>
  <c r="AW51" i="8" s="1"/>
  <c r="AX51" i="8" s="1"/>
  <c r="BH51" i="8"/>
  <c r="BP51" i="8" s="1"/>
  <c r="AC44" i="6" s="1"/>
  <c r="BI53" i="8"/>
  <c r="AS53" i="8"/>
  <c r="AQ53" i="8"/>
  <c r="BQ53" i="8" s="1"/>
  <c r="AD46" i="6" s="1"/>
  <c r="AT53" i="8"/>
  <c r="BI79" i="8"/>
  <c r="AS79" i="8"/>
  <c r="AT79" i="8"/>
  <c r="AQ79" i="8"/>
  <c r="BQ79" i="8" s="1"/>
  <c r="AD72" i="6" s="1"/>
  <c r="AQ176" i="8"/>
  <c r="BQ176" i="8" s="1"/>
  <c r="AD169" i="6" s="1"/>
  <c r="AT176" i="8"/>
  <c r="AS176" i="8"/>
  <c r="BI176" i="8"/>
  <c r="AT179" i="8"/>
  <c r="BI179" i="8"/>
  <c r="AS179" i="8"/>
  <c r="AQ179" i="8"/>
  <c r="BQ179" i="8" s="1"/>
  <c r="AD172" i="6" s="1"/>
  <c r="AT100" i="8"/>
  <c r="AS100" i="8"/>
  <c r="BI100" i="8"/>
  <c r="AQ100" i="8"/>
  <c r="BQ100" i="8" s="1"/>
  <c r="AD93" i="6" s="1"/>
  <c r="BI149" i="8"/>
  <c r="AS149" i="8"/>
  <c r="AT149" i="8"/>
  <c r="AQ149" i="8"/>
  <c r="BQ149" i="8" s="1"/>
  <c r="AD142" i="6" s="1"/>
  <c r="AQ185" i="8"/>
  <c r="BQ185" i="8" s="1"/>
  <c r="AD178" i="6" s="1"/>
  <c r="AT185" i="8"/>
  <c r="AS185" i="8"/>
  <c r="BI185" i="8"/>
  <c r="AT30" i="8"/>
  <c r="BI30" i="8"/>
  <c r="AS30" i="8"/>
  <c r="AQ30" i="8"/>
  <c r="BQ30" i="8" s="1"/>
  <c r="AD23" i="6" s="1"/>
  <c r="AT42" i="8"/>
  <c r="BI42" i="8"/>
  <c r="AS42" i="8"/>
  <c r="AQ42" i="8"/>
  <c r="BQ42" i="8" s="1"/>
  <c r="AD35" i="6" s="1"/>
  <c r="AQ128" i="8"/>
  <c r="BQ128" i="8" s="1"/>
  <c r="AD121" i="6" s="1"/>
  <c r="BI128" i="8"/>
  <c r="AT128" i="8"/>
  <c r="AS128" i="8"/>
  <c r="AT150" i="8"/>
  <c r="AQ150" i="8"/>
  <c r="BQ150" i="8" s="1"/>
  <c r="AD143" i="6" s="1"/>
  <c r="BI150" i="8"/>
  <c r="AS150" i="8"/>
  <c r="AQ159" i="8"/>
  <c r="BQ159" i="8" s="1"/>
  <c r="AD152" i="6" s="1"/>
  <c r="BI159" i="8"/>
  <c r="AT159" i="8"/>
  <c r="AS159" i="8"/>
  <c r="AT115" i="8"/>
  <c r="BI115" i="8"/>
  <c r="AS115" i="8"/>
  <c r="AQ115" i="8"/>
  <c r="BQ115" i="8" s="1"/>
  <c r="AD108" i="6" s="1"/>
  <c r="AT54" i="8"/>
  <c r="BI54" i="8"/>
  <c r="AS54" i="8"/>
  <c r="AQ54" i="8"/>
  <c r="BQ54" i="8" s="1"/>
  <c r="AD47" i="6" s="1"/>
  <c r="BI45" i="8"/>
  <c r="AS45" i="8"/>
  <c r="AT45" i="8"/>
  <c r="AQ45" i="8"/>
  <c r="BQ45" i="8" s="1"/>
  <c r="AD38" i="6" s="1"/>
  <c r="AT65" i="8"/>
  <c r="BI65" i="8"/>
  <c r="AS65" i="8"/>
  <c r="AQ65" i="8"/>
  <c r="BQ65" i="8" s="1"/>
  <c r="AD58" i="6" s="1"/>
  <c r="BI125" i="8"/>
  <c r="AS125" i="8"/>
  <c r="AQ125" i="8"/>
  <c r="BQ125" i="8" s="1"/>
  <c r="AD118" i="6" s="1"/>
  <c r="AT125" i="8"/>
  <c r="AT165" i="8"/>
  <c r="BI165" i="8"/>
  <c r="AS165" i="8"/>
  <c r="AQ165" i="8"/>
  <c r="BQ165" i="8" s="1"/>
  <c r="AD158" i="6" s="1"/>
  <c r="AT193" i="8"/>
  <c r="BI193" i="8"/>
  <c r="AS193" i="8"/>
  <c r="AQ193" i="8"/>
  <c r="BQ193" i="8" s="1"/>
  <c r="AD186" i="6" s="1"/>
  <c r="BI31" i="8"/>
  <c r="AT31" i="8"/>
  <c r="AS31" i="8"/>
  <c r="AQ31" i="8"/>
  <c r="BQ31" i="8" s="1"/>
  <c r="AD24" i="6" s="1"/>
  <c r="AT145" i="8"/>
  <c r="BI145" i="8"/>
  <c r="AS145" i="8"/>
  <c r="AQ145" i="8"/>
  <c r="BQ145" i="8" s="1"/>
  <c r="AD138" i="6" s="1"/>
  <c r="AT50" i="8"/>
  <c r="AS50" i="8"/>
  <c r="AQ50" i="8"/>
  <c r="BQ50" i="8" s="1"/>
  <c r="AD43" i="6" s="1"/>
  <c r="BI50" i="8"/>
  <c r="BI87" i="8"/>
  <c r="AS87" i="8"/>
  <c r="AQ87" i="8"/>
  <c r="BQ87" i="8" s="1"/>
  <c r="AD80" i="6" s="1"/>
  <c r="AT87" i="8"/>
  <c r="AQ139" i="8"/>
  <c r="BQ139" i="8" s="1"/>
  <c r="AD132" i="6" s="1"/>
  <c r="AS139" i="8"/>
  <c r="BI139" i="8"/>
  <c r="AT139" i="8"/>
  <c r="AQ48" i="8"/>
  <c r="BQ48" i="8" s="1"/>
  <c r="AD41" i="6" s="1"/>
  <c r="BI48" i="8"/>
  <c r="AT48" i="8"/>
  <c r="AS48" i="8"/>
  <c r="BH116" i="8"/>
  <c r="BP116" i="8" s="1"/>
  <c r="AC109" i="6" s="1"/>
  <c r="BG116" i="8"/>
  <c r="BO116" i="8" s="1"/>
  <c r="AB109" i="6" s="1"/>
  <c r="BI37" i="8"/>
  <c r="AS37" i="8"/>
  <c r="AQ37" i="8"/>
  <c r="BQ37" i="8" s="1"/>
  <c r="AD30" i="6" s="1"/>
  <c r="AT37" i="8"/>
  <c r="AQ56" i="8"/>
  <c r="BQ56" i="8" s="1"/>
  <c r="AD49" i="6" s="1"/>
  <c r="BI56" i="8"/>
  <c r="AT56" i="8"/>
  <c r="AS56" i="8"/>
  <c r="AQ36" i="8"/>
  <c r="BQ36" i="8" s="1"/>
  <c r="AD29" i="6" s="1"/>
  <c r="BI36" i="8"/>
  <c r="AT36" i="8"/>
  <c r="AS36" i="8"/>
  <c r="AQ71" i="8"/>
  <c r="BQ71" i="8" s="1"/>
  <c r="AD64" i="6" s="1"/>
  <c r="BI71" i="8"/>
  <c r="AT71" i="8"/>
  <c r="AS71" i="8"/>
  <c r="AT80" i="8"/>
  <c r="AQ80" i="8"/>
  <c r="BQ80" i="8" s="1"/>
  <c r="AD73" i="6" s="1"/>
  <c r="BI80" i="8"/>
  <c r="AS80" i="8"/>
  <c r="BI109" i="8"/>
  <c r="AQ109" i="8"/>
  <c r="BQ109" i="8" s="1"/>
  <c r="AD102" i="6" s="1"/>
  <c r="AS109" i="8"/>
  <c r="AT109" i="8"/>
  <c r="AT84" i="8"/>
  <c r="AS84" i="8"/>
  <c r="AQ84" i="8"/>
  <c r="BQ84" i="8" s="1"/>
  <c r="AD77" i="6" s="1"/>
  <c r="BI84" i="8"/>
  <c r="AT108" i="8"/>
  <c r="AQ108" i="8"/>
  <c r="BQ108" i="8" s="1"/>
  <c r="AD101" i="6" s="1"/>
  <c r="BI108" i="8"/>
  <c r="AS108" i="8"/>
  <c r="AQ132" i="8"/>
  <c r="BQ132" i="8" s="1"/>
  <c r="AD125" i="6" s="1"/>
  <c r="BI132" i="8"/>
  <c r="AT132" i="8"/>
  <c r="AS132" i="8"/>
  <c r="AT158" i="8"/>
  <c r="BI158" i="8"/>
  <c r="AS158" i="8"/>
  <c r="AQ158" i="8"/>
  <c r="BQ158" i="8" s="1"/>
  <c r="AD151" i="6" s="1"/>
  <c r="BI129" i="8"/>
  <c r="AS129" i="8"/>
  <c r="AQ129" i="8"/>
  <c r="BQ129" i="8" s="1"/>
  <c r="AD122" i="6" s="1"/>
  <c r="AT129" i="8"/>
  <c r="AQ155" i="8"/>
  <c r="BQ155" i="8" s="1"/>
  <c r="AD148" i="6" s="1"/>
  <c r="BI155" i="8"/>
  <c r="AS155" i="8"/>
  <c r="AT155" i="8"/>
  <c r="BI144" i="8"/>
  <c r="AS144" i="8"/>
  <c r="AQ144" i="8"/>
  <c r="BQ144" i="8" s="1"/>
  <c r="AD137" i="6" s="1"/>
  <c r="AT144" i="8"/>
  <c r="BI156" i="8"/>
  <c r="AS156" i="8"/>
  <c r="AQ156" i="8"/>
  <c r="BQ156" i="8" s="1"/>
  <c r="AD149" i="6" s="1"/>
  <c r="AT156" i="8"/>
  <c r="AT183" i="8"/>
  <c r="BI183" i="8"/>
  <c r="AS183" i="8"/>
  <c r="AQ183" i="8"/>
  <c r="BQ183" i="8" s="1"/>
  <c r="AD176" i="6" s="1"/>
  <c r="BI57" i="8"/>
  <c r="AS57" i="8"/>
  <c r="AT57" i="8"/>
  <c r="AQ57" i="8"/>
  <c r="BQ57" i="8" s="1"/>
  <c r="AD50" i="6" s="1"/>
  <c r="BI83" i="8"/>
  <c r="AS83" i="8"/>
  <c r="AT83" i="8"/>
  <c r="AQ83" i="8"/>
  <c r="BQ83" i="8" s="1"/>
  <c r="AD76" i="6" s="1"/>
  <c r="AQ67" i="8"/>
  <c r="BQ67" i="8" s="1"/>
  <c r="AD60" i="6" s="1"/>
  <c r="AS67" i="8"/>
  <c r="BI67" i="8"/>
  <c r="AT67" i="8"/>
  <c r="AT119" i="8"/>
  <c r="AS119" i="8"/>
  <c r="BI119" i="8"/>
  <c r="AQ119" i="8"/>
  <c r="BQ119" i="8" s="1"/>
  <c r="AD112" i="6" s="1"/>
  <c r="AQ35" i="8"/>
  <c r="BQ35" i="8" s="1"/>
  <c r="AD28" i="6" s="1"/>
  <c r="BI35" i="8"/>
  <c r="AT35" i="8"/>
  <c r="AS35" i="8"/>
  <c r="AT190" i="8"/>
  <c r="AS190" i="8"/>
  <c r="AQ190" i="8"/>
  <c r="BQ190" i="8" s="1"/>
  <c r="AD183" i="6" s="1"/>
  <c r="BI190" i="8"/>
  <c r="BI33" i="8"/>
  <c r="AS33" i="8"/>
  <c r="AT33" i="8"/>
  <c r="AQ33" i="8"/>
  <c r="BQ33" i="8" s="1"/>
  <c r="AD26" i="6" s="1"/>
  <c r="AT58" i="8"/>
  <c r="BI58" i="8"/>
  <c r="AS58" i="8"/>
  <c r="AQ58" i="8"/>
  <c r="BQ58" i="8" s="1"/>
  <c r="AD51" i="6" s="1"/>
  <c r="AQ60" i="8"/>
  <c r="BQ60" i="8" s="1"/>
  <c r="AD53" i="6" s="1"/>
  <c r="AS60" i="8"/>
  <c r="BI60" i="8"/>
  <c r="AT60" i="8"/>
  <c r="BI72" i="8"/>
  <c r="AS72" i="8"/>
  <c r="AQ72" i="8"/>
  <c r="BQ72" i="8" s="1"/>
  <c r="AD65" i="6" s="1"/>
  <c r="AT72" i="8"/>
  <c r="BI98" i="8"/>
  <c r="AS98" i="8"/>
  <c r="AQ98" i="8"/>
  <c r="BQ98" i="8" s="1"/>
  <c r="AD91" i="6" s="1"/>
  <c r="AT98" i="8"/>
  <c r="BI147" i="8"/>
  <c r="AQ147" i="8"/>
  <c r="BQ147" i="8" s="1"/>
  <c r="AD140" i="6" s="1"/>
  <c r="AT147" i="8"/>
  <c r="AS147" i="8"/>
  <c r="BI102" i="8"/>
  <c r="AS102" i="8"/>
  <c r="AQ102" i="8"/>
  <c r="BQ102" i="8" s="1"/>
  <c r="AD95" i="6" s="1"/>
  <c r="AT102" i="8"/>
  <c r="AT153" i="8"/>
  <c r="BI153" i="8"/>
  <c r="AS153" i="8"/>
  <c r="AQ153" i="8"/>
  <c r="BQ153" i="8" s="1"/>
  <c r="AD146" i="6" s="1"/>
  <c r="AT172" i="8"/>
  <c r="BI172" i="8"/>
  <c r="AS172" i="8"/>
  <c r="AQ172" i="8"/>
  <c r="BQ172" i="8" s="1"/>
  <c r="AD165" i="6" s="1"/>
  <c r="AQ166" i="8"/>
  <c r="BQ166" i="8" s="1"/>
  <c r="AD159" i="6" s="1"/>
  <c r="AT166" i="8"/>
  <c r="AS166" i="8"/>
  <c r="BI166" i="8"/>
  <c r="AQ105" i="8"/>
  <c r="BQ105" i="8" s="1"/>
  <c r="AD98" i="6" s="1"/>
  <c r="AS105" i="8"/>
  <c r="AT105" i="8"/>
  <c r="BI105" i="8"/>
  <c r="AS39" i="8"/>
  <c r="AQ39" i="8"/>
  <c r="BQ39" i="8" s="1"/>
  <c r="AD32" i="6" s="1"/>
  <c r="AT39" i="8"/>
  <c r="BI39" i="8"/>
  <c r="AS55" i="8"/>
  <c r="AQ55" i="8"/>
  <c r="BQ55" i="8" s="1"/>
  <c r="AD48" i="6" s="1"/>
  <c r="BI55" i="8"/>
  <c r="AT55" i="8"/>
  <c r="AT88" i="8"/>
  <c r="BI88" i="8"/>
  <c r="AS88" i="8"/>
  <c r="AQ88" i="8"/>
  <c r="BQ88" i="8" s="1"/>
  <c r="AD81" i="6" s="1"/>
  <c r="AT169" i="8"/>
  <c r="BI169" i="8"/>
  <c r="AS169" i="8"/>
  <c r="AQ169" i="8"/>
  <c r="BQ169" i="8" s="1"/>
  <c r="AD162" i="6" s="1"/>
  <c r="AQ151" i="8"/>
  <c r="BQ151" i="8" s="1"/>
  <c r="AD144" i="6" s="1"/>
  <c r="AS151" i="8"/>
  <c r="BI151" i="8"/>
  <c r="AT151" i="8"/>
  <c r="AT178" i="8"/>
  <c r="BI178" i="8"/>
  <c r="AS178" i="8"/>
  <c r="AQ178" i="8"/>
  <c r="BQ178" i="8" s="1"/>
  <c r="AD171" i="6" s="1"/>
  <c r="AQ52" i="8"/>
  <c r="BQ52" i="8" s="1"/>
  <c r="AD45" i="6" s="1"/>
  <c r="BI52" i="8"/>
  <c r="AT52" i="8"/>
  <c r="AS52" i="8"/>
  <c r="AQ28" i="8"/>
  <c r="BQ28" i="8" s="1"/>
  <c r="AD21" i="6" s="1"/>
  <c r="BI28" i="8"/>
  <c r="AT28" i="8"/>
  <c r="AS28" i="8"/>
  <c r="AT62" i="8"/>
  <c r="AQ62" i="8"/>
  <c r="BQ62" i="8" s="1"/>
  <c r="AD55" i="6" s="1"/>
  <c r="AS62" i="8"/>
  <c r="BI62" i="8"/>
  <c r="AQ86" i="8"/>
  <c r="BQ86" i="8" s="1"/>
  <c r="AD79" i="6" s="1"/>
  <c r="BI86" i="8"/>
  <c r="AT86" i="8"/>
  <c r="AS86" i="8"/>
  <c r="AQ44" i="8"/>
  <c r="BQ44" i="8" s="1"/>
  <c r="AD37" i="6" s="1"/>
  <c r="AS44" i="8"/>
  <c r="BI44" i="8"/>
  <c r="AT44" i="8"/>
  <c r="AQ113" i="8"/>
  <c r="BQ113" i="8" s="1"/>
  <c r="AD106" i="6" s="1"/>
  <c r="BI113" i="8"/>
  <c r="AT113" i="8"/>
  <c r="AS113" i="8"/>
  <c r="BI68" i="8"/>
  <c r="AS68" i="8"/>
  <c r="AQ68" i="8"/>
  <c r="BQ68" i="8" s="1"/>
  <c r="AD61" i="6" s="1"/>
  <c r="AT68" i="8"/>
  <c r="AQ85" i="8"/>
  <c r="BQ85" i="8" s="1"/>
  <c r="AD78" i="6" s="1"/>
  <c r="BI85" i="8"/>
  <c r="AT85" i="8"/>
  <c r="AS85" i="8"/>
  <c r="BI94" i="8"/>
  <c r="AS94" i="8"/>
  <c r="AQ94" i="8"/>
  <c r="BQ94" i="8" s="1"/>
  <c r="AD87" i="6" s="1"/>
  <c r="AT94" i="8"/>
  <c r="AT111" i="8"/>
  <c r="AS111" i="8"/>
  <c r="AQ111" i="8"/>
  <c r="BQ111" i="8" s="1"/>
  <c r="AD104" i="6" s="1"/>
  <c r="BI111" i="8"/>
  <c r="AT146" i="8"/>
  <c r="BI146" i="8"/>
  <c r="AS146" i="8"/>
  <c r="AQ146" i="8"/>
  <c r="BQ146" i="8" s="1"/>
  <c r="AD139" i="6" s="1"/>
  <c r="BI133" i="8"/>
  <c r="AS133" i="8"/>
  <c r="AQ133" i="8"/>
  <c r="BQ133" i="8" s="1"/>
  <c r="AD126" i="6" s="1"/>
  <c r="AT133" i="8"/>
  <c r="AT161" i="8"/>
  <c r="BI161" i="8"/>
  <c r="AS161" i="8"/>
  <c r="AQ161" i="8"/>
  <c r="BQ161" i="8" s="1"/>
  <c r="AD154" i="6" s="1"/>
  <c r="AQ148" i="8"/>
  <c r="BQ148" i="8" s="1"/>
  <c r="AD141" i="6" s="1"/>
  <c r="AS148" i="8"/>
  <c r="AT148" i="8"/>
  <c r="BI148" i="8"/>
  <c r="AQ174" i="8"/>
  <c r="BQ174" i="8" s="1"/>
  <c r="AD167" i="6" s="1"/>
  <c r="BI174" i="8"/>
  <c r="AT174" i="8"/>
  <c r="AS174" i="8"/>
  <c r="BI167" i="8"/>
  <c r="AS167" i="8"/>
  <c r="AQ167" i="8"/>
  <c r="BQ167" i="8" s="1"/>
  <c r="AD160" i="6" s="1"/>
  <c r="AT167" i="8"/>
  <c r="AT189" i="8"/>
  <c r="BI189" i="8"/>
  <c r="AS189" i="8"/>
  <c r="AQ189" i="8"/>
  <c r="BQ189" i="8" s="1"/>
  <c r="AD182" i="6" s="1"/>
  <c r="BI188" i="8"/>
  <c r="AS188" i="8"/>
  <c r="AT188" i="8"/>
  <c r="AQ188" i="8"/>
  <c r="BQ188" i="8" s="1"/>
  <c r="AD181" i="6" s="1"/>
  <c r="BI110" i="8"/>
  <c r="AS110" i="8"/>
  <c r="AT110" i="8"/>
  <c r="AQ110" i="8"/>
  <c r="BQ110" i="8" s="1"/>
  <c r="AD103" i="6" s="1"/>
  <c r="AV104" i="8"/>
  <c r="AW104" i="8"/>
  <c r="AX104" i="8" s="1"/>
  <c r="AV142" i="8"/>
  <c r="AW142" i="8"/>
  <c r="AX142" i="8" s="1"/>
  <c r="BG66" i="8"/>
  <c r="BO66" i="8" s="1"/>
  <c r="AB59" i="6" s="1"/>
  <c r="AV66" i="8"/>
  <c r="AW66" i="8" s="1"/>
  <c r="AX66" i="8" s="1"/>
  <c r="W59" i="6" s="1"/>
  <c r="BH66" i="8"/>
  <c r="BP66" i="8" s="1"/>
  <c r="AC59" i="6" s="1"/>
  <c r="AW122" i="8"/>
  <c r="AX122" i="8" s="1"/>
  <c r="AS124" i="9" l="1"/>
  <c r="AS90" i="9"/>
  <c r="AT85" i="9"/>
  <c r="AT90" i="9"/>
  <c r="AV90" i="9" s="1"/>
  <c r="AW90" i="9" s="1"/>
  <c r="AX90" i="9" s="1"/>
  <c r="AT149" i="9"/>
  <c r="AV149" i="9" s="1"/>
  <c r="AQ85" i="9"/>
  <c r="I78" i="6" s="1"/>
  <c r="AV134" i="8"/>
  <c r="BC134" i="8" s="1"/>
  <c r="BK134" i="8" s="1"/>
  <c r="X127" i="6" s="1"/>
  <c r="AQ153" i="9"/>
  <c r="I146" i="6" s="1"/>
  <c r="AS175" i="9"/>
  <c r="AS149" i="9"/>
  <c r="AS153" i="9"/>
  <c r="AS66" i="9"/>
  <c r="AV126" i="9"/>
  <c r="AQ150" i="9"/>
  <c r="I143" i="6" s="1"/>
  <c r="AT193" i="9"/>
  <c r="AQ80" i="9"/>
  <c r="I73" i="6" s="1"/>
  <c r="AW116" i="8"/>
  <c r="AX116" i="8" s="1"/>
  <c r="AT66" i="9"/>
  <c r="AV147" i="9"/>
  <c r="AS44" i="9"/>
  <c r="AV44" i="9" s="1"/>
  <c r="AT184" i="9"/>
  <c r="AV184" i="9" s="1"/>
  <c r="AW184" i="9" s="1"/>
  <c r="AX184" i="9" s="1"/>
  <c r="AS150" i="9"/>
  <c r="AS80" i="9"/>
  <c r="AV80" i="9" s="1"/>
  <c r="AY192" i="8"/>
  <c r="W185" i="6"/>
  <c r="AY169" i="9"/>
  <c r="V162" i="6"/>
  <c r="AY191" i="9"/>
  <c r="V184" i="6"/>
  <c r="AY78" i="9"/>
  <c r="V71" i="6"/>
  <c r="AY192" i="9"/>
  <c r="V185" i="6"/>
  <c r="AY123" i="9"/>
  <c r="V116" i="6"/>
  <c r="AY87" i="9"/>
  <c r="V80" i="6"/>
  <c r="AY161" i="9"/>
  <c r="V154" i="6"/>
  <c r="AY99" i="8"/>
  <c r="W92" i="6"/>
  <c r="AY122" i="8"/>
  <c r="W115" i="6"/>
  <c r="AY142" i="8"/>
  <c r="W135" i="6"/>
  <c r="AY162" i="9"/>
  <c r="V155" i="6"/>
  <c r="AY97" i="9"/>
  <c r="V90" i="6"/>
  <c r="AY140" i="9"/>
  <c r="V133" i="6"/>
  <c r="AY129" i="9"/>
  <c r="V122" i="6"/>
  <c r="AY116" i="8"/>
  <c r="W109" i="6"/>
  <c r="AY126" i="9"/>
  <c r="V119" i="6"/>
  <c r="AY134" i="8"/>
  <c r="W127" i="6"/>
  <c r="AY104" i="8"/>
  <c r="W97" i="6"/>
  <c r="AY51" i="8"/>
  <c r="W44" i="6"/>
  <c r="AY147" i="9"/>
  <c r="V140" i="6"/>
  <c r="AY170" i="9"/>
  <c r="V163" i="6"/>
  <c r="AY99" i="9"/>
  <c r="V92" i="6"/>
  <c r="AV99" i="8"/>
  <c r="BC104" i="8"/>
  <c r="BK104" i="8" s="1"/>
  <c r="X97" i="6" s="1"/>
  <c r="AT37" i="9"/>
  <c r="AV37" i="9" s="1"/>
  <c r="AW37" i="9" s="1"/>
  <c r="AX37" i="9" s="1"/>
  <c r="AQ28" i="9"/>
  <c r="I21" i="6" s="1"/>
  <c r="AQ184" i="9"/>
  <c r="I177" i="6" s="1"/>
  <c r="AQ37" i="9"/>
  <c r="I30" i="6" s="1"/>
  <c r="BC122" i="8"/>
  <c r="BK122" i="8" s="1"/>
  <c r="X115" i="6" s="1"/>
  <c r="BC99" i="8"/>
  <c r="BK99" i="8" s="1"/>
  <c r="X92" i="6" s="1"/>
  <c r="AV101" i="9"/>
  <c r="AW101" i="9" s="1"/>
  <c r="AX101" i="9" s="1"/>
  <c r="AV116" i="9"/>
  <c r="AW116" i="9" s="1"/>
  <c r="AX116" i="9" s="1"/>
  <c r="AV40" i="9"/>
  <c r="AW40" i="9" s="1"/>
  <c r="AX40" i="9" s="1"/>
  <c r="AV159" i="9"/>
  <c r="AW159" i="9" s="1"/>
  <c r="AX159" i="9" s="1"/>
  <c r="AV154" i="9"/>
  <c r="AW154" i="9" s="1"/>
  <c r="AX154" i="9" s="1"/>
  <c r="AV39" i="9"/>
  <c r="AW39" i="9"/>
  <c r="AX39" i="9" s="1"/>
  <c r="AV185" i="9"/>
  <c r="AW185" i="9" s="1"/>
  <c r="AX185" i="9" s="1"/>
  <c r="AV130" i="9"/>
  <c r="AW130" i="9" s="1"/>
  <c r="AX130" i="9" s="1"/>
  <c r="AV110" i="9"/>
  <c r="AW110" i="9"/>
  <c r="AX110" i="9" s="1"/>
  <c r="AV122" i="9"/>
  <c r="AW122" i="9"/>
  <c r="AX122" i="9" s="1"/>
  <c r="AV112" i="9"/>
  <c r="AW112" i="9" s="1"/>
  <c r="AX112" i="9" s="1"/>
  <c r="AV52" i="9"/>
  <c r="AW52" i="9" s="1"/>
  <c r="AX52" i="9" s="1"/>
  <c r="AV141" i="9"/>
  <c r="AW141" i="9" s="1"/>
  <c r="AX141" i="9" s="1"/>
  <c r="AV117" i="9"/>
  <c r="AW117" i="9"/>
  <c r="AX117" i="9" s="1"/>
  <c r="AV125" i="9"/>
  <c r="AW125" i="9"/>
  <c r="AX125" i="9" s="1"/>
  <c r="AW85" i="9"/>
  <c r="AX85" i="9" s="1"/>
  <c r="AV85" i="9"/>
  <c r="AW64" i="9"/>
  <c r="AX64" i="9" s="1"/>
  <c r="AV64" i="9"/>
  <c r="AV31" i="9"/>
  <c r="AW31" i="9"/>
  <c r="AX31" i="9" s="1"/>
  <c r="AV71" i="9"/>
  <c r="AW71" i="9"/>
  <c r="AX71" i="9" s="1"/>
  <c r="AC17" i="9"/>
  <c r="AE27" i="9"/>
  <c r="AO27" i="9" s="1"/>
  <c r="AW186" i="9"/>
  <c r="AX186" i="9" s="1"/>
  <c r="AV186" i="9"/>
  <c r="AW188" i="9"/>
  <c r="AX188" i="9" s="1"/>
  <c r="AV188" i="9"/>
  <c r="AV108" i="9"/>
  <c r="AW108" i="9" s="1"/>
  <c r="AX108" i="9" s="1"/>
  <c r="AV94" i="9"/>
  <c r="AW94" i="9" s="1"/>
  <c r="AX94" i="9" s="1"/>
  <c r="AW92" i="9"/>
  <c r="AX92" i="9" s="1"/>
  <c r="AV92" i="9"/>
  <c r="AV60" i="9"/>
  <c r="AW60" i="9" s="1"/>
  <c r="AX60" i="9" s="1"/>
  <c r="AW50" i="9"/>
  <c r="AX50" i="9" s="1"/>
  <c r="AV50" i="9"/>
  <c r="AW187" i="9"/>
  <c r="AX187" i="9" s="1"/>
  <c r="AV187" i="9"/>
  <c r="AV106" i="9"/>
  <c r="AW106" i="9" s="1"/>
  <c r="AX106" i="9" s="1"/>
  <c r="AV66" i="9"/>
  <c r="AW66" i="9" s="1"/>
  <c r="AX66" i="9" s="1"/>
  <c r="AV152" i="9"/>
  <c r="AW152" i="9" s="1"/>
  <c r="AX152" i="9" s="1"/>
  <c r="AV143" i="9"/>
  <c r="AW143" i="9" s="1"/>
  <c r="AX143" i="9" s="1"/>
  <c r="AV33" i="9"/>
  <c r="AW33" i="9"/>
  <c r="AX33" i="9" s="1"/>
  <c r="AV131" i="9"/>
  <c r="AW131" i="9" s="1"/>
  <c r="AX131" i="9" s="1"/>
  <c r="AW68" i="9"/>
  <c r="AX68" i="9" s="1"/>
  <c r="AV68" i="9"/>
  <c r="AW53" i="9"/>
  <c r="AX53" i="9" s="1"/>
  <c r="AV53" i="9"/>
  <c r="AV179" i="9"/>
  <c r="AW179" i="9" s="1"/>
  <c r="AX179" i="9" s="1"/>
  <c r="AV181" i="9"/>
  <c r="AW181" i="9" s="1"/>
  <c r="AX181" i="9" s="1"/>
  <c r="AW157" i="9"/>
  <c r="AX157" i="9" s="1"/>
  <c r="AV157" i="9"/>
  <c r="AW82" i="9"/>
  <c r="AX82" i="9" s="1"/>
  <c r="AV82" i="9"/>
  <c r="AV36" i="9"/>
  <c r="AW36" i="9" s="1"/>
  <c r="AX36" i="9" s="1"/>
  <c r="AW158" i="9"/>
  <c r="AX158" i="9" s="1"/>
  <c r="AV158" i="9"/>
  <c r="AV145" i="9"/>
  <c r="AW145" i="9" s="1"/>
  <c r="AX145" i="9" s="1"/>
  <c r="AW171" i="9"/>
  <c r="AX171" i="9" s="1"/>
  <c r="AV171" i="9"/>
  <c r="AW84" i="9"/>
  <c r="AX84" i="9" s="1"/>
  <c r="AV84" i="9"/>
  <c r="AW118" i="9"/>
  <c r="AX118" i="9" s="1"/>
  <c r="AV118" i="9"/>
  <c r="AV88" i="9"/>
  <c r="AW88" i="9" s="1"/>
  <c r="AX88" i="9" s="1"/>
  <c r="AW149" i="9"/>
  <c r="AX149" i="9" s="1"/>
  <c r="AV120" i="9"/>
  <c r="AW120" i="9" s="1"/>
  <c r="AX120" i="9" s="1"/>
  <c r="AV70" i="9"/>
  <c r="AW70" i="9" s="1"/>
  <c r="AX70" i="9" s="1"/>
  <c r="AV146" i="9"/>
  <c r="AW146" i="9" s="1"/>
  <c r="AX146" i="9" s="1"/>
  <c r="AV41" i="9"/>
  <c r="AW41" i="9" s="1"/>
  <c r="AX41" i="9" s="1"/>
  <c r="AV62" i="9"/>
  <c r="AW62" i="9" s="1"/>
  <c r="AX62" i="9" s="1"/>
  <c r="AV121" i="9"/>
  <c r="AW121" i="9" s="1"/>
  <c r="AX121" i="9" s="1"/>
  <c r="AV150" i="9"/>
  <c r="AW150" i="9" s="1"/>
  <c r="AX150" i="9" s="1"/>
  <c r="AW80" i="9"/>
  <c r="AX80" i="9" s="1"/>
  <c r="AV176" i="9"/>
  <c r="AW176" i="9" s="1"/>
  <c r="AX176" i="9" s="1"/>
  <c r="AV151" i="9"/>
  <c r="AW151" i="9" s="1"/>
  <c r="AX151" i="9" s="1"/>
  <c r="AV75" i="9"/>
  <c r="AW75" i="9" s="1"/>
  <c r="AX75" i="9" s="1"/>
  <c r="AV164" i="9"/>
  <c r="AW164" i="9" s="1"/>
  <c r="AX164" i="9" s="1"/>
  <c r="AW166" i="9"/>
  <c r="AX166" i="9" s="1"/>
  <c r="AV166" i="9"/>
  <c r="AW135" i="9"/>
  <c r="AX135" i="9" s="1"/>
  <c r="AV135" i="9"/>
  <c r="AW163" i="9"/>
  <c r="AX163" i="9" s="1"/>
  <c r="AV163" i="9"/>
  <c r="AV35" i="9"/>
  <c r="AW35" i="9"/>
  <c r="AX35" i="9" s="1"/>
  <c r="AW153" i="9"/>
  <c r="AX153" i="9" s="1"/>
  <c r="AV153" i="9"/>
  <c r="AW73" i="9"/>
  <c r="AX73" i="9" s="1"/>
  <c r="AV73" i="9"/>
  <c r="AV182" i="9"/>
  <c r="AW182" i="9" s="1"/>
  <c r="AX182" i="9" s="1"/>
  <c r="AV113" i="9"/>
  <c r="AW113" i="9" s="1"/>
  <c r="AX113" i="9" s="1"/>
  <c r="AV63" i="9"/>
  <c r="AW63" i="9" s="1"/>
  <c r="AX63" i="9" s="1"/>
  <c r="AV156" i="9"/>
  <c r="AW156" i="9" s="1"/>
  <c r="AX156" i="9" s="1"/>
  <c r="AW86" i="9"/>
  <c r="AX86" i="9" s="1"/>
  <c r="AV86" i="9"/>
  <c r="AW183" i="9"/>
  <c r="AX183" i="9" s="1"/>
  <c r="AV183" i="9"/>
  <c r="AW100" i="9"/>
  <c r="AX100" i="9" s="1"/>
  <c r="AV100" i="9"/>
  <c r="AV105" i="9"/>
  <c r="AW105" i="9"/>
  <c r="AX105" i="9" s="1"/>
  <c r="AV74" i="9"/>
  <c r="AW74" i="9" s="1"/>
  <c r="AX74" i="9" s="1"/>
  <c r="AW44" i="9"/>
  <c r="AX44" i="9" s="1"/>
  <c r="AV32" i="9"/>
  <c r="AW32" i="9" s="1"/>
  <c r="AX32" i="9" s="1"/>
  <c r="AV81" i="9"/>
  <c r="AW81" i="9" s="1"/>
  <c r="AX81" i="9" s="1"/>
  <c r="AV55" i="9"/>
  <c r="AW55" i="9"/>
  <c r="AX55" i="9" s="1"/>
  <c r="AV107" i="9"/>
  <c r="AW107" i="9" s="1"/>
  <c r="AX107" i="9" s="1"/>
  <c r="AV109" i="9"/>
  <c r="AW109" i="9" s="1"/>
  <c r="AX109" i="9" s="1"/>
  <c r="AV91" i="9"/>
  <c r="AW91" i="9"/>
  <c r="AX91" i="9" s="1"/>
  <c r="AV189" i="9"/>
  <c r="AW189" i="9" s="1"/>
  <c r="AX189" i="9" s="1"/>
  <c r="AV102" i="9"/>
  <c r="AW102" i="9"/>
  <c r="AX102" i="9" s="1"/>
  <c r="AW58" i="9"/>
  <c r="AX58" i="9" s="1"/>
  <c r="AV58" i="9"/>
  <c r="AV168" i="9"/>
  <c r="AW168" i="9"/>
  <c r="AX168" i="9" s="1"/>
  <c r="AV46" i="9"/>
  <c r="AW46" i="9" s="1"/>
  <c r="AX46" i="9" s="1"/>
  <c r="AW144" i="9"/>
  <c r="AX144" i="9" s="1"/>
  <c r="AV144" i="9"/>
  <c r="AV190" i="9"/>
  <c r="AW190" i="9"/>
  <c r="AX190" i="9" s="1"/>
  <c r="AV57" i="9"/>
  <c r="AW57" i="9" s="1"/>
  <c r="AX57" i="9" s="1"/>
  <c r="AV172" i="9"/>
  <c r="AW172" i="9" s="1"/>
  <c r="AX172" i="9" s="1"/>
  <c r="AW155" i="9"/>
  <c r="AX155" i="9" s="1"/>
  <c r="AV155" i="9"/>
  <c r="AW54" i="9"/>
  <c r="AX54" i="9" s="1"/>
  <c r="AV54" i="9"/>
  <c r="AV29" i="9"/>
  <c r="AW29" i="9"/>
  <c r="AX29" i="9" s="1"/>
  <c r="AV160" i="9"/>
  <c r="AW160" i="9"/>
  <c r="AX160" i="9" s="1"/>
  <c r="AV61" i="9"/>
  <c r="AW61" i="9" s="1"/>
  <c r="AX61" i="9" s="1"/>
  <c r="AV67" i="9"/>
  <c r="AW67" i="9"/>
  <c r="AX67" i="9" s="1"/>
  <c r="AV83" i="9"/>
  <c r="AW83" i="9" s="1"/>
  <c r="AX83" i="9" s="1"/>
  <c r="AW173" i="9"/>
  <c r="AX173" i="9" s="1"/>
  <c r="AV173" i="9"/>
  <c r="AW128" i="9"/>
  <c r="AX128" i="9" s="1"/>
  <c r="AV128" i="9"/>
  <c r="AV79" i="9"/>
  <c r="AW79" i="9"/>
  <c r="AX79" i="9" s="1"/>
  <c r="AV45" i="9"/>
  <c r="AW45" i="9"/>
  <c r="AX45" i="9" s="1"/>
  <c r="AW56" i="9"/>
  <c r="AX56" i="9" s="1"/>
  <c r="AV56" i="9"/>
  <c r="AV49" i="9"/>
  <c r="AW49" i="9" s="1"/>
  <c r="AX49" i="9" s="1"/>
  <c r="AV72" i="9"/>
  <c r="AW72" i="9" s="1"/>
  <c r="AX72" i="9" s="1"/>
  <c r="AW38" i="9"/>
  <c r="AX38" i="9" s="1"/>
  <c r="AV38" i="9"/>
  <c r="AV111" i="9"/>
  <c r="AW111" i="9"/>
  <c r="AX111" i="9" s="1"/>
  <c r="AV119" i="9"/>
  <c r="AW119" i="9" s="1"/>
  <c r="AX119" i="9" s="1"/>
  <c r="AW167" i="9"/>
  <c r="AX167" i="9" s="1"/>
  <c r="AV167" i="9"/>
  <c r="AV132" i="9"/>
  <c r="AW132" i="9" s="1"/>
  <c r="AX132" i="9" s="1"/>
  <c r="AV96" i="9"/>
  <c r="AW96" i="9" s="1"/>
  <c r="AX96" i="9" s="1"/>
  <c r="AV42" i="9"/>
  <c r="AW42" i="9" s="1"/>
  <c r="AX42" i="9" s="1"/>
  <c r="AW48" i="9"/>
  <c r="AX48" i="9" s="1"/>
  <c r="AV48" i="9"/>
  <c r="AV177" i="9"/>
  <c r="AW177" i="9" s="1"/>
  <c r="AX177" i="9" s="1"/>
  <c r="AV133" i="9"/>
  <c r="AW133" i="9"/>
  <c r="AX133" i="9" s="1"/>
  <c r="AV95" i="9"/>
  <c r="AW95" i="9"/>
  <c r="AX95" i="9" s="1"/>
  <c r="AW178" i="9"/>
  <c r="AX178" i="9" s="1"/>
  <c r="AV178" i="9"/>
  <c r="AV103" i="9"/>
  <c r="AW103" i="9" s="1"/>
  <c r="AX103" i="9" s="1"/>
  <c r="AW104" i="9"/>
  <c r="AX104" i="9" s="1"/>
  <c r="AV104" i="9"/>
  <c r="AV28" i="9"/>
  <c r="AW28" i="9" s="1"/>
  <c r="AX28" i="9" s="1"/>
  <c r="AV93" i="9"/>
  <c r="AW93" i="9"/>
  <c r="AX93" i="9" s="1"/>
  <c r="AV180" i="9"/>
  <c r="AW180" i="9" s="1"/>
  <c r="AX180" i="9" s="1"/>
  <c r="AV138" i="9"/>
  <c r="AW138" i="9"/>
  <c r="AX138" i="9" s="1"/>
  <c r="AV124" i="9"/>
  <c r="AW124" i="9" s="1"/>
  <c r="AX124" i="9" s="1"/>
  <c r="AW34" i="9"/>
  <c r="AX34" i="9" s="1"/>
  <c r="AV34" i="9"/>
  <c r="AQ30" i="9"/>
  <c r="I23" i="6" s="1"/>
  <c r="AT30" i="9"/>
  <c r="AS30" i="9"/>
  <c r="AV148" i="9"/>
  <c r="AW148" i="9" s="1"/>
  <c r="AX148" i="9" s="1"/>
  <c r="AW134" i="9"/>
  <c r="AX134" i="9" s="1"/>
  <c r="AV134" i="9"/>
  <c r="AV142" i="9"/>
  <c r="AW142" i="9"/>
  <c r="AX142" i="9" s="1"/>
  <c r="AW98" i="9"/>
  <c r="AX98" i="9" s="1"/>
  <c r="AV98" i="9"/>
  <c r="AV43" i="9"/>
  <c r="AW43" i="9" s="1"/>
  <c r="AX43" i="9" s="1"/>
  <c r="AV69" i="9"/>
  <c r="AW69" i="9" s="1"/>
  <c r="AX69" i="9" s="1"/>
  <c r="AW195" i="9"/>
  <c r="AX195" i="9" s="1"/>
  <c r="AV195" i="9"/>
  <c r="AV175" i="9"/>
  <c r="AW175" i="9" s="1"/>
  <c r="AX175" i="9" s="1"/>
  <c r="AV76" i="9"/>
  <c r="AW76" i="9" s="1"/>
  <c r="AX76" i="9" s="1"/>
  <c r="AV136" i="9"/>
  <c r="AW136" i="9" s="1"/>
  <c r="AX136" i="9" s="1"/>
  <c r="AV139" i="9"/>
  <c r="AW139" i="9" s="1"/>
  <c r="AX139" i="9" s="1"/>
  <c r="AW165" i="9"/>
  <c r="AX165" i="9" s="1"/>
  <c r="AV165" i="9"/>
  <c r="AW89" i="9"/>
  <c r="AX89" i="9" s="1"/>
  <c r="AV89" i="9"/>
  <c r="AV51" i="9"/>
  <c r="AW51" i="9" s="1"/>
  <c r="AX51" i="9" s="1"/>
  <c r="AV127" i="9"/>
  <c r="AW127" i="9" s="1"/>
  <c r="AX127" i="9" s="1"/>
  <c r="AV137" i="9"/>
  <c r="AW137" i="9"/>
  <c r="AX137" i="9" s="1"/>
  <c r="AV47" i="9"/>
  <c r="AW47" i="9"/>
  <c r="AX47" i="9" s="1"/>
  <c r="AV194" i="9"/>
  <c r="AW194" i="9" s="1"/>
  <c r="AX194" i="9" s="1"/>
  <c r="AW174" i="9"/>
  <c r="AX174" i="9" s="1"/>
  <c r="AV174" i="9"/>
  <c r="AW193" i="9"/>
  <c r="AX193" i="9" s="1"/>
  <c r="AV193" i="9"/>
  <c r="AV77" i="9"/>
  <c r="AW77" i="9" s="1"/>
  <c r="AX77" i="9" s="1"/>
  <c r="AV115" i="9"/>
  <c r="AW115" i="9" s="1"/>
  <c r="AX115" i="9" s="1"/>
  <c r="AV114" i="9"/>
  <c r="AW114" i="9" s="1"/>
  <c r="AX114" i="9" s="1"/>
  <c r="AW65" i="9"/>
  <c r="AX65" i="9" s="1"/>
  <c r="AV65" i="9"/>
  <c r="AV59" i="9"/>
  <c r="AW59" i="9" s="1"/>
  <c r="AX59" i="9" s="1"/>
  <c r="AY77" i="8"/>
  <c r="BC77" i="8"/>
  <c r="BK77" i="8" s="1"/>
  <c r="X70" i="6" s="1"/>
  <c r="AY66" i="8"/>
  <c r="BC66" i="8"/>
  <c r="BK66" i="8" s="1"/>
  <c r="X59" i="6" s="1"/>
  <c r="BH176" i="8"/>
  <c r="BP176" i="8" s="1"/>
  <c r="AC169" i="6" s="1"/>
  <c r="BG176" i="8"/>
  <c r="BO176" i="8" s="1"/>
  <c r="AB169" i="6" s="1"/>
  <c r="AV176" i="8"/>
  <c r="AW176" i="8" s="1"/>
  <c r="AX176" i="8" s="1"/>
  <c r="W169" i="6" s="1"/>
  <c r="BC51" i="8"/>
  <c r="BK51" i="8" s="1"/>
  <c r="X44" i="6" s="1"/>
  <c r="BH76" i="8"/>
  <c r="BP76" i="8" s="1"/>
  <c r="AC69" i="6" s="1"/>
  <c r="BG76" i="8"/>
  <c r="BO76" i="8" s="1"/>
  <c r="AB69" i="6" s="1"/>
  <c r="AV76" i="8"/>
  <c r="AW76" i="8" s="1"/>
  <c r="AX76" i="8" s="1"/>
  <c r="W69" i="6" s="1"/>
  <c r="AW64" i="8"/>
  <c r="AX64" i="8" s="1"/>
  <c r="AV64" i="8"/>
  <c r="AW117" i="8"/>
  <c r="AX117" i="8" s="1"/>
  <c r="AV117" i="8"/>
  <c r="AW163" i="8"/>
  <c r="AX163" i="8" s="1"/>
  <c r="AV163" i="8"/>
  <c r="BH152" i="8"/>
  <c r="BP152" i="8" s="1"/>
  <c r="AC145" i="6" s="1"/>
  <c r="BG152" i="8"/>
  <c r="BO152" i="8" s="1"/>
  <c r="AB145" i="6" s="1"/>
  <c r="AV152" i="8"/>
  <c r="AW152" i="8" s="1"/>
  <c r="AX152" i="8" s="1"/>
  <c r="W145" i="6" s="1"/>
  <c r="AV89" i="8"/>
  <c r="AW89" i="8"/>
  <c r="AX89" i="8" s="1"/>
  <c r="BH90" i="8"/>
  <c r="BP90" i="8" s="1"/>
  <c r="AC83" i="6" s="1"/>
  <c r="BG90" i="8"/>
  <c r="BO90" i="8" s="1"/>
  <c r="AB83" i="6" s="1"/>
  <c r="AV90" i="8"/>
  <c r="AW90" i="8" s="1"/>
  <c r="AX90" i="8" s="1"/>
  <c r="BH177" i="8"/>
  <c r="BP177" i="8" s="1"/>
  <c r="AC170" i="6" s="1"/>
  <c r="BG177" i="8"/>
  <c r="BO177" i="8" s="1"/>
  <c r="AB170" i="6" s="1"/>
  <c r="AV177" i="8"/>
  <c r="AW177" i="8" s="1"/>
  <c r="AX177" i="8" s="1"/>
  <c r="BH121" i="8"/>
  <c r="BP121" i="8" s="1"/>
  <c r="AC114" i="6" s="1"/>
  <c r="AV121" i="8"/>
  <c r="AW121" i="8" s="1"/>
  <c r="AX121" i="8" s="1"/>
  <c r="BG121" i="8"/>
  <c r="BO121" i="8" s="1"/>
  <c r="AB114" i="6" s="1"/>
  <c r="AW171" i="8"/>
  <c r="AX171" i="8" s="1"/>
  <c r="AV171" i="8"/>
  <c r="BH124" i="8"/>
  <c r="BP124" i="8" s="1"/>
  <c r="AC117" i="6" s="1"/>
  <c r="BG124" i="8"/>
  <c r="BO124" i="8" s="1"/>
  <c r="AB117" i="6" s="1"/>
  <c r="AV124" i="8"/>
  <c r="AW124" i="8" s="1"/>
  <c r="AX124" i="8" s="1"/>
  <c r="W117" i="6" s="1"/>
  <c r="BG189" i="8"/>
  <c r="BO189" i="8" s="1"/>
  <c r="AB182" i="6" s="1"/>
  <c r="AV189" i="8"/>
  <c r="AW189" i="8" s="1"/>
  <c r="AX189" i="8" s="1"/>
  <c r="BH189" i="8"/>
  <c r="BP189" i="8" s="1"/>
  <c r="AC182" i="6" s="1"/>
  <c r="BG161" i="8"/>
  <c r="BO161" i="8" s="1"/>
  <c r="AB154" i="6" s="1"/>
  <c r="AV161" i="8"/>
  <c r="AW161" i="8" s="1"/>
  <c r="AX161" i="8" s="1"/>
  <c r="BH161" i="8"/>
  <c r="BP161" i="8" s="1"/>
  <c r="AC154" i="6" s="1"/>
  <c r="BG146" i="8"/>
  <c r="BO146" i="8" s="1"/>
  <c r="AB139" i="6" s="1"/>
  <c r="AV146" i="8"/>
  <c r="AW146" i="8" s="1"/>
  <c r="AX146" i="8" s="1"/>
  <c r="BH146" i="8"/>
  <c r="BP146" i="8" s="1"/>
  <c r="AC139" i="6" s="1"/>
  <c r="AV111" i="8"/>
  <c r="AW111" i="8"/>
  <c r="AX111" i="8" s="1"/>
  <c r="BG62" i="8"/>
  <c r="BO62" i="8" s="1"/>
  <c r="AB55" i="6" s="1"/>
  <c r="BH62" i="8"/>
  <c r="BP62" i="8" s="1"/>
  <c r="AC55" i="6" s="1"/>
  <c r="AV62" i="8"/>
  <c r="AW62" i="8" s="1"/>
  <c r="AX62" i="8" s="1"/>
  <c r="W55" i="6" s="1"/>
  <c r="AW178" i="8"/>
  <c r="AX178" i="8" s="1"/>
  <c r="AV178" i="8"/>
  <c r="BG169" i="8"/>
  <c r="BO169" i="8" s="1"/>
  <c r="AB162" i="6" s="1"/>
  <c r="AV169" i="8"/>
  <c r="AW169" i="8" s="1"/>
  <c r="AX169" i="8" s="1"/>
  <c r="BH169" i="8"/>
  <c r="BP169" i="8" s="1"/>
  <c r="AC162" i="6" s="1"/>
  <c r="AV88" i="8"/>
  <c r="AW88" i="8" s="1"/>
  <c r="AX88" i="8" s="1"/>
  <c r="BH88" i="8"/>
  <c r="BP88" i="8" s="1"/>
  <c r="AC81" i="6" s="1"/>
  <c r="BG88" i="8"/>
  <c r="BO88" i="8" s="1"/>
  <c r="AB81" i="6" s="1"/>
  <c r="BH172" i="8"/>
  <c r="BP172" i="8" s="1"/>
  <c r="AC165" i="6" s="1"/>
  <c r="BG172" i="8"/>
  <c r="BO172" i="8" s="1"/>
  <c r="AB165" i="6" s="1"/>
  <c r="AV172" i="8"/>
  <c r="AW172" i="8" s="1"/>
  <c r="AX172" i="8" s="1"/>
  <c r="W165" i="6" s="1"/>
  <c r="AV153" i="8"/>
  <c r="AW153" i="8"/>
  <c r="AX153" i="8" s="1"/>
  <c r="AW58" i="8"/>
  <c r="AX58" i="8" s="1"/>
  <c r="AV58" i="8"/>
  <c r="AV190" i="8"/>
  <c r="AW190" i="8"/>
  <c r="AX190" i="8" s="1"/>
  <c r="BG119" i="8"/>
  <c r="BO119" i="8" s="1"/>
  <c r="AB112" i="6" s="1"/>
  <c r="AV119" i="8"/>
  <c r="AW119" i="8" s="1"/>
  <c r="AX119" i="8" s="1"/>
  <c r="W112" i="6" s="1"/>
  <c r="BH119" i="8"/>
  <c r="BP119" i="8" s="1"/>
  <c r="AC112" i="6" s="1"/>
  <c r="AW183" i="8"/>
  <c r="AX183" i="8" s="1"/>
  <c r="AV183" i="8"/>
  <c r="AV158" i="8"/>
  <c r="AW158" i="8"/>
  <c r="AX158" i="8" s="1"/>
  <c r="BG108" i="8"/>
  <c r="BO108" i="8" s="1"/>
  <c r="AB101" i="6" s="1"/>
  <c r="AV108" i="8"/>
  <c r="AW108" i="8" s="1"/>
  <c r="AX108" i="8" s="1"/>
  <c r="BH108" i="8"/>
  <c r="BP108" i="8" s="1"/>
  <c r="AC101" i="6" s="1"/>
  <c r="AV84" i="8"/>
  <c r="AW84" i="8"/>
  <c r="AX84" i="8" s="1"/>
  <c r="AW80" i="8"/>
  <c r="AX80" i="8" s="1"/>
  <c r="AV80" i="8"/>
  <c r="AW50" i="8"/>
  <c r="AX50" i="8" s="1"/>
  <c r="AV50" i="8"/>
  <c r="AV145" i="8"/>
  <c r="AW145" i="8" s="1"/>
  <c r="AX145" i="8" s="1"/>
  <c r="BH145" i="8"/>
  <c r="BP145" i="8" s="1"/>
  <c r="AC138" i="6" s="1"/>
  <c r="BG145" i="8"/>
  <c r="BO145" i="8" s="1"/>
  <c r="AB138" i="6" s="1"/>
  <c r="AW193" i="8"/>
  <c r="AX193" i="8" s="1"/>
  <c r="AV193" i="8"/>
  <c r="AV165" i="8"/>
  <c r="AW165" i="8"/>
  <c r="AX165" i="8" s="1"/>
  <c r="AW65" i="8"/>
  <c r="AX65" i="8" s="1"/>
  <c r="AV65" i="8"/>
  <c r="AV54" i="8"/>
  <c r="AW54" i="8"/>
  <c r="AX54" i="8" s="1"/>
  <c r="AV115" i="8"/>
  <c r="AW115" i="8" s="1"/>
  <c r="AX115" i="8" s="1"/>
  <c r="BH115" i="8"/>
  <c r="BP115" i="8" s="1"/>
  <c r="AC108" i="6" s="1"/>
  <c r="BG115" i="8"/>
  <c r="BO115" i="8" s="1"/>
  <c r="AB108" i="6" s="1"/>
  <c r="BG150" i="8"/>
  <c r="BO150" i="8" s="1"/>
  <c r="AB143" i="6" s="1"/>
  <c r="AV150" i="8"/>
  <c r="AW150" i="8" s="1"/>
  <c r="AX150" i="8" s="1"/>
  <c r="BH150" i="8"/>
  <c r="BP150" i="8" s="1"/>
  <c r="AC143" i="6" s="1"/>
  <c r="AV42" i="8"/>
  <c r="AW42" i="8" s="1"/>
  <c r="AX42" i="8" s="1"/>
  <c r="BC42" i="8" s="1"/>
  <c r="BK42" i="8" s="1"/>
  <c r="X35" i="6" s="1"/>
  <c r="BH42" i="8"/>
  <c r="BP42" i="8" s="1"/>
  <c r="AC35" i="6" s="1"/>
  <c r="BG42" i="8"/>
  <c r="BO42" i="8" s="1"/>
  <c r="AB35" i="6" s="1"/>
  <c r="AW30" i="8"/>
  <c r="AX30" i="8" s="1"/>
  <c r="AV30" i="8"/>
  <c r="AV100" i="8"/>
  <c r="AW100" i="8"/>
  <c r="AX100" i="8" s="1"/>
  <c r="BG179" i="8"/>
  <c r="BO179" i="8" s="1"/>
  <c r="AB172" i="6" s="1"/>
  <c r="AV179" i="8"/>
  <c r="AW179" i="8" s="1"/>
  <c r="AX179" i="8" s="1"/>
  <c r="BH179" i="8"/>
  <c r="BP179" i="8" s="1"/>
  <c r="AC172" i="6" s="1"/>
  <c r="BH143" i="8"/>
  <c r="BP143" i="8" s="1"/>
  <c r="AC136" i="6" s="1"/>
  <c r="BG143" i="8"/>
  <c r="BO143" i="8" s="1"/>
  <c r="AB136" i="6" s="1"/>
  <c r="AV143" i="8"/>
  <c r="AW143" i="8" s="1"/>
  <c r="AX143" i="8" s="1"/>
  <c r="BH136" i="8"/>
  <c r="BP136" i="8" s="1"/>
  <c r="AC129" i="6" s="1"/>
  <c r="AV136" i="8"/>
  <c r="AW136" i="8" s="1"/>
  <c r="AX136" i="8" s="1"/>
  <c r="BG136" i="8"/>
  <c r="BO136" i="8" s="1"/>
  <c r="AB129" i="6" s="1"/>
  <c r="AW97" i="8"/>
  <c r="AX97" i="8" s="1"/>
  <c r="AV97" i="8"/>
  <c r="AW93" i="8"/>
  <c r="AX93" i="8" s="1"/>
  <c r="AV93" i="8"/>
  <c r="BH75" i="8"/>
  <c r="BP75" i="8" s="1"/>
  <c r="AC68" i="6" s="1"/>
  <c r="BG75" i="8"/>
  <c r="BO75" i="8" s="1"/>
  <c r="AB68" i="6" s="1"/>
  <c r="AV75" i="8"/>
  <c r="AW75" i="8" s="1"/>
  <c r="AX75" i="8" s="1"/>
  <c r="AV49" i="8"/>
  <c r="AW49" i="8" s="1"/>
  <c r="AX49" i="8" s="1"/>
  <c r="W42" i="6" s="1"/>
  <c r="BH49" i="8"/>
  <c r="BP49" i="8" s="1"/>
  <c r="AC42" i="6" s="1"/>
  <c r="BG49" i="8"/>
  <c r="BO49" i="8" s="1"/>
  <c r="AB42" i="6" s="1"/>
  <c r="BG112" i="8"/>
  <c r="BO112" i="8" s="1"/>
  <c r="AB105" i="6" s="1"/>
  <c r="AV112" i="8"/>
  <c r="AW112" i="8" s="1"/>
  <c r="AX112" i="8" s="1"/>
  <c r="W105" i="6" s="1"/>
  <c r="BH112" i="8"/>
  <c r="BP112" i="8" s="1"/>
  <c r="AC105" i="6" s="1"/>
  <c r="BH32" i="8"/>
  <c r="BP32" i="8" s="1"/>
  <c r="AC25" i="6" s="1"/>
  <c r="BG32" i="8"/>
  <c r="BO32" i="8" s="1"/>
  <c r="AB25" i="6" s="1"/>
  <c r="AV32" i="8"/>
  <c r="AW32" i="8" s="1"/>
  <c r="AX32" i="8" s="1"/>
  <c r="W25" i="6" s="1"/>
  <c r="BH182" i="8"/>
  <c r="BP182" i="8" s="1"/>
  <c r="AC175" i="6" s="1"/>
  <c r="BG182" i="8"/>
  <c r="BO182" i="8" s="1"/>
  <c r="AB175" i="6" s="1"/>
  <c r="AV182" i="8"/>
  <c r="AW182" i="8" s="1"/>
  <c r="AX182" i="8" s="1"/>
  <c r="AV61" i="8"/>
  <c r="AW61" i="8" s="1"/>
  <c r="AX61" i="8" s="1"/>
  <c r="W54" i="6" s="1"/>
  <c r="BH61" i="8"/>
  <c r="BP61" i="8" s="1"/>
  <c r="AC54" i="6" s="1"/>
  <c r="BG61" i="8"/>
  <c r="BO61" i="8" s="1"/>
  <c r="AB54" i="6" s="1"/>
  <c r="AV135" i="8"/>
  <c r="AW135" i="8"/>
  <c r="AX135" i="8" s="1"/>
  <c r="AW82" i="8"/>
  <c r="AX82" i="8" s="1"/>
  <c r="AV82" i="8"/>
  <c r="AW29" i="8"/>
  <c r="AX29" i="8" s="1"/>
  <c r="AV29" i="8"/>
  <c r="BH40" i="8"/>
  <c r="BP40" i="8" s="1"/>
  <c r="AC33" i="6" s="1"/>
  <c r="AV40" i="8"/>
  <c r="AW40" i="8" s="1"/>
  <c r="AX40" i="8" s="1"/>
  <c r="W33" i="6" s="1"/>
  <c r="BG40" i="8"/>
  <c r="BO40" i="8" s="1"/>
  <c r="AB33" i="6" s="1"/>
  <c r="BH41" i="8"/>
  <c r="BP41" i="8" s="1"/>
  <c r="AC34" i="6" s="1"/>
  <c r="BG41" i="8"/>
  <c r="BO41" i="8" s="1"/>
  <c r="AB34" i="6" s="1"/>
  <c r="AV41" i="8"/>
  <c r="AW41" i="8" s="1"/>
  <c r="AX41" i="8" s="1"/>
  <c r="W34" i="6" s="1"/>
  <c r="BC142" i="8"/>
  <c r="BK142" i="8" s="1"/>
  <c r="X135" i="6" s="1"/>
  <c r="AV31" i="8"/>
  <c r="AW31" i="8"/>
  <c r="AX31" i="8" s="1"/>
  <c r="AW186" i="8"/>
  <c r="AX186" i="8" s="1"/>
  <c r="AV186" i="8"/>
  <c r="AW167" i="8"/>
  <c r="AX167" i="8" s="1"/>
  <c r="AV167" i="8"/>
  <c r="AW133" i="8"/>
  <c r="AX133" i="8" s="1"/>
  <c r="AV133" i="8"/>
  <c r="BH94" i="8"/>
  <c r="BP94" i="8" s="1"/>
  <c r="AC87" i="6" s="1"/>
  <c r="BG94" i="8"/>
  <c r="BO94" i="8" s="1"/>
  <c r="AB87" i="6" s="1"/>
  <c r="AV94" i="8"/>
  <c r="AW94" i="8" s="1"/>
  <c r="AX94" i="8" s="1"/>
  <c r="W87" i="6" s="1"/>
  <c r="AW68" i="8"/>
  <c r="AX68" i="8" s="1"/>
  <c r="AV68" i="8"/>
  <c r="AW44" i="8"/>
  <c r="AX44" i="8" s="1"/>
  <c r="AV44" i="8"/>
  <c r="BH151" i="8"/>
  <c r="BP151" i="8" s="1"/>
  <c r="AC144" i="6" s="1"/>
  <c r="BG151" i="8"/>
  <c r="BO151" i="8" s="1"/>
  <c r="AB144" i="6" s="1"/>
  <c r="AV151" i="8"/>
  <c r="AW151" i="8" s="1"/>
  <c r="AX151" i="8" s="1"/>
  <c r="AV55" i="8"/>
  <c r="AW55" i="8"/>
  <c r="AX55" i="8" s="1"/>
  <c r="AW102" i="8"/>
  <c r="AX102" i="8" s="1"/>
  <c r="AV102" i="8"/>
  <c r="BC102" i="8" s="1"/>
  <c r="BK102" i="8" s="1"/>
  <c r="X95" i="6" s="1"/>
  <c r="AW98" i="8"/>
  <c r="AX98" i="8" s="1"/>
  <c r="AV98" i="8"/>
  <c r="BH72" i="8"/>
  <c r="BP72" i="8" s="1"/>
  <c r="AC65" i="6" s="1"/>
  <c r="BG72" i="8"/>
  <c r="BO72" i="8" s="1"/>
  <c r="AB65" i="6" s="1"/>
  <c r="AV72" i="8"/>
  <c r="AW72" i="8" s="1"/>
  <c r="AX72" i="8" s="1"/>
  <c r="W65" i="6" s="1"/>
  <c r="BH60" i="8"/>
  <c r="BP60" i="8" s="1"/>
  <c r="AC53" i="6" s="1"/>
  <c r="BG60" i="8"/>
  <c r="BO60" i="8" s="1"/>
  <c r="AB53" i="6" s="1"/>
  <c r="AV60" i="8"/>
  <c r="AW60" i="8" s="1"/>
  <c r="AX60" i="8" s="1"/>
  <c r="AW67" i="8"/>
  <c r="AX67" i="8" s="1"/>
  <c r="AV67" i="8"/>
  <c r="BH156" i="8"/>
  <c r="BP156" i="8" s="1"/>
  <c r="AC149" i="6" s="1"/>
  <c r="BG156" i="8"/>
  <c r="BO156" i="8" s="1"/>
  <c r="AB149" i="6" s="1"/>
  <c r="AV156" i="8"/>
  <c r="AW156" i="8" s="1"/>
  <c r="AX156" i="8" s="1"/>
  <c r="W149" i="6" s="1"/>
  <c r="AW144" i="8"/>
  <c r="AX144" i="8" s="1"/>
  <c r="AV144" i="8"/>
  <c r="AW155" i="8"/>
  <c r="AX155" i="8" s="1"/>
  <c r="AV155" i="8"/>
  <c r="BH129" i="8"/>
  <c r="BP129" i="8" s="1"/>
  <c r="AC122" i="6" s="1"/>
  <c r="BG129" i="8"/>
  <c r="BO129" i="8" s="1"/>
  <c r="AB122" i="6" s="1"/>
  <c r="AV129" i="8"/>
  <c r="AW129" i="8" s="1"/>
  <c r="AX129" i="8" s="1"/>
  <c r="W122" i="6" s="1"/>
  <c r="BH109" i="8"/>
  <c r="BP109" i="8" s="1"/>
  <c r="AC102" i="6" s="1"/>
  <c r="BG109" i="8"/>
  <c r="BO109" i="8" s="1"/>
  <c r="AB102" i="6" s="1"/>
  <c r="AV109" i="8"/>
  <c r="AW109" i="8" s="1"/>
  <c r="AX109" i="8" s="1"/>
  <c r="BG37" i="8"/>
  <c r="BO37" i="8" s="1"/>
  <c r="AB30" i="6" s="1"/>
  <c r="AV37" i="8"/>
  <c r="AW37" i="8" s="1"/>
  <c r="AX37" i="8" s="1"/>
  <c r="W30" i="6" s="1"/>
  <c r="BH37" i="8"/>
  <c r="BP37" i="8" s="1"/>
  <c r="AC30" i="6" s="1"/>
  <c r="BH139" i="8"/>
  <c r="BP139" i="8" s="1"/>
  <c r="AC132" i="6" s="1"/>
  <c r="BG139" i="8"/>
  <c r="BO139" i="8" s="1"/>
  <c r="AB132" i="6" s="1"/>
  <c r="AV139" i="8"/>
  <c r="AW139" i="8" s="1"/>
  <c r="AX139" i="8" s="1"/>
  <c r="BG87" i="8"/>
  <c r="BO87" i="8" s="1"/>
  <c r="AB80" i="6" s="1"/>
  <c r="BH87" i="8"/>
  <c r="BP87" i="8" s="1"/>
  <c r="AC80" i="6" s="1"/>
  <c r="AV87" i="8"/>
  <c r="AW87" i="8" s="1"/>
  <c r="AX87" i="8" s="1"/>
  <c r="W80" i="6" s="1"/>
  <c r="AW125" i="8"/>
  <c r="AX125" i="8" s="1"/>
  <c r="AV125" i="8"/>
  <c r="AW53" i="8"/>
  <c r="AX53" i="8" s="1"/>
  <c r="AV53" i="8"/>
  <c r="BH181" i="8"/>
  <c r="BP181" i="8" s="1"/>
  <c r="AC174" i="6" s="1"/>
  <c r="BG181" i="8"/>
  <c r="BO181" i="8" s="1"/>
  <c r="AB174" i="6" s="1"/>
  <c r="AV181" i="8"/>
  <c r="AW181" i="8" s="1"/>
  <c r="AX181" i="8" s="1"/>
  <c r="W174" i="6" s="1"/>
  <c r="AC17" i="8"/>
  <c r="AE27" i="8"/>
  <c r="AO27" i="8" s="1"/>
  <c r="BH180" i="8"/>
  <c r="BP180" i="8" s="1"/>
  <c r="AC173" i="6" s="1"/>
  <c r="BG180" i="8"/>
  <c r="BO180" i="8" s="1"/>
  <c r="AB173" i="6" s="1"/>
  <c r="AV180" i="8"/>
  <c r="AW180" i="8" s="1"/>
  <c r="AX180" i="8" s="1"/>
  <c r="W173" i="6" s="1"/>
  <c r="BH101" i="8"/>
  <c r="BP101" i="8" s="1"/>
  <c r="AC94" i="6" s="1"/>
  <c r="BG101" i="8"/>
  <c r="BO101" i="8" s="1"/>
  <c r="AB94" i="6" s="1"/>
  <c r="AV101" i="8"/>
  <c r="AW101" i="8" s="1"/>
  <c r="AX101" i="8" s="1"/>
  <c r="W94" i="6" s="1"/>
  <c r="BC192" i="8"/>
  <c r="BK192" i="8" s="1"/>
  <c r="X185" i="6" s="1"/>
  <c r="AV47" i="8"/>
  <c r="AW47" i="8"/>
  <c r="AX47" i="8" s="1"/>
  <c r="AW195" i="8"/>
  <c r="AX195" i="8" s="1"/>
  <c r="AV195" i="8"/>
  <c r="BG175" i="8"/>
  <c r="BO175" i="8" s="1"/>
  <c r="AB168" i="6" s="1"/>
  <c r="AV175" i="8"/>
  <c r="AW175" i="8" s="1"/>
  <c r="AX175" i="8" s="1"/>
  <c r="BH175" i="8"/>
  <c r="BP175" i="8" s="1"/>
  <c r="AC168" i="6" s="1"/>
  <c r="BG81" i="8"/>
  <c r="BO81" i="8" s="1"/>
  <c r="AB74" i="6" s="1"/>
  <c r="AV81" i="8"/>
  <c r="AW81" i="8" s="1"/>
  <c r="AX81" i="8" s="1"/>
  <c r="W74" i="6" s="1"/>
  <c r="BH81" i="8"/>
  <c r="BP81" i="8" s="1"/>
  <c r="AC74" i="6" s="1"/>
  <c r="BG59" i="8"/>
  <c r="BO59" i="8" s="1"/>
  <c r="AB52" i="6" s="1"/>
  <c r="AV59" i="8"/>
  <c r="AW59" i="8" s="1"/>
  <c r="AX59" i="8" s="1"/>
  <c r="W52" i="6" s="1"/>
  <c r="BH59" i="8"/>
  <c r="BP59" i="8" s="1"/>
  <c r="AC52" i="6" s="1"/>
  <c r="AV187" i="8"/>
  <c r="AW187" i="8"/>
  <c r="AX187" i="8" s="1"/>
  <c r="AW170" i="8"/>
  <c r="AX170" i="8" s="1"/>
  <c r="AV170" i="8"/>
  <c r="BG43" i="8"/>
  <c r="BO43" i="8" s="1"/>
  <c r="AB36" i="6" s="1"/>
  <c r="AV43" i="8"/>
  <c r="AW43" i="8" s="1"/>
  <c r="AX43" i="8" s="1"/>
  <c r="W36" i="6" s="1"/>
  <c r="BH43" i="8"/>
  <c r="BP43" i="8" s="1"/>
  <c r="AC36" i="6" s="1"/>
  <c r="AW191" i="8"/>
  <c r="AX191" i="8" s="1"/>
  <c r="AV191" i="8"/>
  <c r="BH63" i="8"/>
  <c r="BP63" i="8" s="1"/>
  <c r="AC56" i="6" s="1"/>
  <c r="BG63" i="8"/>
  <c r="BO63" i="8" s="1"/>
  <c r="AB56" i="6" s="1"/>
  <c r="AV63" i="8"/>
  <c r="AW63" i="8" s="1"/>
  <c r="AX63" i="8" s="1"/>
  <c r="AW162" i="8"/>
  <c r="AX162" i="8" s="1"/>
  <c r="AV162" i="8"/>
  <c r="BH120" i="8"/>
  <c r="BP120" i="8" s="1"/>
  <c r="AC113" i="6" s="1"/>
  <c r="BG120" i="8"/>
  <c r="BO120" i="8" s="1"/>
  <c r="AB113" i="6" s="1"/>
  <c r="AV120" i="8"/>
  <c r="AW120" i="8" s="1"/>
  <c r="AX120" i="8" s="1"/>
  <c r="AW166" i="8"/>
  <c r="AX166" i="8" s="1"/>
  <c r="AV166" i="8"/>
  <c r="BH185" i="8"/>
  <c r="BP185" i="8" s="1"/>
  <c r="AC178" i="6" s="1"/>
  <c r="BG185" i="8"/>
  <c r="BO185" i="8" s="1"/>
  <c r="AB178" i="6" s="1"/>
  <c r="AV185" i="8"/>
  <c r="AW185" i="8" s="1"/>
  <c r="AX185" i="8" s="1"/>
  <c r="AW140" i="8"/>
  <c r="AX140" i="8" s="1"/>
  <c r="AV140" i="8"/>
  <c r="BH106" i="8"/>
  <c r="BP106" i="8" s="1"/>
  <c r="AC99" i="6" s="1"/>
  <c r="AV106" i="8"/>
  <c r="AW106" i="8" s="1"/>
  <c r="AX106" i="8" s="1"/>
  <c r="BG106" i="8"/>
  <c r="BO106" i="8" s="1"/>
  <c r="AB99" i="6" s="1"/>
  <c r="BG114" i="8"/>
  <c r="BO114" i="8" s="1"/>
  <c r="AB107" i="6" s="1"/>
  <c r="BH114" i="8"/>
  <c r="BP114" i="8" s="1"/>
  <c r="AC107" i="6" s="1"/>
  <c r="AV114" i="8"/>
  <c r="AW114" i="8" s="1"/>
  <c r="AX114" i="8" s="1"/>
  <c r="AW110" i="8"/>
  <c r="AX110" i="8" s="1"/>
  <c r="AV110" i="8"/>
  <c r="AV188" i="8"/>
  <c r="AW188" i="8"/>
  <c r="AX188" i="8" s="1"/>
  <c r="AW174" i="8"/>
  <c r="AX174" i="8" s="1"/>
  <c r="AV174" i="8"/>
  <c r="BH148" i="8"/>
  <c r="BP148" i="8" s="1"/>
  <c r="AC141" i="6" s="1"/>
  <c r="BG148" i="8"/>
  <c r="BO148" i="8" s="1"/>
  <c r="AB141" i="6" s="1"/>
  <c r="AV148" i="8"/>
  <c r="AW148" i="8" s="1"/>
  <c r="AX148" i="8" s="1"/>
  <c r="W141" i="6" s="1"/>
  <c r="AV85" i="8"/>
  <c r="AW85" i="8"/>
  <c r="AX85" i="8" s="1"/>
  <c r="BH113" i="8"/>
  <c r="BP113" i="8" s="1"/>
  <c r="AC106" i="6" s="1"/>
  <c r="AV113" i="8"/>
  <c r="AW113" i="8" s="1"/>
  <c r="AX113" i="8" s="1"/>
  <c r="BG113" i="8"/>
  <c r="BO113" i="8" s="1"/>
  <c r="AB106" i="6" s="1"/>
  <c r="AW86" i="8"/>
  <c r="AX86" i="8" s="1"/>
  <c r="AV86" i="8"/>
  <c r="BH28" i="8"/>
  <c r="BP28" i="8" s="1"/>
  <c r="AC21" i="6" s="1"/>
  <c r="AV28" i="8"/>
  <c r="AW28" i="8" s="1"/>
  <c r="AX28" i="8" s="1"/>
  <c r="W21" i="6" s="1"/>
  <c r="BG28" i="8"/>
  <c r="BO28" i="8" s="1"/>
  <c r="AB21" i="6" s="1"/>
  <c r="BH52" i="8"/>
  <c r="BP52" i="8" s="1"/>
  <c r="AC45" i="6" s="1"/>
  <c r="AV52" i="8"/>
  <c r="AW52" i="8" s="1"/>
  <c r="AX52" i="8" s="1"/>
  <c r="BG52" i="8"/>
  <c r="BO52" i="8" s="1"/>
  <c r="AB45" i="6" s="1"/>
  <c r="AV39" i="8"/>
  <c r="AW39" i="8"/>
  <c r="AX39" i="8" s="1"/>
  <c r="AW105" i="8"/>
  <c r="AX105" i="8" s="1"/>
  <c r="AV105" i="8"/>
  <c r="AW147" i="8"/>
  <c r="AX147" i="8" s="1"/>
  <c r="AV147" i="8"/>
  <c r="AV33" i="8"/>
  <c r="AW33" i="8"/>
  <c r="AX33" i="8" s="1"/>
  <c r="AV35" i="8"/>
  <c r="AW35" i="8"/>
  <c r="AX35" i="8" s="1"/>
  <c r="AV83" i="8"/>
  <c r="AW83" i="8" s="1"/>
  <c r="AX83" i="8" s="1"/>
  <c r="W76" i="6" s="1"/>
  <c r="BH83" i="8"/>
  <c r="BP83" i="8" s="1"/>
  <c r="AC76" i="6" s="1"/>
  <c r="BG83" i="8"/>
  <c r="BO83" i="8" s="1"/>
  <c r="AB76" i="6" s="1"/>
  <c r="BH57" i="8"/>
  <c r="BP57" i="8" s="1"/>
  <c r="AC50" i="6" s="1"/>
  <c r="BG57" i="8"/>
  <c r="BO57" i="8" s="1"/>
  <c r="AB50" i="6" s="1"/>
  <c r="AV57" i="8"/>
  <c r="AW57" i="8" s="1"/>
  <c r="AX57" i="8" s="1"/>
  <c r="W50" i="6" s="1"/>
  <c r="BH132" i="8"/>
  <c r="BP132" i="8" s="1"/>
  <c r="AC125" i="6" s="1"/>
  <c r="BG132" i="8"/>
  <c r="BO132" i="8" s="1"/>
  <c r="AB125" i="6" s="1"/>
  <c r="AV132" i="8"/>
  <c r="AW132" i="8" s="1"/>
  <c r="AX132" i="8" s="1"/>
  <c r="AW71" i="8"/>
  <c r="AX71" i="8" s="1"/>
  <c r="AV71" i="8"/>
  <c r="BH36" i="8"/>
  <c r="BP36" i="8" s="1"/>
  <c r="AC29" i="6" s="1"/>
  <c r="AV36" i="8"/>
  <c r="AW36" i="8" s="1"/>
  <c r="AX36" i="8" s="1"/>
  <c r="BG36" i="8"/>
  <c r="BO36" i="8" s="1"/>
  <c r="AB29" i="6" s="1"/>
  <c r="AW56" i="8"/>
  <c r="AX56" i="8" s="1"/>
  <c r="AV56" i="8"/>
  <c r="BC116" i="8"/>
  <c r="BK116" i="8" s="1"/>
  <c r="X109" i="6" s="1"/>
  <c r="AW48" i="8"/>
  <c r="AX48" i="8" s="1"/>
  <c r="AV48" i="8"/>
  <c r="AV45" i="8"/>
  <c r="AW45" i="8"/>
  <c r="AX45" i="8" s="1"/>
  <c r="BH159" i="8"/>
  <c r="BP159" i="8" s="1"/>
  <c r="AC152" i="6" s="1"/>
  <c r="BG159" i="8"/>
  <c r="BO159" i="8" s="1"/>
  <c r="AB152" i="6" s="1"/>
  <c r="AV159" i="8"/>
  <c r="AW159" i="8" s="1"/>
  <c r="AX159" i="8" s="1"/>
  <c r="AW128" i="8"/>
  <c r="AX128" i="8" s="1"/>
  <c r="AV128" i="8"/>
  <c r="AV149" i="8"/>
  <c r="AW149" i="8"/>
  <c r="AX149" i="8" s="1"/>
  <c r="AV79" i="8"/>
  <c r="AW79" i="8"/>
  <c r="AX79" i="8" s="1"/>
  <c r="BG127" i="8"/>
  <c r="BO127" i="8" s="1"/>
  <c r="AB120" i="6" s="1"/>
  <c r="AV127" i="8"/>
  <c r="AW127" i="8" s="1"/>
  <c r="AX127" i="8" s="1"/>
  <c r="W120" i="6" s="1"/>
  <c r="BH127" i="8"/>
  <c r="BP127" i="8" s="1"/>
  <c r="AC120" i="6" s="1"/>
  <c r="BG131" i="8"/>
  <c r="BO131" i="8" s="1"/>
  <c r="AB124" i="6" s="1"/>
  <c r="AV131" i="8"/>
  <c r="AW131" i="8" s="1"/>
  <c r="AX131" i="8" s="1"/>
  <c r="W124" i="6" s="1"/>
  <c r="BH131" i="8"/>
  <c r="BP131" i="8" s="1"/>
  <c r="AC124" i="6" s="1"/>
  <c r="BG46" i="8"/>
  <c r="BO46" i="8" s="1"/>
  <c r="AB39" i="6" s="1"/>
  <c r="BH46" i="8"/>
  <c r="BP46" i="8" s="1"/>
  <c r="AC39" i="6" s="1"/>
  <c r="AV46" i="8"/>
  <c r="AW46" i="8" s="1"/>
  <c r="AX46" i="8" s="1"/>
  <c r="W39" i="6" s="1"/>
  <c r="BG96" i="8"/>
  <c r="BO96" i="8" s="1"/>
  <c r="AB89" i="6" s="1"/>
  <c r="AV96" i="8"/>
  <c r="AW96" i="8" s="1"/>
  <c r="AX96" i="8" s="1"/>
  <c r="W89" i="6" s="1"/>
  <c r="BH96" i="8"/>
  <c r="BP96" i="8" s="1"/>
  <c r="AC89" i="6" s="1"/>
  <c r="BG69" i="8"/>
  <c r="BO69" i="8" s="1"/>
  <c r="AB62" i="6" s="1"/>
  <c r="AV69" i="8"/>
  <c r="AW69" i="8" s="1"/>
  <c r="AX69" i="8" s="1"/>
  <c r="BH69" i="8"/>
  <c r="BP69" i="8" s="1"/>
  <c r="AC62" i="6" s="1"/>
  <c r="AV138" i="8"/>
  <c r="AW138" i="8"/>
  <c r="AX138" i="8" s="1"/>
  <c r="BG194" i="8"/>
  <c r="BO194" i="8" s="1"/>
  <c r="AB187" i="6" s="1"/>
  <c r="AV194" i="8"/>
  <c r="AW194" i="8" s="1"/>
  <c r="AX194" i="8" s="1"/>
  <c r="W187" i="6" s="1"/>
  <c r="BH194" i="8"/>
  <c r="BP194" i="8" s="1"/>
  <c r="AC187" i="6" s="1"/>
  <c r="AW157" i="8"/>
  <c r="AX157" i="8" s="1"/>
  <c r="AV157" i="8"/>
  <c r="AW118" i="8"/>
  <c r="AX118" i="8" s="1"/>
  <c r="AV118" i="8"/>
  <c r="AV123" i="8"/>
  <c r="AW123" i="8"/>
  <c r="AX123" i="8" s="1"/>
  <c r="AV38" i="8"/>
  <c r="AW38" i="8"/>
  <c r="AX38" i="8" s="1"/>
  <c r="AV91" i="8"/>
  <c r="AW91" i="8"/>
  <c r="AX91" i="8" s="1"/>
  <c r="AV92" i="8"/>
  <c r="AW92" i="8"/>
  <c r="AX92" i="8" s="1"/>
  <c r="BG74" i="8"/>
  <c r="BO74" i="8" s="1"/>
  <c r="AB67" i="6" s="1"/>
  <c r="AV74" i="8"/>
  <c r="AW74" i="8" s="1"/>
  <c r="AX74" i="8" s="1"/>
  <c r="W67" i="6" s="1"/>
  <c r="BH74" i="8"/>
  <c r="BP74" i="8" s="1"/>
  <c r="AC67" i="6" s="1"/>
  <c r="AW34" i="8"/>
  <c r="AX34" i="8" s="1"/>
  <c r="AV34" i="8"/>
  <c r="BC34" i="8" s="1"/>
  <c r="BK34" i="8" s="1"/>
  <c r="X27" i="6" s="1"/>
  <c r="BG154" i="8"/>
  <c r="BO154" i="8" s="1"/>
  <c r="AB147" i="6" s="1"/>
  <c r="AV154" i="8"/>
  <c r="AW154" i="8" s="1"/>
  <c r="AX154" i="8" s="1"/>
  <c r="BH154" i="8"/>
  <c r="BP154" i="8" s="1"/>
  <c r="AC147" i="6" s="1"/>
  <c r="BG70" i="8"/>
  <c r="BO70" i="8" s="1"/>
  <c r="AB63" i="6" s="1"/>
  <c r="AV70" i="8"/>
  <c r="AW70" i="8" s="1"/>
  <c r="AX70" i="8" s="1"/>
  <c r="W63" i="6" s="1"/>
  <c r="BH70" i="8"/>
  <c r="BP70" i="8" s="1"/>
  <c r="AC63" i="6" s="1"/>
  <c r="BH103" i="8"/>
  <c r="BP103" i="8" s="1"/>
  <c r="AC96" i="6" s="1"/>
  <c r="BG103" i="8"/>
  <c r="BO103" i="8" s="1"/>
  <c r="AB96" i="6" s="1"/>
  <c r="AV103" i="8"/>
  <c r="AW103" i="8" s="1"/>
  <c r="AX103" i="8" s="1"/>
  <c r="W96" i="6" s="1"/>
  <c r="AV173" i="8"/>
  <c r="AW173" i="8"/>
  <c r="AX173" i="8" s="1"/>
  <c r="BH130" i="8"/>
  <c r="BP130" i="8" s="1"/>
  <c r="AC123" i="6" s="1"/>
  <c r="BG130" i="8"/>
  <c r="BO130" i="8" s="1"/>
  <c r="AB123" i="6" s="1"/>
  <c r="AV130" i="8"/>
  <c r="AW130" i="8" s="1"/>
  <c r="AX130" i="8" s="1"/>
  <c r="AV95" i="8"/>
  <c r="AW95" i="8"/>
  <c r="AX95" i="8" s="1"/>
  <c r="BG107" i="8"/>
  <c r="BO107" i="8" s="1"/>
  <c r="AB100" i="6" s="1"/>
  <c r="AV107" i="8"/>
  <c r="AW107" i="8" s="1"/>
  <c r="AX107" i="8" s="1"/>
  <c r="W100" i="6" s="1"/>
  <c r="BH107" i="8"/>
  <c r="BP107" i="8" s="1"/>
  <c r="AC100" i="6" s="1"/>
  <c r="AV73" i="8"/>
  <c r="AW73" i="8"/>
  <c r="AX73" i="8" s="1"/>
  <c r="BG141" i="8"/>
  <c r="BO141" i="8" s="1"/>
  <c r="AB134" i="6" s="1"/>
  <c r="AV141" i="8"/>
  <c r="AW141" i="8" s="1"/>
  <c r="AX141" i="8" s="1"/>
  <c r="BH141" i="8"/>
  <c r="BP141" i="8" s="1"/>
  <c r="AC134" i="6" s="1"/>
  <c r="AW168" i="8"/>
  <c r="AX168" i="8" s="1"/>
  <c r="AV168" i="8"/>
  <c r="AW137" i="8"/>
  <c r="AX137" i="8" s="1"/>
  <c r="AV137" i="8"/>
  <c r="AV78" i="8"/>
  <c r="AW78" i="8"/>
  <c r="AX78" i="8" s="1"/>
  <c r="BH164" i="8"/>
  <c r="BP164" i="8" s="1"/>
  <c r="AC157" i="6" s="1"/>
  <c r="AV164" i="8"/>
  <c r="AW164" i="8" s="1"/>
  <c r="AX164" i="8" s="1"/>
  <c r="W157" i="6" s="1"/>
  <c r="BG164" i="8"/>
  <c r="BO164" i="8" s="1"/>
  <c r="AB157" i="6" s="1"/>
  <c r="AW160" i="8"/>
  <c r="AX160" i="8" s="1"/>
  <c r="AV160" i="8"/>
  <c r="AV126" i="8"/>
  <c r="AW126" i="8"/>
  <c r="AX126" i="8" s="1"/>
  <c r="BG184" i="8"/>
  <c r="BO184" i="8" s="1"/>
  <c r="AB177" i="6" s="1"/>
  <c r="AV184" i="8"/>
  <c r="AW184" i="8" s="1"/>
  <c r="AX184" i="8" s="1"/>
  <c r="W177" i="6" s="1"/>
  <c r="BH184" i="8"/>
  <c r="BP184" i="8" s="1"/>
  <c r="AC177" i="6" s="1"/>
  <c r="BC56" i="8" l="1"/>
  <c r="BK56" i="8" s="1"/>
  <c r="X49" i="6" s="1"/>
  <c r="BD104" i="8"/>
  <c r="BL104" i="8" s="1"/>
  <c r="Y97" i="6" s="1"/>
  <c r="BC30" i="8"/>
  <c r="BK30" i="8" s="1"/>
  <c r="X23" i="6" s="1"/>
  <c r="BD99" i="8"/>
  <c r="BL99" i="8" s="1"/>
  <c r="Y92" i="6" s="1"/>
  <c r="BD122" i="8"/>
  <c r="BL122" i="8" s="1"/>
  <c r="Y115" i="6" s="1"/>
  <c r="BC91" i="8"/>
  <c r="BK91" i="8" s="1"/>
  <c r="X84" i="6" s="1"/>
  <c r="AY152" i="9"/>
  <c r="V145" i="6"/>
  <c r="AY63" i="8"/>
  <c r="W56" i="6"/>
  <c r="AY162" i="8"/>
  <c r="W155" i="6"/>
  <c r="AY195" i="8"/>
  <c r="W188" i="6"/>
  <c r="AY53" i="8"/>
  <c r="W46" i="6"/>
  <c r="AY139" i="8"/>
  <c r="W132" i="6"/>
  <c r="AY151" i="8"/>
  <c r="W144" i="6"/>
  <c r="AY31" i="8"/>
  <c r="W24" i="6"/>
  <c r="AY143" i="8"/>
  <c r="W136" i="6"/>
  <c r="AY145" i="8"/>
  <c r="W138" i="6"/>
  <c r="AY108" i="8"/>
  <c r="W101" i="6"/>
  <c r="AY146" i="8"/>
  <c r="W139" i="6"/>
  <c r="AY177" i="8"/>
  <c r="W170" i="6"/>
  <c r="AY64" i="8"/>
  <c r="W57" i="6"/>
  <c r="AY59" i="9"/>
  <c r="V52" i="6"/>
  <c r="AY51" i="9"/>
  <c r="V44" i="6"/>
  <c r="AY175" i="9"/>
  <c r="V168" i="6"/>
  <c r="AY28" i="9"/>
  <c r="V21" i="6"/>
  <c r="AY133" i="9"/>
  <c r="V126" i="6"/>
  <c r="AY49" i="9"/>
  <c r="V42" i="6"/>
  <c r="AY128" i="9"/>
  <c r="V121" i="6"/>
  <c r="AY57" i="9"/>
  <c r="V50" i="6"/>
  <c r="AY107" i="9"/>
  <c r="V100" i="6"/>
  <c r="AY105" i="9"/>
  <c r="V98" i="6"/>
  <c r="AY156" i="9"/>
  <c r="V149" i="6"/>
  <c r="AY35" i="9"/>
  <c r="V28" i="6"/>
  <c r="AY164" i="9"/>
  <c r="V157" i="6"/>
  <c r="AY62" i="9"/>
  <c r="V55" i="6"/>
  <c r="AY158" i="9"/>
  <c r="V151" i="6"/>
  <c r="AY143" i="9"/>
  <c r="V136" i="6"/>
  <c r="AY188" i="9"/>
  <c r="V181" i="6"/>
  <c r="AY130" i="9"/>
  <c r="V123" i="6"/>
  <c r="AY101" i="9"/>
  <c r="V94" i="6"/>
  <c r="AY45" i="8"/>
  <c r="W38" i="6"/>
  <c r="AY149" i="8"/>
  <c r="W142" i="6"/>
  <c r="AY113" i="8"/>
  <c r="W106" i="6"/>
  <c r="BC29" i="8"/>
  <c r="BK29" i="8" s="1"/>
  <c r="X22" i="6" s="1"/>
  <c r="AY150" i="8"/>
  <c r="W143" i="6"/>
  <c r="AY65" i="8"/>
  <c r="W58" i="6"/>
  <c r="AY190" i="8"/>
  <c r="W183" i="6"/>
  <c r="AY178" i="8"/>
  <c r="W171" i="6"/>
  <c r="AY174" i="9"/>
  <c r="V167" i="6"/>
  <c r="AY34" i="9"/>
  <c r="V27" i="6"/>
  <c r="AY167" i="9"/>
  <c r="V160" i="6"/>
  <c r="AY29" i="9"/>
  <c r="V22" i="6"/>
  <c r="AY190" i="9"/>
  <c r="V183" i="6"/>
  <c r="AY58" i="9"/>
  <c r="V51" i="6"/>
  <c r="AY55" i="9"/>
  <c r="V48" i="6"/>
  <c r="AY63" i="9"/>
  <c r="V56" i="6"/>
  <c r="AY75" i="9"/>
  <c r="V68" i="6"/>
  <c r="AY41" i="9"/>
  <c r="V34" i="6"/>
  <c r="AY118" i="9"/>
  <c r="V111" i="6"/>
  <c r="AY36" i="9"/>
  <c r="V29" i="6"/>
  <c r="AY53" i="9"/>
  <c r="V46" i="6"/>
  <c r="AY50" i="9"/>
  <c r="V43" i="6"/>
  <c r="AY141" i="9"/>
  <c r="V134" i="6"/>
  <c r="AY185" i="9"/>
  <c r="V178" i="6"/>
  <c r="AY36" i="8"/>
  <c r="W29" i="6"/>
  <c r="AY29" i="8"/>
  <c r="W22" i="6"/>
  <c r="AY182" i="8"/>
  <c r="W175" i="6"/>
  <c r="AY93" i="8"/>
  <c r="W86" i="6"/>
  <c r="AY30" i="8"/>
  <c r="W23" i="6"/>
  <c r="AY165" i="8"/>
  <c r="W158" i="6"/>
  <c r="AY50" i="8"/>
  <c r="W43" i="6"/>
  <c r="AY158" i="8"/>
  <c r="W151" i="6"/>
  <c r="AY65" i="9"/>
  <c r="V58" i="6"/>
  <c r="AY194" i="9"/>
  <c r="V187" i="6"/>
  <c r="AY89" i="9"/>
  <c r="V82" i="6"/>
  <c r="AY195" i="9"/>
  <c r="V188" i="6"/>
  <c r="AY134" i="9"/>
  <c r="V127" i="6"/>
  <c r="AY124" i="9"/>
  <c r="V117" i="6"/>
  <c r="AY104" i="9"/>
  <c r="V97" i="6"/>
  <c r="AY177" i="9"/>
  <c r="V170" i="6"/>
  <c r="AY119" i="9"/>
  <c r="V112" i="6"/>
  <c r="AY56" i="9"/>
  <c r="V49" i="6"/>
  <c r="AY173" i="9"/>
  <c r="V166" i="6"/>
  <c r="AY102" i="9"/>
  <c r="V95" i="6"/>
  <c r="AY113" i="9"/>
  <c r="V106" i="6"/>
  <c r="AY151" i="9"/>
  <c r="V144" i="6"/>
  <c r="AY146" i="9"/>
  <c r="V139" i="6"/>
  <c r="AY60" i="9"/>
  <c r="V53" i="6"/>
  <c r="AY186" i="9"/>
  <c r="V179" i="6"/>
  <c r="AY64" i="9"/>
  <c r="V57" i="6"/>
  <c r="AY52" i="9"/>
  <c r="V45" i="6"/>
  <c r="AY39" i="9"/>
  <c r="V32" i="6"/>
  <c r="AY33" i="8"/>
  <c r="W26" i="6"/>
  <c r="AY34" i="8"/>
  <c r="W27" i="6"/>
  <c r="AY130" i="8"/>
  <c r="W123" i="6"/>
  <c r="AY147" i="8"/>
  <c r="W140" i="6"/>
  <c r="AY67" i="8"/>
  <c r="W60" i="6"/>
  <c r="AY98" i="8"/>
  <c r="W91" i="6"/>
  <c r="AY133" i="8"/>
  <c r="W126" i="6"/>
  <c r="AY161" i="8"/>
  <c r="W154" i="6"/>
  <c r="AY90" i="8"/>
  <c r="W83" i="6"/>
  <c r="AY114" i="9"/>
  <c r="V107" i="6"/>
  <c r="AY47" i="9"/>
  <c r="V40" i="6"/>
  <c r="AY69" i="9"/>
  <c r="V62" i="6"/>
  <c r="AY184" i="9"/>
  <c r="V177" i="6"/>
  <c r="AY138" i="9"/>
  <c r="V131" i="6"/>
  <c r="AY103" i="9"/>
  <c r="V96" i="6"/>
  <c r="AY111" i="9"/>
  <c r="V104" i="6"/>
  <c r="AY45" i="9"/>
  <c r="V38" i="6"/>
  <c r="AY83" i="9"/>
  <c r="V76" i="6"/>
  <c r="AY81" i="9"/>
  <c r="V74" i="6"/>
  <c r="AY100" i="9"/>
  <c r="V93" i="6"/>
  <c r="AY182" i="9"/>
  <c r="V175" i="6"/>
  <c r="AY163" i="9"/>
  <c r="V156" i="6"/>
  <c r="AY176" i="9"/>
  <c r="V169" i="6"/>
  <c r="AY70" i="9"/>
  <c r="V63" i="6"/>
  <c r="AY84" i="9"/>
  <c r="V77" i="6"/>
  <c r="AY82" i="9"/>
  <c r="V75" i="6"/>
  <c r="AY68" i="9"/>
  <c r="V61" i="6"/>
  <c r="AY66" i="9"/>
  <c r="V59" i="6"/>
  <c r="AY112" i="9"/>
  <c r="V105" i="6"/>
  <c r="AY69" i="8"/>
  <c r="W62" i="6"/>
  <c r="AY52" i="8"/>
  <c r="W45" i="6"/>
  <c r="AY141" i="8"/>
  <c r="W134" i="6"/>
  <c r="AY106" i="8"/>
  <c r="W99" i="6"/>
  <c r="AY38" i="8"/>
  <c r="W31" i="6"/>
  <c r="AY85" i="8"/>
  <c r="W78" i="6"/>
  <c r="AY128" i="8"/>
  <c r="W121" i="6"/>
  <c r="AY71" i="8"/>
  <c r="W64" i="6"/>
  <c r="AY120" i="8"/>
  <c r="W113" i="6"/>
  <c r="AY187" i="8"/>
  <c r="W180" i="6"/>
  <c r="AY155" i="8"/>
  <c r="W148" i="6"/>
  <c r="AY60" i="8"/>
  <c r="W53" i="6"/>
  <c r="AY44" i="8"/>
  <c r="W37" i="6"/>
  <c r="AY82" i="8"/>
  <c r="W75" i="6"/>
  <c r="AY97" i="8"/>
  <c r="W90" i="6"/>
  <c r="AY179" i="8"/>
  <c r="W172" i="6"/>
  <c r="AY80" i="8"/>
  <c r="W73" i="6"/>
  <c r="AY58" i="8"/>
  <c r="W51" i="6"/>
  <c r="AY88" i="8"/>
  <c r="W81" i="6"/>
  <c r="AY171" i="8"/>
  <c r="W164" i="6"/>
  <c r="AY163" i="8"/>
  <c r="W156" i="6"/>
  <c r="AY115" i="9"/>
  <c r="V108" i="6"/>
  <c r="AY165" i="9"/>
  <c r="V158" i="6"/>
  <c r="AY43" i="9"/>
  <c r="V36" i="6"/>
  <c r="AY148" i="9"/>
  <c r="V141" i="6"/>
  <c r="AY48" i="9"/>
  <c r="V41" i="6"/>
  <c r="AY67" i="9"/>
  <c r="V60" i="6"/>
  <c r="AY54" i="9"/>
  <c r="V47" i="6"/>
  <c r="AY144" i="9"/>
  <c r="V137" i="6"/>
  <c r="AY189" i="9"/>
  <c r="V182" i="6"/>
  <c r="AY32" i="9"/>
  <c r="V25" i="6"/>
  <c r="AY120" i="9"/>
  <c r="V113" i="6"/>
  <c r="AY90" i="9"/>
  <c r="V83" i="6"/>
  <c r="AY37" i="9"/>
  <c r="V30" i="6"/>
  <c r="AY92" i="9"/>
  <c r="V85" i="6"/>
  <c r="AY85" i="9"/>
  <c r="V78" i="6"/>
  <c r="AY122" i="9"/>
  <c r="V115" i="6"/>
  <c r="AY154" i="9"/>
  <c r="V147" i="6"/>
  <c r="AY168" i="8"/>
  <c r="W161" i="6"/>
  <c r="AY185" i="8"/>
  <c r="W178" i="6"/>
  <c r="AY95" i="8"/>
  <c r="W88" i="6"/>
  <c r="AY174" i="8"/>
  <c r="W167" i="6"/>
  <c r="AY47" i="8"/>
  <c r="W40" i="6"/>
  <c r="AY188" i="8"/>
  <c r="W181" i="6"/>
  <c r="AY48" i="8"/>
  <c r="W41" i="6"/>
  <c r="AY123" i="8"/>
  <c r="W116" i="6"/>
  <c r="AY159" i="8"/>
  <c r="W152" i="6"/>
  <c r="AY132" i="8"/>
  <c r="W125" i="6"/>
  <c r="AY105" i="8"/>
  <c r="W98" i="6"/>
  <c r="AY110" i="8"/>
  <c r="W103" i="6"/>
  <c r="AY140" i="8"/>
  <c r="W133" i="6"/>
  <c r="AY175" i="8"/>
  <c r="W168" i="6"/>
  <c r="AY109" i="8"/>
  <c r="W102" i="6"/>
  <c r="AY102" i="8"/>
  <c r="W95" i="6"/>
  <c r="AY167" i="8"/>
  <c r="W160" i="6"/>
  <c r="AY135" i="8"/>
  <c r="W128" i="6"/>
  <c r="AY115" i="8"/>
  <c r="W108" i="6"/>
  <c r="AY193" i="8"/>
  <c r="W186" i="6"/>
  <c r="AY84" i="8"/>
  <c r="W77" i="6"/>
  <c r="AY183" i="8"/>
  <c r="W176" i="6"/>
  <c r="AY153" i="8"/>
  <c r="W146" i="6"/>
  <c r="AY111" i="8"/>
  <c r="W104" i="6"/>
  <c r="AY77" i="9"/>
  <c r="V70" i="6"/>
  <c r="AY137" i="9"/>
  <c r="V130" i="6"/>
  <c r="AY139" i="9"/>
  <c r="V132" i="6"/>
  <c r="AY180" i="9"/>
  <c r="V173" i="6"/>
  <c r="AY178" i="9"/>
  <c r="V171" i="6"/>
  <c r="AY42" i="9"/>
  <c r="V35" i="6"/>
  <c r="AY79" i="9"/>
  <c r="V72" i="6"/>
  <c r="AY46" i="9"/>
  <c r="V39" i="6"/>
  <c r="AY91" i="9"/>
  <c r="V84" i="6"/>
  <c r="AY183" i="9"/>
  <c r="V176" i="6"/>
  <c r="AY73" i="9"/>
  <c r="V66" i="6"/>
  <c r="AY135" i="9"/>
  <c r="V128" i="6"/>
  <c r="AY80" i="9"/>
  <c r="V73" i="6"/>
  <c r="AY171" i="9"/>
  <c r="V164" i="6"/>
  <c r="AY157" i="9"/>
  <c r="V150" i="6"/>
  <c r="AY131" i="9"/>
  <c r="V124" i="6"/>
  <c r="AY106" i="9"/>
  <c r="V99" i="6"/>
  <c r="AY94" i="9"/>
  <c r="V87" i="6"/>
  <c r="AY71" i="9"/>
  <c r="V64" i="6"/>
  <c r="AY125" i="9"/>
  <c r="V118" i="6"/>
  <c r="AY159" i="9"/>
  <c r="V152" i="6"/>
  <c r="AY118" i="8"/>
  <c r="W111" i="6"/>
  <c r="AY125" i="8"/>
  <c r="W118" i="6"/>
  <c r="AY166" i="8"/>
  <c r="W159" i="6"/>
  <c r="AY170" i="8"/>
  <c r="W163" i="6"/>
  <c r="AY126" i="8"/>
  <c r="W119" i="6"/>
  <c r="AY73" i="8"/>
  <c r="W66" i="6"/>
  <c r="AY137" i="8"/>
  <c r="W130" i="6"/>
  <c r="AY173" i="8"/>
  <c r="W166" i="6"/>
  <c r="AY92" i="8"/>
  <c r="W85" i="6"/>
  <c r="AY138" i="8"/>
  <c r="W131" i="6"/>
  <c r="AY35" i="8"/>
  <c r="W28" i="6"/>
  <c r="AY39" i="8"/>
  <c r="W32" i="6"/>
  <c r="AY114" i="8"/>
  <c r="W107" i="6"/>
  <c r="AY191" i="8"/>
  <c r="W184" i="6"/>
  <c r="AY144" i="8"/>
  <c r="W137" i="6"/>
  <c r="AY55" i="8"/>
  <c r="W48" i="6"/>
  <c r="AY68" i="8"/>
  <c r="W61" i="6"/>
  <c r="AY75" i="8"/>
  <c r="W68" i="6"/>
  <c r="AY136" i="8"/>
  <c r="W129" i="6"/>
  <c r="AY100" i="8"/>
  <c r="W93" i="6"/>
  <c r="AY54" i="8"/>
  <c r="W47" i="6"/>
  <c r="AY169" i="8"/>
  <c r="W162" i="6"/>
  <c r="AY189" i="8"/>
  <c r="W182" i="6"/>
  <c r="AY121" i="8"/>
  <c r="W114" i="6"/>
  <c r="AY89" i="8"/>
  <c r="W82" i="6"/>
  <c r="AY117" i="8"/>
  <c r="W110" i="6"/>
  <c r="AY136" i="9"/>
  <c r="V129" i="6"/>
  <c r="AY98" i="9"/>
  <c r="V91" i="6"/>
  <c r="AY93" i="9"/>
  <c r="V86" i="6"/>
  <c r="AY95" i="9"/>
  <c r="V88" i="6"/>
  <c r="AY96" i="9"/>
  <c r="V89" i="6"/>
  <c r="AY38" i="9"/>
  <c r="V31" i="6"/>
  <c r="AY61" i="9"/>
  <c r="V54" i="6"/>
  <c r="AY155" i="9"/>
  <c r="V148" i="6"/>
  <c r="AY168" i="9"/>
  <c r="V161" i="6"/>
  <c r="AY44" i="9"/>
  <c r="V37" i="6"/>
  <c r="AY150" i="9"/>
  <c r="V143" i="6"/>
  <c r="AY149" i="9"/>
  <c r="V142" i="6"/>
  <c r="AY145" i="9"/>
  <c r="V138" i="6"/>
  <c r="AY181" i="9"/>
  <c r="V174" i="6"/>
  <c r="AY33" i="9"/>
  <c r="V26" i="6"/>
  <c r="AY108" i="9"/>
  <c r="V101" i="6"/>
  <c r="AY110" i="9"/>
  <c r="V103" i="6"/>
  <c r="AY40" i="9"/>
  <c r="V33" i="6"/>
  <c r="AY91" i="8"/>
  <c r="W84" i="6"/>
  <c r="AY157" i="8"/>
  <c r="W150" i="6"/>
  <c r="AY78" i="8"/>
  <c r="W71" i="6"/>
  <c r="AY160" i="8"/>
  <c r="W153" i="6"/>
  <c r="AY154" i="8"/>
  <c r="W147" i="6"/>
  <c r="BC118" i="8"/>
  <c r="BK118" i="8" s="1"/>
  <c r="X111" i="6" s="1"/>
  <c r="AY79" i="8"/>
  <c r="W72" i="6"/>
  <c r="AY56" i="8"/>
  <c r="W49" i="6"/>
  <c r="AY86" i="8"/>
  <c r="W79" i="6"/>
  <c r="AY186" i="8"/>
  <c r="W179" i="6"/>
  <c r="AY42" i="8"/>
  <c r="W35" i="6"/>
  <c r="BD134" i="8"/>
  <c r="BL134" i="8" s="1"/>
  <c r="Y127" i="6" s="1"/>
  <c r="AY193" i="9"/>
  <c r="V186" i="6"/>
  <c r="AY127" i="9"/>
  <c r="V120" i="6"/>
  <c r="AY76" i="9"/>
  <c r="V69" i="6"/>
  <c r="AY142" i="9"/>
  <c r="V135" i="6"/>
  <c r="AY132" i="9"/>
  <c r="V125" i="6"/>
  <c r="AY72" i="9"/>
  <c r="V65" i="6"/>
  <c r="AY160" i="9"/>
  <c r="V153" i="6"/>
  <c r="AY172" i="9"/>
  <c r="V165" i="6"/>
  <c r="AY109" i="9"/>
  <c r="V102" i="6"/>
  <c r="AY74" i="9"/>
  <c r="V67" i="6"/>
  <c r="AY86" i="9"/>
  <c r="V79" i="6"/>
  <c r="AY153" i="9"/>
  <c r="V146" i="6"/>
  <c r="AY166" i="9"/>
  <c r="V159" i="6"/>
  <c r="AY121" i="9"/>
  <c r="V114" i="6"/>
  <c r="AY88" i="9"/>
  <c r="V81" i="6"/>
  <c r="AY179" i="9"/>
  <c r="V172" i="6"/>
  <c r="AY187" i="9"/>
  <c r="V180" i="6"/>
  <c r="AY31" i="9"/>
  <c r="V24" i="6"/>
  <c r="AY117" i="9"/>
  <c r="V110" i="6"/>
  <c r="AY116" i="9"/>
  <c r="V109" i="6"/>
  <c r="AY40" i="8"/>
  <c r="BC40" i="8"/>
  <c r="BK40" i="8" s="1"/>
  <c r="X33" i="6" s="1"/>
  <c r="AY83" i="8"/>
  <c r="BC83" i="8"/>
  <c r="BK83" i="8" s="1"/>
  <c r="X76" i="6" s="1"/>
  <c r="BC187" i="8"/>
  <c r="BK187" i="8" s="1"/>
  <c r="X180" i="6" s="1"/>
  <c r="BC31" i="8"/>
  <c r="BK31" i="8" s="1"/>
  <c r="X24" i="6" s="1"/>
  <c r="BD30" i="8"/>
  <c r="BL30" i="8" s="1"/>
  <c r="Y23" i="6" s="1"/>
  <c r="BC98" i="8"/>
  <c r="BK98" i="8" s="1"/>
  <c r="X91" i="6" s="1"/>
  <c r="BC178" i="8"/>
  <c r="BK178" i="8" s="1"/>
  <c r="X171" i="6" s="1"/>
  <c r="AY180" i="8"/>
  <c r="BC180" i="8"/>
  <c r="BK180" i="8" s="1"/>
  <c r="X173" i="6" s="1"/>
  <c r="AY28" i="8"/>
  <c r="BC28" i="8"/>
  <c r="BK28" i="8" s="1"/>
  <c r="X21" i="6" s="1"/>
  <c r="BC137" i="8"/>
  <c r="BK137" i="8" s="1"/>
  <c r="X130" i="6" s="1"/>
  <c r="BC149" i="8"/>
  <c r="BK149" i="8" s="1"/>
  <c r="X142" i="6" s="1"/>
  <c r="BC125" i="8"/>
  <c r="BK125" i="8" s="1"/>
  <c r="X118" i="6" s="1"/>
  <c r="BC144" i="8"/>
  <c r="BK144" i="8" s="1"/>
  <c r="X137" i="6" s="1"/>
  <c r="BC168" i="8"/>
  <c r="BK168" i="8" s="1"/>
  <c r="X161" i="6" s="1"/>
  <c r="BC47" i="8"/>
  <c r="BK47" i="8" s="1"/>
  <c r="X40" i="6" s="1"/>
  <c r="AY76" i="8"/>
  <c r="BC76" i="8"/>
  <c r="BK76" i="8" s="1"/>
  <c r="X69" i="6" s="1"/>
  <c r="AY107" i="8"/>
  <c r="BC107" i="8"/>
  <c r="BK107" i="8" s="1"/>
  <c r="X100" i="6" s="1"/>
  <c r="AY101" i="8"/>
  <c r="BC101" i="8"/>
  <c r="BK101" i="8" s="1"/>
  <c r="X94" i="6" s="1"/>
  <c r="BC126" i="8"/>
  <c r="BK126" i="8" s="1"/>
  <c r="X119" i="6" s="1"/>
  <c r="BC173" i="8"/>
  <c r="BK173" i="8" s="1"/>
  <c r="X166" i="6" s="1"/>
  <c r="BC123" i="8"/>
  <c r="BK123" i="8" s="1"/>
  <c r="X116" i="6" s="1"/>
  <c r="BC69" i="8"/>
  <c r="BK69" i="8" s="1"/>
  <c r="X62" i="6" s="1"/>
  <c r="BC110" i="8"/>
  <c r="BK110" i="8" s="1"/>
  <c r="X103" i="6" s="1"/>
  <c r="BC53" i="8"/>
  <c r="BK53" i="8" s="1"/>
  <c r="X46" i="6" s="1"/>
  <c r="BC68" i="8"/>
  <c r="BK68" i="8" s="1"/>
  <c r="X61" i="6" s="1"/>
  <c r="BC167" i="8"/>
  <c r="BK167" i="8" s="1"/>
  <c r="X160" i="6" s="1"/>
  <c r="BC193" i="8"/>
  <c r="BK193" i="8" s="1"/>
  <c r="X186" i="6" s="1"/>
  <c r="BD125" i="8"/>
  <c r="BL125" i="8" s="1"/>
  <c r="Y118" i="6" s="1"/>
  <c r="BC141" i="8"/>
  <c r="BK141" i="8" s="1"/>
  <c r="X134" i="6" s="1"/>
  <c r="BC138" i="8"/>
  <c r="BK138" i="8" s="1"/>
  <c r="X131" i="6" s="1"/>
  <c r="BC174" i="8"/>
  <c r="BK174" i="8" s="1"/>
  <c r="X167" i="6" s="1"/>
  <c r="BC133" i="8"/>
  <c r="BK133" i="8" s="1"/>
  <c r="X126" i="6" s="1"/>
  <c r="BC186" i="8"/>
  <c r="BK186" i="8" s="1"/>
  <c r="X179" i="6" s="1"/>
  <c r="BC82" i="8"/>
  <c r="BK82" i="8" s="1"/>
  <c r="X75" i="6" s="1"/>
  <c r="BC136" i="8"/>
  <c r="BK136" i="8" s="1"/>
  <c r="X129" i="6" s="1"/>
  <c r="BC50" i="8"/>
  <c r="BK50" i="8" s="1"/>
  <c r="X43" i="6" s="1"/>
  <c r="BC183" i="8"/>
  <c r="BK183" i="8" s="1"/>
  <c r="X176" i="6" s="1"/>
  <c r="BC58" i="8"/>
  <c r="BK58" i="8" s="1"/>
  <c r="X51" i="6" s="1"/>
  <c r="BC153" i="8"/>
  <c r="BK153" i="8" s="1"/>
  <c r="X146" i="6" s="1"/>
  <c r="AW30" i="9"/>
  <c r="AX30" i="9" s="1"/>
  <c r="AV30" i="9"/>
  <c r="AP27" i="9"/>
  <c r="AO17" i="9"/>
  <c r="BD34" i="8"/>
  <c r="BL34" i="8" s="1"/>
  <c r="Y27" i="6" s="1"/>
  <c r="AY46" i="8"/>
  <c r="BC46" i="8"/>
  <c r="BK46" i="8" s="1"/>
  <c r="X39" i="6" s="1"/>
  <c r="AY148" i="8"/>
  <c r="BC148" i="8"/>
  <c r="BK148" i="8" s="1"/>
  <c r="X141" i="6" s="1"/>
  <c r="AY59" i="8"/>
  <c r="BC59" i="8"/>
  <c r="BK59" i="8" s="1"/>
  <c r="X52" i="6" s="1"/>
  <c r="AY156" i="8"/>
  <c r="BC156" i="8"/>
  <c r="BK156" i="8" s="1"/>
  <c r="X149" i="6" s="1"/>
  <c r="AY94" i="8"/>
  <c r="BC94" i="8"/>
  <c r="BK94" i="8" s="1"/>
  <c r="X87" i="6" s="1"/>
  <c r="AY124" i="8"/>
  <c r="BC124" i="8"/>
  <c r="BK124" i="8" s="1"/>
  <c r="X117" i="6" s="1"/>
  <c r="AY57" i="8"/>
  <c r="BC57" i="8"/>
  <c r="BK57" i="8" s="1"/>
  <c r="X50" i="6" s="1"/>
  <c r="AY43" i="8"/>
  <c r="BC43" i="8"/>
  <c r="BK43" i="8" s="1"/>
  <c r="X36" i="6" s="1"/>
  <c r="BD53" i="8"/>
  <c r="BL53" i="8" s="1"/>
  <c r="Y46" i="6" s="1"/>
  <c r="AY129" i="8"/>
  <c r="BC129" i="8"/>
  <c r="BK129" i="8" s="1"/>
  <c r="X122" i="6" s="1"/>
  <c r="AY72" i="8"/>
  <c r="BC72" i="8"/>
  <c r="BK72" i="8" s="1"/>
  <c r="X65" i="6" s="1"/>
  <c r="AY61" i="8"/>
  <c r="BC61" i="8"/>
  <c r="BK61" i="8" s="1"/>
  <c r="X54" i="6" s="1"/>
  <c r="AY194" i="8"/>
  <c r="BC194" i="8"/>
  <c r="BK194" i="8" s="1"/>
  <c r="X187" i="6" s="1"/>
  <c r="AY131" i="8"/>
  <c r="BC131" i="8"/>
  <c r="BK131" i="8" s="1"/>
  <c r="X124" i="6" s="1"/>
  <c r="AY41" i="8"/>
  <c r="BC41" i="8"/>
  <c r="BK41" i="8" s="1"/>
  <c r="X34" i="6" s="1"/>
  <c r="AY172" i="8"/>
  <c r="BC172" i="8"/>
  <c r="BK172" i="8" s="1"/>
  <c r="X165" i="6" s="1"/>
  <c r="AY184" i="8"/>
  <c r="BC184" i="8"/>
  <c r="BK184" i="8" s="1"/>
  <c r="X177" i="6" s="1"/>
  <c r="AY164" i="8"/>
  <c r="BC164" i="8"/>
  <c r="BK164" i="8" s="1"/>
  <c r="X157" i="6" s="1"/>
  <c r="BD137" i="8"/>
  <c r="BL137" i="8" s="1"/>
  <c r="Y130" i="6" s="1"/>
  <c r="AY103" i="8"/>
  <c r="BC103" i="8"/>
  <c r="BK103" i="8" s="1"/>
  <c r="X96" i="6" s="1"/>
  <c r="AY70" i="8"/>
  <c r="BC70" i="8"/>
  <c r="BK70" i="8" s="1"/>
  <c r="X63" i="6" s="1"/>
  <c r="AY96" i="8"/>
  <c r="BC96" i="8"/>
  <c r="BK96" i="8" s="1"/>
  <c r="X89" i="6" s="1"/>
  <c r="BD187" i="8"/>
  <c r="BL187" i="8" s="1"/>
  <c r="Y180" i="6" s="1"/>
  <c r="AY181" i="8"/>
  <c r="BC181" i="8"/>
  <c r="BK181" i="8" s="1"/>
  <c r="X174" i="6" s="1"/>
  <c r="BD144" i="8"/>
  <c r="BL144" i="8" s="1"/>
  <c r="Y137" i="6" s="1"/>
  <c r="BD102" i="8"/>
  <c r="BL102" i="8" s="1"/>
  <c r="Y95" i="6" s="1"/>
  <c r="BD31" i="8"/>
  <c r="BL31" i="8" s="1"/>
  <c r="Y24" i="6" s="1"/>
  <c r="AY32" i="8"/>
  <c r="BC32" i="8"/>
  <c r="BK32" i="8" s="1"/>
  <c r="X25" i="6" s="1"/>
  <c r="AY112" i="8"/>
  <c r="BC112" i="8"/>
  <c r="BK112" i="8" s="1"/>
  <c r="X105" i="6" s="1"/>
  <c r="AY49" i="8"/>
  <c r="BC49" i="8"/>
  <c r="BK49" i="8" s="1"/>
  <c r="X42" i="6" s="1"/>
  <c r="AY176" i="8"/>
  <c r="BC176" i="8"/>
  <c r="BK176" i="8" s="1"/>
  <c r="X169" i="6" s="1"/>
  <c r="AY74" i="8"/>
  <c r="BC74" i="8"/>
  <c r="BK74" i="8" s="1"/>
  <c r="X67" i="6" s="1"/>
  <c r="AY127" i="8"/>
  <c r="BC127" i="8"/>
  <c r="BK127" i="8" s="1"/>
  <c r="X120" i="6" s="1"/>
  <c r="AY81" i="8"/>
  <c r="BC81" i="8"/>
  <c r="BK81" i="8" s="1"/>
  <c r="X74" i="6" s="1"/>
  <c r="AY87" i="8"/>
  <c r="BC87" i="8"/>
  <c r="BK87" i="8" s="1"/>
  <c r="X80" i="6" s="1"/>
  <c r="AY37" i="8"/>
  <c r="BC37" i="8"/>
  <c r="BK37" i="8" s="1"/>
  <c r="X30" i="6" s="1"/>
  <c r="AY119" i="8"/>
  <c r="BC119" i="8"/>
  <c r="BK119" i="8" s="1"/>
  <c r="X112" i="6" s="1"/>
  <c r="AY62" i="8"/>
  <c r="BC62" i="8"/>
  <c r="BK62" i="8" s="1"/>
  <c r="X55" i="6" s="1"/>
  <c r="AY152" i="8"/>
  <c r="BC152" i="8"/>
  <c r="BK152" i="8" s="1"/>
  <c r="X145" i="6" s="1"/>
  <c r="BD192" i="8"/>
  <c r="BL192" i="8" s="1"/>
  <c r="Y185" i="6" s="1"/>
  <c r="BC44" i="8"/>
  <c r="BK44" i="8" s="1"/>
  <c r="X37" i="6" s="1"/>
  <c r="BC65" i="8"/>
  <c r="BK65" i="8" s="1"/>
  <c r="X58" i="6" s="1"/>
  <c r="BC145" i="8"/>
  <c r="BK145" i="8" s="1"/>
  <c r="X138" i="6" s="1"/>
  <c r="BD183" i="8"/>
  <c r="BL183" i="8" s="1"/>
  <c r="Y176" i="6" s="1"/>
  <c r="BD51" i="8"/>
  <c r="BL51" i="8" s="1"/>
  <c r="Y44" i="6" s="1"/>
  <c r="BC78" i="8"/>
  <c r="BK78" i="8" s="1"/>
  <c r="X71" i="6" s="1"/>
  <c r="BC154" i="8"/>
  <c r="BK154" i="8" s="1"/>
  <c r="X147" i="6" s="1"/>
  <c r="BC92" i="8"/>
  <c r="BK92" i="8" s="1"/>
  <c r="X85" i="6" s="1"/>
  <c r="AP27" i="8"/>
  <c r="AO17" i="8"/>
  <c r="BC60" i="8"/>
  <c r="BK60" i="8" s="1"/>
  <c r="X53" i="6" s="1"/>
  <c r="BC55" i="8"/>
  <c r="BK55" i="8" s="1"/>
  <c r="X48" i="6" s="1"/>
  <c r="BC150" i="8"/>
  <c r="BK150" i="8" s="1"/>
  <c r="X143" i="6" s="1"/>
  <c r="BC84" i="8"/>
  <c r="BK84" i="8" s="1"/>
  <c r="X77" i="6" s="1"/>
  <c r="BC111" i="8"/>
  <c r="BK111" i="8" s="1"/>
  <c r="X104" i="6" s="1"/>
  <c r="BD76" i="8"/>
  <c r="BL76" i="8" s="1"/>
  <c r="Y69" i="6" s="1"/>
  <c r="BE104" i="8"/>
  <c r="BM104" i="8" s="1"/>
  <c r="Z97" i="6" s="1"/>
  <c r="BD42" i="8"/>
  <c r="BL42" i="8" s="1"/>
  <c r="Y35" i="6" s="1"/>
  <c r="BC117" i="8"/>
  <c r="BK117" i="8" s="1"/>
  <c r="X110" i="6" s="1"/>
  <c r="BE122" i="8"/>
  <c r="BM122" i="8" s="1"/>
  <c r="Z115" i="6" s="1"/>
  <c r="BD141" i="8"/>
  <c r="BL141" i="8" s="1"/>
  <c r="Y134" i="6" s="1"/>
  <c r="BC38" i="8"/>
  <c r="BK38" i="8" s="1"/>
  <c r="X31" i="6" s="1"/>
  <c r="BC79" i="8"/>
  <c r="BK79" i="8" s="1"/>
  <c r="X72" i="6" s="1"/>
  <c r="BC128" i="8"/>
  <c r="BK128" i="8" s="1"/>
  <c r="X121" i="6" s="1"/>
  <c r="BC159" i="8"/>
  <c r="BK159" i="8" s="1"/>
  <c r="X152" i="6" s="1"/>
  <c r="BD56" i="8"/>
  <c r="BL56" i="8" s="1"/>
  <c r="Y49" i="6" s="1"/>
  <c r="BC36" i="8"/>
  <c r="BK36" i="8" s="1"/>
  <c r="X29" i="6" s="1"/>
  <c r="BC35" i="8"/>
  <c r="BK35" i="8" s="1"/>
  <c r="X28" i="6" s="1"/>
  <c r="BC39" i="8"/>
  <c r="BK39" i="8" s="1"/>
  <c r="X32" i="6" s="1"/>
  <c r="BC52" i="8"/>
  <c r="BK52" i="8" s="1"/>
  <c r="X45" i="6" s="1"/>
  <c r="BD28" i="8"/>
  <c r="BL28" i="8" s="1"/>
  <c r="Y21" i="6" s="1"/>
  <c r="BC86" i="8"/>
  <c r="BK86" i="8" s="1"/>
  <c r="X79" i="6" s="1"/>
  <c r="BC113" i="8"/>
  <c r="BK113" i="8" s="1"/>
  <c r="X106" i="6" s="1"/>
  <c r="BC85" i="8"/>
  <c r="BK85" i="8" s="1"/>
  <c r="X78" i="6" s="1"/>
  <c r="BC175" i="8"/>
  <c r="BK175" i="8" s="1"/>
  <c r="X168" i="6" s="1"/>
  <c r="BC139" i="8"/>
  <c r="BK139" i="8" s="1"/>
  <c r="X132" i="6" s="1"/>
  <c r="BC109" i="8"/>
  <c r="BK109" i="8" s="1"/>
  <c r="X102" i="6" s="1"/>
  <c r="BC155" i="8"/>
  <c r="BK155" i="8" s="1"/>
  <c r="X148" i="6" s="1"/>
  <c r="BC67" i="8"/>
  <c r="BK67" i="8" s="1"/>
  <c r="X60" i="6" s="1"/>
  <c r="BC151" i="8"/>
  <c r="BK151" i="8" s="1"/>
  <c r="X144" i="6" s="1"/>
  <c r="BC135" i="8"/>
  <c r="BK135" i="8" s="1"/>
  <c r="X128" i="6" s="1"/>
  <c r="BD136" i="8"/>
  <c r="BL136" i="8" s="1"/>
  <c r="Y129" i="6" s="1"/>
  <c r="BC179" i="8"/>
  <c r="BK179" i="8" s="1"/>
  <c r="X172" i="6" s="1"/>
  <c r="BC100" i="8"/>
  <c r="BK100" i="8" s="1"/>
  <c r="X93" i="6" s="1"/>
  <c r="BE30" i="8"/>
  <c r="BM30" i="8" s="1"/>
  <c r="Z23" i="6" s="1"/>
  <c r="BC165" i="8"/>
  <c r="BK165" i="8" s="1"/>
  <c r="X158" i="6" s="1"/>
  <c r="BC80" i="8"/>
  <c r="BK80" i="8" s="1"/>
  <c r="X73" i="6" s="1"/>
  <c r="BC108" i="8"/>
  <c r="BK108" i="8" s="1"/>
  <c r="X101" i="6" s="1"/>
  <c r="BC158" i="8"/>
  <c r="BK158" i="8" s="1"/>
  <c r="X151" i="6" s="1"/>
  <c r="BC190" i="8"/>
  <c r="BK190" i="8" s="1"/>
  <c r="X183" i="6" s="1"/>
  <c r="BC169" i="8"/>
  <c r="BK169" i="8" s="1"/>
  <c r="X162" i="6" s="1"/>
  <c r="BC146" i="8"/>
  <c r="BK146" i="8" s="1"/>
  <c r="X139" i="6" s="1"/>
  <c r="BC161" i="8"/>
  <c r="BK161" i="8" s="1"/>
  <c r="X154" i="6" s="1"/>
  <c r="BC189" i="8"/>
  <c r="BK189" i="8" s="1"/>
  <c r="X182" i="6" s="1"/>
  <c r="BC171" i="8"/>
  <c r="BK171" i="8" s="1"/>
  <c r="X164" i="6" s="1"/>
  <c r="BC121" i="8"/>
  <c r="BK121" i="8" s="1"/>
  <c r="X114" i="6" s="1"/>
  <c r="BC177" i="8"/>
  <c r="BK177" i="8" s="1"/>
  <c r="X170" i="6" s="1"/>
  <c r="BC89" i="8"/>
  <c r="BK89" i="8" s="1"/>
  <c r="X82" i="6" s="1"/>
  <c r="BC163" i="8"/>
  <c r="BK163" i="8" s="1"/>
  <c r="X156" i="6" s="1"/>
  <c r="BC64" i="8"/>
  <c r="BK64" i="8" s="1"/>
  <c r="X57" i="6" s="1"/>
  <c r="BE99" i="8"/>
  <c r="BM99" i="8" s="1"/>
  <c r="Z92" i="6" s="1"/>
  <c r="BD66" i="8"/>
  <c r="BL66" i="8" s="1"/>
  <c r="Y59" i="6" s="1"/>
  <c r="BE134" i="8"/>
  <c r="BM134" i="8" s="1"/>
  <c r="Z127" i="6" s="1"/>
  <c r="BD118" i="8"/>
  <c r="BL118" i="8" s="1"/>
  <c r="Y111" i="6" s="1"/>
  <c r="BD110" i="8"/>
  <c r="BL110" i="8" s="1"/>
  <c r="Y103" i="6" s="1"/>
  <c r="BC114" i="8"/>
  <c r="BK114" i="8" s="1"/>
  <c r="X107" i="6" s="1"/>
  <c r="BD77" i="8"/>
  <c r="BL77" i="8" s="1"/>
  <c r="Y70" i="6" s="1"/>
  <c r="BC160" i="8"/>
  <c r="BK160" i="8" s="1"/>
  <c r="X153" i="6" s="1"/>
  <c r="BC73" i="8"/>
  <c r="BK73" i="8" s="1"/>
  <c r="X66" i="6" s="1"/>
  <c r="BC95" i="8"/>
  <c r="BK95" i="8" s="1"/>
  <c r="X88" i="6" s="1"/>
  <c r="BC130" i="8"/>
  <c r="BK130" i="8" s="1"/>
  <c r="X123" i="6" s="1"/>
  <c r="BC157" i="8"/>
  <c r="BK157" i="8" s="1"/>
  <c r="X150" i="6" s="1"/>
  <c r="BC45" i="8"/>
  <c r="BK45" i="8" s="1"/>
  <c r="X38" i="6" s="1"/>
  <c r="BC48" i="8"/>
  <c r="BK48" i="8" s="1"/>
  <c r="X41" i="6" s="1"/>
  <c r="BD116" i="8"/>
  <c r="BL116" i="8" s="1"/>
  <c r="Y109" i="6" s="1"/>
  <c r="BC71" i="8"/>
  <c r="BK71" i="8" s="1"/>
  <c r="X64" i="6" s="1"/>
  <c r="BC132" i="8"/>
  <c r="BK132" i="8" s="1"/>
  <c r="X125" i="6" s="1"/>
  <c r="BC33" i="8"/>
  <c r="BK33" i="8" s="1"/>
  <c r="X26" i="6" s="1"/>
  <c r="BC147" i="8"/>
  <c r="BK147" i="8" s="1"/>
  <c r="X140" i="6" s="1"/>
  <c r="BC105" i="8"/>
  <c r="BK105" i="8" s="1"/>
  <c r="X98" i="6" s="1"/>
  <c r="BC188" i="8"/>
  <c r="BK188" i="8" s="1"/>
  <c r="X181" i="6" s="1"/>
  <c r="BC106" i="8"/>
  <c r="BK106" i="8" s="1"/>
  <c r="X99" i="6" s="1"/>
  <c r="BC140" i="8"/>
  <c r="BK140" i="8" s="1"/>
  <c r="X133" i="6" s="1"/>
  <c r="BC185" i="8"/>
  <c r="BK185" i="8" s="1"/>
  <c r="X178" i="6" s="1"/>
  <c r="BC166" i="8"/>
  <c r="BK166" i="8" s="1"/>
  <c r="X159" i="6" s="1"/>
  <c r="BC120" i="8"/>
  <c r="BK120" i="8" s="1"/>
  <c r="X113" i="6" s="1"/>
  <c r="BC162" i="8"/>
  <c r="BK162" i="8" s="1"/>
  <c r="X155" i="6" s="1"/>
  <c r="BC63" i="8"/>
  <c r="BK63" i="8" s="1"/>
  <c r="X56" i="6" s="1"/>
  <c r="BC191" i="8"/>
  <c r="BK191" i="8" s="1"/>
  <c r="X184" i="6" s="1"/>
  <c r="BC170" i="8"/>
  <c r="BK170" i="8" s="1"/>
  <c r="X163" i="6" s="1"/>
  <c r="BC195" i="8"/>
  <c r="BK195" i="8" s="1"/>
  <c r="X188" i="6" s="1"/>
  <c r="BD142" i="8"/>
  <c r="BL142" i="8" s="1"/>
  <c r="Y135" i="6" s="1"/>
  <c r="BC182" i="8"/>
  <c r="BK182" i="8" s="1"/>
  <c r="X175" i="6" s="1"/>
  <c r="BC75" i="8"/>
  <c r="BK75" i="8" s="1"/>
  <c r="X68" i="6" s="1"/>
  <c r="BC93" i="8"/>
  <c r="BK93" i="8" s="1"/>
  <c r="X86" i="6" s="1"/>
  <c r="BC97" i="8"/>
  <c r="BK97" i="8" s="1"/>
  <c r="X90" i="6" s="1"/>
  <c r="BC143" i="8"/>
  <c r="BK143" i="8" s="1"/>
  <c r="X136" i="6" s="1"/>
  <c r="BC115" i="8"/>
  <c r="BK115" i="8" s="1"/>
  <c r="X108" i="6" s="1"/>
  <c r="BC54" i="8"/>
  <c r="BK54" i="8" s="1"/>
  <c r="X47" i="6" s="1"/>
  <c r="BC88" i="8"/>
  <c r="BK88" i="8" s="1"/>
  <c r="X81" i="6" s="1"/>
  <c r="BC90" i="8"/>
  <c r="BK90" i="8" s="1"/>
  <c r="X83" i="6" s="1"/>
  <c r="BD101" i="8" l="1"/>
  <c r="BL101" i="8" s="1"/>
  <c r="Y94" i="6" s="1"/>
  <c r="BD186" i="8"/>
  <c r="BL186" i="8" s="1"/>
  <c r="Y179" i="6" s="1"/>
  <c r="BD40" i="8"/>
  <c r="BL40" i="8" s="1"/>
  <c r="Y33" i="6" s="1"/>
  <c r="BD126" i="8"/>
  <c r="BL126" i="8" s="1"/>
  <c r="Y119" i="6" s="1"/>
  <c r="BD69" i="8"/>
  <c r="BL69" i="8" s="1"/>
  <c r="Y62" i="6" s="1"/>
  <c r="BD29" i="8"/>
  <c r="BL29" i="8" s="1"/>
  <c r="Y22" i="6" s="1"/>
  <c r="BD58" i="8"/>
  <c r="BL58" i="8" s="1"/>
  <c r="Y51" i="6" s="1"/>
  <c r="BD91" i="8"/>
  <c r="BL91" i="8" s="1"/>
  <c r="Y84" i="6" s="1"/>
  <c r="AY30" i="9"/>
  <c r="V23" i="6"/>
  <c r="BD82" i="8"/>
  <c r="BL82" i="8" s="1"/>
  <c r="Y75" i="6" s="1"/>
  <c r="BD168" i="8"/>
  <c r="BL168" i="8" s="1"/>
  <c r="Y161" i="6" s="1"/>
  <c r="BD193" i="8"/>
  <c r="BL193" i="8" s="1"/>
  <c r="Y186" i="6" s="1"/>
  <c r="BD138" i="8"/>
  <c r="BL138" i="8" s="1"/>
  <c r="Y131" i="6" s="1"/>
  <c r="BD167" i="8"/>
  <c r="BL167" i="8" s="1"/>
  <c r="Y160" i="6" s="1"/>
  <c r="BD178" i="8"/>
  <c r="BL178" i="8" s="1"/>
  <c r="Y171" i="6" s="1"/>
  <c r="BE125" i="8"/>
  <c r="BM125" i="8" s="1"/>
  <c r="Z118" i="6" s="1"/>
  <c r="BD50" i="8"/>
  <c r="BL50" i="8" s="1"/>
  <c r="Y43" i="6" s="1"/>
  <c r="BD98" i="8"/>
  <c r="BL98" i="8" s="1"/>
  <c r="Y91" i="6" s="1"/>
  <c r="BD107" i="8"/>
  <c r="BL107" i="8" s="1"/>
  <c r="Y100" i="6" s="1"/>
  <c r="BD153" i="8"/>
  <c r="BL153" i="8" s="1"/>
  <c r="Y146" i="6" s="1"/>
  <c r="BD47" i="8"/>
  <c r="BL47" i="8" s="1"/>
  <c r="Y40" i="6" s="1"/>
  <c r="BD173" i="8"/>
  <c r="BL173" i="8" s="1"/>
  <c r="Y166" i="6" s="1"/>
  <c r="BD83" i="8"/>
  <c r="BL83" i="8" s="1"/>
  <c r="Y76" i="6" s="1"/>
  <c r="BD123" i="8"/>
  <c r="BL123" i="8" s="1"/>
  <c r="Y116" i="6" s="1"/>
  <c r="BD180" i="8"/>
  <c r="BL180" i="8" s="1"/>
  <c r="Y173" i="6" s="1"/>
  <c r="BD133" i="8"/>
  <c r="BL133" i="8" s="1"/>
  <c r="Y126" i="6" s="1"/>
  <c r="BD149" i="8"/>
  <c r="BL149" i="8" s="1"/>
  <c r="Y142" i="6" s="1"/>
  <c r="BD174" i="8"/>
  <c r="BL174" i="8" s="1"/>
  <c r="Y167" i="6" s="1"/>
  <c r="BD68" i="8"/>
  <c r="BL68" i="8" s="1"/>
  <c r="Y61" i="6" s="1"/>
  <c r="AS27" i="9"/>
  <c r="AS17" i="9" s="1"/>
  <c r="AP17" i="9"/>
  <c r="AQ27" i="9"/>
  <c r="AT27" i="9"/>
  <c r="BD93" i="8"/>
  <c r="BL93" i="8" s="1"/>
  <c r="Y86" i="6" s="1"/>
  <c r="BD120" i="8"/>
  <c r="BL120" i="8" s="1"/>
  <c r="Y113" i="6" s="1"/>
  <c r="BD33" i="8"/>
  <c r="BL33" i="8" s="1"/>
  <c r="Y26" i="6" s="1"/>
  <c r="BD130" i="8"/>
  <c r="BL130" i="8" s="1"/>
  <c r="Y123" i="6" s="1"/>
  <c r="BD114" i="8"/>
  <c r="BL114" i="8" s="1"/>
  <c r="Y107" i="6" s="1"/>
  <c r="BD177" i="8"/>
  <c r="BL177" i="8" s="1"/>
  <c r="Y170" i="6" s="1"/>
  <c r="BD165" i="8"/>
  <c r="BL165" i="8" s="1"/>
  <c r="Y158" i="6" s="1"/>
  <c r="BD109" i="8"/>
  <c r="BL109" i="8" s="1"/>
  <c r="Y102" i="6" s="1"/>
  <c r="BD36" i="8"/>
  <c r="BL36" i="8" s="1"/>
  <c r="Y29" i="6" s="1"/>
  <c r="BD117" i="8"/>
  <c r="BL117" i="8" s="1"/>
  <c r="Y110" i="6" s="1"/>
  <c r="BD92" i="8"/>
  <c r="BL92" i="8" s="1"/>
  <c r="Y85" i="6" s="1"/>
  <c r="BD44" i="8"/>
  <c r="BL44" i="8" s="1"/>
  <c r="Y37" i="6" s="1"/>
  <c r="BE50" i="8"/>
  <c r="BM50" i="8" s="1"/>
  <c r="Z43" i="6" s="1"/>
  <c r="BD127" i="8"/>
  <c r="BL127" i="8" s="1"/>
  <c r="Y120" i="6" s="1"/>
  <c r="BD176" i="8"/>
  <c r="BL176" i="8" s="1"/>
  <c r="Y169" i="6" s="1"/>
  <c r="BE144" i="8"/>
  <c r="BM144" i="8" s="1"/>
  <c r="Z137" i="6" s="1"/>
  <c r="BD70" i="8"/>
  <c r="BL70" i="8" s="1"/>
  <c r="Y63" i="6" s="1"/>
  <c r="BD184" i="8"/>
  <c r="BL184" i="8" s="1"/>
  <c r="Y177" i="6" s="1"/>
  <c r="BE193" i="8"/>
  <c r="BM193" i="8" s="1"/>
  <c r="Z186" i="6" s="1"/>
  <c r="BD129" i="8"/>
  <c r="BL129" i="8" s="1"/>
  <c r="Y122" i="6" s="1"/>
  <c r="BE123" i="8"/>
  <c r="BM123" i="8" s="1"/>
  <c r="Z116" i="6" s="1"/>
  <c r="BD59" i="8"/>
  <c r="BL59" i="8" s="1"/>
  <c r="Y52" i="6" s="1"/>
  <c r="BD115" i="8"/>
  <c r="BL115" i="8" s="1"/>
  <c r="Y108" i="6" s="1"/>
  <c r="BD75" i="8"/>
  <c r="BL75" i="8" s="1"/>
  <c r="Y68" i="6" s="1"/>
  <c r="BD191" i="8"/>
  <c r="BL191" i="8" s="1"/>
  <c r="Y184" i="6" s="1"/>
  <c r="BD166" i="8"/>
  <c r="BL166" i="8" s="1"/>
  <c r="Y159" i="6" s="1"/>
  <c r="BD188" i="8"/>
  <c r="BL188" i="8" s="1"/>
  <c r="Y181" i="6" s="1"/>
  <c r="BD132" i="8"/>
  <c r="BL132" i="8" s="1"/>
  <c r="Y125" i="6" s="1"/>
  <c r="BD48" i="8"/>
  <c r="BL48" i="8" s="1"/>
  <c r="Y41" i="6" s="1"/>
  <c r="BD95" i="8"/>
  <c r="BL95" i="8" s="1"/>
  <c r="Y88" i="6" s="1"/>
  <c r="BE77" i="8"/>
  <c r="BM77" i="8" s="1"/>
  <c r="Z70" i="6" s="1"/>
  <c r="BE110" i="8"/>
  <c r="BM110" i="8" s="1"/>
  <c r="Z103" i="6" s="1"/>
  <c r="BE66" i="8"/>
  <c r="BM66" i="8" s="1"/>
  <c r="Z59" i="6" s="1"/>
  <c r="BD64" i="8"/>
  <c r="BL64" i="8" s="1"/>
  <c r="Y57" i="6" s="1"/>
  <c r="BD121" i="8"/>
  <c r="BL121" i="8" s="1"/>
  <c r="Y114" i="6" s="1"/>
  <c r="BD146" i="8"/>
  <c r="BL146" i="8" s="1"/>
  <c r="Y139" i="6" s="1"/>
  <c r="BD158" i="8"/>
  <c r="BL158" i="8" s="1"/>
  <c r="Y151" i="6" s="1"/>
  <c r="BF30" i="8"/>
  <c r="BN30" i="8" s="1"/>
  <c r="AA23" i="6" s="1"/>
  <c r="BD135" i="8"/>
  <c r="BL135" i="8" s="1"/>
  <c r="Y128" i="6" s="1"/>
  <c r="BD151" i="8"/>
  <c r="BL151" i="8" s="1"/>
  <c r="Y144" i="6" s="1"/>
  <c r="BD139" i="8"/>
  <c r="BL139" i="8" s="1"/>
  <c r="Y132" i="6" s="1"/>
  <c r="BD85" i="8"/>
  <c r="BL85" i="8" s="1"/>
  <c r="Y78" i="6" s="1"/>
  <c r="BD52" i="8"/>
  <c r="BL52" i="8" s="1"/>
  <c r="Y45" i="6" s="1"/>
  <c r="BE56" i="8"/>
  <c r="BM56" i="8" s="1"/>
  <c r="Z49" i="6" s="1"/>
  <c r="BE141" i="8"/>
  <c r="BM141" i="8" s="1"/>
  <c r="Z134" i="6" s="1"/>
  <c r="BE42" i="8"/>
  <c r="BM42" i="8" s="1"/>
  <c r="Z35" i="6" s="1"/>
  <c r="BD111" i="8"/>
  <c r="BL111" i="8" s="1"/>
  <c r="Y104" i="6" s="1"/>
  <c r="BD60" i="8"/>
  <c r="BL60" i="8" s="1"/>
  <c r="Y53" i="6" s="1"/>
  <c r="BD154" i="8"/>
  <c r="BL154" i="8" s="1"/>
  <c r="Y147" i="6" s="1"/>
  <c r="BE183" i="8"/>
  <c r="BM183" i="8" s="1"/>
  <c r="Z176" i="6" s="1"/>
  <c r="BE192" i="8"/>
  <c r="BM192" i="8" s="1"/>
  <c r="Z185" i="6" s="1"/>
  <c r="BD54" i="8"/>
  <c r="BL54" i="8" s="1"/>
  <c r="Y47" i="6" s="1"/>
  <c r="BD170" i="8"/>
  <c r="BL170" i="8" s="1"/>
  <c r="Y163" i="6" s="1"/>
  <c r="BD106" i="8"/>
  <c r="BL106" i="8" s="1"/>
  <c r="Y99" i="6" s="1"/>
  <c r="BE126" i="8"/>
  <c r="BM126" i="8" s="1"/>
  <c r="Z119" i="6" s="1"/>
  <c r="BD161" i="8"/>
  <c r="BL161" i="8" s="1"/>
  <c r="Y154" i="6" s="1"/>
  <c r="BE136" i="8"/>
  <c r="BM136" i="8" s="1"/>
  <c r="Z129" i="6" s="1"/>
  <c r="BD79" i="8"/>
  <c r="BL79" i="8" s="1"/>
  <c r="Y72" i="6" s="1"/>
  <c r="BE76" i="8"/>
  <c r="BM76" i="8" s="1"/>
  <c r="Z69" i="6" s="1"/>
  <c r="BD87" i="8"/>
  <c r="BL87" i="8" s="1"/>
  <c r="Y80" i="6" s="1"/>
  <c r="BD74" i="8"/>
  <c r="BL74" i="8" s="1"/>
  <c r="Y67" i="6" s="1"/>
  <c r="BD112" i="8"/>
  <c r="BL112" i="8" s="1"/>
  <c r="Y105" i="6" s="1"/>
  <c r="BE187" i="8"/>
  <c r="BM187" i="8" s="1"/>
  <c r="Z180" i="6" s="1"/>
  <c r="BE137" i="8"/>
  <c r="BM137" i="8" s="1"/>
  <c r="Z130" i="6" s="1"/>
  <c r="BD41" i="8"/>
  <c r="BL41" i="8" s="1"/>
  <c r="Y34" i="6" s="1"/>
  <c r="BD194" i="8"/>
  <c r="BL194" i="8" s="1"/>
  <c r="Y187" i="6" s="1"/>
  <c r="BD43" i="8"/>
  <c r="BL43" i="8" s="1"/>
  <c r="Y36" i="6" s="1"/>
  <c r="BD124" i="8"/>
  <c r="BL124" i="8" s="1"/>
  <c r="Y117" i="6" s="1"/>
  <c r="BD94" i="8"/>
  <c r="BL94" i="8" s="1"/>
  <c r="Y87" i="6" s="1"/>
  <c r="BD90" i="8"/>
  <c r="BL90" i="8" s="1"/>
  <c r="Y83" i="6" s="1"/>
  <c r="BD143" i="8"/>
  <c r="BL143" i="8" s="1"/>
  <c r="Y136" i="6" s="1"/>
  <c r="BD182" i="8"/>
  <c r="BL182" i="8" s="1"/>
  <c r="Y175" i="6" s="1"/>
  <c r="BE101" i="8"/>
  <c r="BM101" i="8" s="1"/>
  <c r="Z94" i="6" s="1"/>
  <c r="BD63" i="8"/>
  <c r="BL63" i="8" s="1"/>
  <c r="Y56" i="6" s="1"/>
  <c r="BD185" i="8"/>
  <c r="BL185" i="8" s="1"/>
  <c r="Y178" i="6" s="1"/>
  <c r="BD105" i="8"/>
  <c r="BL105" i="8" s="1"/>
  <c r="Y98" i="6" s="1"/>
  <c r="BD71" i="8"/>
  <c r="BL71" i="8" s="1"/>
  <c r="Y64" i="6" s="1"/>
  <c r="BD45" i="8"/>
  <c r="BL45" i="8" s="1"/>
  <c r="Y38" i="6" s="1"/>
  <c r="BD73" i="8"/>
  <c r="BL73" i="8" s="1"/>
  <c r="Y66" i="6" s="1"/>
  <c r="BE118" i="8"/>
  <c r="BM118" i="8" s="1"/>
  <c r="Z111" i="6" s="1"/>
  <c r="BD163" i="8"/>
  <c r="BL163" i="8" s="1"/>
  <c r="Y156" i="6" s="1"/>
  <c r="BD171" i="8"/>
  <c r="BL171" i="8" s="1"/>
  <c r="Y164" i="6" s="1"/>
  <c r="BD108" i="8"/>
  <c r="BL108" i="8" s="1"/>
  <c r="Y101" i="6" s="1"/>
  <c r="BD100" i="8"/>
  <c r="BL100" i="8" s="1"/>
  <c r="Y93" i="6" s="1"/>
  <c r="BE82" i="8"/>
  <c r="BM82" i="8" s="1"/>
  <c r="Z75" i="6" s="1"/>
  <c r="BD67" i="8"/>
  <c r="BL67" i="8" s="1"/>
  <c r="Y60" i="6" s="1"/>
  <c r="BF125" i="8"/>
  <c r="BN125" i="8" s="1"/>
  <c r="AA118" i="6" s="1"/>
  <c r="BD113" i="8"/>
  <c r="BL113" i="8" s="1"/>
  <c r="Y106" i="6" s="1"/>
  <c r="BD39" i="8"/>
  <c r="BL39" i="8" s="1"/>
  <c r="Y32" i="6" s="1"/>
  <c r="BD159" i="8"/>
  <c r="BL159" i="8" s="1"/>
  <c r="Y152" i="6" s="1"/>
  <c r="BD38" i="8"/>
  <c r="BL38" i="8" s="1"/>
  <c r="Y31" i="6" s="1"/>
  <c r="BF122" i="8"/>
  <c r="BN122" i="8" s="1"/>
  <c r="AA115" i="6" s="1"/>
  <c r="BF104" i="8"/>
  <c r="BN104" i="8" s="1"/>
  <c r="AA97" i="6" s="1"/>
  <c r="BD84" i="8"/>
  <c r="BL84" i="8" s="1"/>
  <c r="Y77" i="6" s="1"/>
  <c r="BD78" i="8"/>
  <c r="BL78" i="8" s="1"/>
  <c r="Y71" i="6" s="1"/>
  <c r="BD145" i="8"/>
  <c r="BL145" i="8" s="1"/>
  <c r="Y138" i="6" s="1"/>
  <c r="BD62" i="8"/>
  <c r="BL62" i="8" s="1"/>
  <c r="Y55" i="6" s="1"/>
  <c r="BD119" i="8"/>
  <c r="BL119" i="8" s="1"/>
  <c r="Y112" i="6" s="1"/>
  <c r="BE186" i="8"/>
  <c r="BM186" i="8" s="1"/>
  <c r="Z179" i="6" s="1"/>
  <c r="BD37" i="8"/>
  <c r="BL37" i="8" s="1"/>
  <c r="Y30" i="6" s="1"/>
  <c r="BD81" i="8"/>
  <c r="BL81" i="8" s="1"/>
  <c r="Y74" i="6" s="1"/>
  <c r="BE149" i="8"/>
  <c r="BM149" i="8" s="1"/>
  <c r="Z142" i="6" s="1"/>
  <c r="BD49" i="8"/>
  <c r="BL49" i="8" s="1"/>
  <c r="Y42" i="6" s="1"/>
  <c r="BD32" i="8"/>
  <c r="BL32" i="8" s="1"/>
  <c r="Y25" i="6" s="1"/>
  <c r="BE102" i="8"/>
  <c r="BM102" i="8" s="1"/>
  <c r="Z95" i="6" s="1"/>
  <c r="BD181" i="8"/>
  <c r="BL181" i="8" s="1"/>
  <c r="Y174" i="6" s="1"/>
  <c r="BD96" i="8"/>
  <c r="BL96" i="8" s="1"/>
  <c r="Y89" i="6" s="1"/>
  <c r="BD103" i="8"/>
  <c r="BL103" i="8" s="1"/>
  <c r="Y96" i="6" s="1"/>
  <c r="BD164" i="8"/>
  <c r="BL164" i="8" s="1"/>
  <c r="Y157" i="6" s="1"/>
  <c r="BD172" i="8"/>
  <c r="BL172" i="8" s="1"/>
  <c r="Y165" i="6" s="1"/>
  <c r="BE98" i="8"/>
  <c r="BM98" i="8" s="1"/>
  <c r="Z91" i="6" s="1"/>
  <c r="BD131" i="8"/>
  <c r="BL131" i="8" s="1"/>
  <c r="Y124" i="6" s="1"/>
  <c r="BE168" i="8"/>
  <c r="BM168" i="8" s="1"/>
  <c r="Z161" i="6" s="1"/>
  <c r="BD61" i="8"/>
  <c r="BL61" i="8" s="1"/>
  <c r="Y54" i="6" s="1"/>
  <c r="BD72" i="8"/>
  <c r="BL72" i="8" s="1"/>
  <c r="Y65" i="6" s="1"/>
  <c r="BE53" i="8"/>
  <c r="BM53" i="8" s="1"/>
  <c r="Z46" i="6" s="1"/>
  <c r="BD57" i="8"/>
  <c r="BL57" i="8" s="1"/>
  <c r="Y50" i="6" s="1"/>
  <c r="BE29" i="8"/>
  <c r="BM29" i="8" s="1"/>
  <c r="Z22" i="6" s="1"/>
  <c r="BD156" i="8"/>
  <c r="BL156" i="8" s="1"/>
  <c r="Y149" i="6" s="1"/>
  <c r="BD148" i="8"/>
  <c r="BL148" i="8" s="1"/>
  <c r="Y141" i="6" s="1"/>
  <c r="BE34" i="8"/>
  <c r="BM34" i="8" s="1"/>
  <c r="Z27" i="6" s="1"/>
  <c r="BD190" i="8"/>
  <c r="BL190" i="8" s="1"/>
  <c r="Y183" i="6" s="1"/>
  <c r="BE28" i="8"/>
  <c r="BM28" i="8" s="1"/>
  <c r="Z21" i="6" s="1"/>
  <c r="BE107" i="8"/>
  <c r="BM107" i="8" s="1"/>
  <c r="Z100" i="6" s="1"/>
  <c r="BD55" i="8"/>
  <c r="BL55" i="8" s="1"/>
  <c r="Y48" i="6" s="1"/>
  <c r="BD152" i="8"/>
  <c r="BL152" i="8" s="1"/>
  <c r="Y145" i="6" s="1"/>
  <c r="BE31" i="8"/>
  <c r="BM31" i="8" s="1"/>
  <c r="Z24" i="6" s="1"/>
  <c r="BD46" i="8"/>
  <c r="BL46" i="8" s="1"/>
  <c r="Y39" i="6" s="1"/>
  <c r="BD88" i="8"/>
  <c r="BL88" i="8" s="1"/>
  <c r="Y81" i="6" s="1"/>
  <c r="BD97" i="8"/>
  <c r="BL97" i="8" s="1"/>
  <c r="Y90" i="6" s="1"/>
  <c r="BE142" i="8"/>
  <c r="BM142" i="8" s="1"/>
  <c r="Z135" i="6" s="1"/>
  <c r="BD195" i="8"/>
  <c r="BL195" i="8" s="1"/>
  <c r="Y188" i="6" s="1"/>
  <c r="BD162" i="8"/>
  <c r="BL162" i="8" s="1"/>
  <c r="Y155" i="6" s="1"/>
  <c r="BD140" i="8"/>
  <c r="BL140" i="8" s="1"/>
  <c r="Y133" i="6" s="1"/>
  <c r="BD147" i="8"/>
  <c r="BL147" i="8" s="1"/>
  <c r="Y140" i="6" s="1"/>
  <c r="BE116" i="8"/>
  <c r="BM116" i="8" s="1"/>
  <c r="Z109" i="6" s="1"/>
  <c r="BD157" i="8"/>
  <c r="BL157" i="8" s="1"/>
  <c r="Y150" i="6" s="1"/>
  <c r="BD160" i="8"/>
  <c r="BL160" i="8" s="1"/>
  <c r="Y153" i="6" s="1"/>
  <c r="BF134" i="8"/>
  <c r="BN134" i="8" s="1"/>
  <c r="AA127" i="6" s="1"/>
  <c r="BF99" i="8"/>
  <c r="BN99" i="8" s="1"/>
  <c r="AA92" i="6" s="1"/>
  <c r="BD89" i="8"/>
  <c r="BL89" i="8" s="1"/>
  <c r="Y82" i="6" s="1"/>
  <c r="BD189" i="8"/>
  <c r="BL189" i="8" s="1"/>
  <c r="Y182" i="6" s="1"/>
  <c r="BD169" i="8"/>
  <c r="BL169" i="8" s="1"/>
  <c r="Y162" i="6" s="1"/>
  <c r="BD80" i="8"/>
  <c r="BL80" i="8" s="1"/>
  <c r="Y73" i="6" s="1"/>
  <c r="BD179" i="8"/>
  <c r="BL179" i="8" s="1"/>
  <c r="Y172" i="6" s="1"/>
  <c r="BE40" i="8"/>
  <c r="BM40" i="8" s="1"/>
  <c r="Z33" i="6" s="1"/>
  <c r="BD155" i="8"/>
  <c r="BL155" i="8" s="1"/>
  <c r="Y148" i="6" s="1"/>
  <c r="BD175" i="8"/>
  <c r="BL175" i="8" s="1"/>
  <c r="Y168" i="6" s="1"/>
  <c r="BD86" i="8"/>
  <c r="BL86" i="8" s="1"/>
  <c r="Y79" i="6" s="1"/>
  <c r="BD35" i="8"/>
  <c r="BL35" i="8" s="1"/>
  <c r="Y28" i="6" s="1"/>
  <c r="BD128" i="8"/>
  <c r="BL128" i="8" s="1"/>
  <c r="Y121" i="6" s="1"/>
  <c r="BD150" i="8"/>
  <c r="BL150" i="8" s="1"/>
  <c r="Y143" i="6" s="1"/>
  <c r="AS27" i="8"/>
  <c r="AS17" i="8" s="1"/>
  <c r="AP17" i="8"/>
  <c r="AQ27" i="8"/>
  <c r="BQ27" i="8" s="1"/>
  <c r="AD20" i="6" s="1"/>
  <c r="AT27" i="8"/>
  <c r="BI27" i="8"/>
  <c r="BE51" i="8"/>
  <c r="BM51" i="8" s="1"/>
  <c r="Z44" i="6" s="1"/>
  <c r="BD65" i="8"/>
  <c r="BL65" i="8" s="1"/>
  <c r="Y58" i="6" s="1"/>
  <c r="BE47" i="8" l="1"/>
  <c r="BM47" i="8" s="1"/>
  <c r="Z40" i="6" s="1"/>
  <c r="BE58" i="8"/>
  <c r="BM58" i="8" s="1"/>
  <c r="Z51" i="6" s="1"/>
  <c r="BE180" i="8"/>
  <c r="BM180" i="8" s="1"/>
  <c r="Z173" i="6" s="1"/>
  <c r="BE138" i="8"/>
  <c r="BM138" i="8" s="1"/>
  <c r="Z131" i="6" s="1"/>
  <c r="BE83" i="8"/>
  <c r="BM83" i="8" s="1"/>
  <c r="Z76" i="6" s="1"/>
  <c r="BE173" i="8"/>
  <c r="BM173" i="8" s="1"/>
  <c r="Z166" i="6" s="1"/>
  <c r="BE91" i="8"/>
  <c r="BM91" i="8" s="1"/>
  <c r="Z84" i="6" s="1"/>
  <c r="BE167" i="8"/>
  <c r="BM167" i="8" s="1"/>
  <c r="Z160" i="6" s="1"/>
  <c r="BE153" i="8"/>
  <c r="BM153" i="8" s="1"/>
  <c r="Z146" i="6" s="1"/>
  <c r="BE69" i="8"/>
  <c r="BM69" i="8" s="1"/>
  <c r="Z62" i="6" s="1"/>
  <c r="K123" i="1"/>
  <c r="K91" i="1"/>
  <c r="AD15" i="6"/>
  <c r="BE178" i="8"/>
  <c r="BM178" i="8" s="1"/>
  <c r="Z171" i="6" s="1"/>
  <c r="BF178" i="8"/>
  <c r="BN178" i="8" s="1"/>
  <c r="AA171" i="6" s="1"/>
  <c r="BE133" i="8"/>
  <c r="BM133" i="8" s="1"/>
  <c r="Z126" i="6" s="1"/>
  <c r="AQ17" i="9"/>
  <c r="AQ9" i="9" s="1"/>
  <c r="I20" i="6"/>
  <c r="I15" i="6" s="1"/>
  <c r="BI22" i="8"/>
  <c r="BE68" i="8"/>
  <c r="BM68" i="8" s="1"/>
  <c r="Z61" i="6" s="1"/>
  <c r="BE174" i="8"/>
  <c r="BM174" i="8" s="1"/>
  <c r="Z167" i="6" s="1"/>
  <c r="AV27" i="9"/>
  <c r="AV17" i="9" s="1"/>
  <c r="AW27" i="9"/>
  <c r="BF83" i="8"/>
  <c r="BN83" i="8" s="1"/>
  <c r="AA76" i="6" s="1"/>
  <c r="BF51" i="8"/>
  <c r="BN51" i="8" s="1"/>
  <c r="AA44" i="6" s="1"/>
  <c r="BE175" i="8"/>
  <c r="BM175" i="8" s="1"/>
  <c r="Z168" i="6" s="1"/>
  <c r="BE80" i="8"/>
  <c r="BM80" i="8" s="1"/>
  <c r="Z73" i="6" s="1"/>
  <c r="BG99" i="8"/>
  <c r="BO99" i="8" s="1"/>
  <c r="AB92" i="6" s="1"/>
  <c r="BE157" i="8"/>
  <c r="BM157" i="8" s="1"/>
  <c r="Z150" i="6" s="1"/>
  <c r="BE162" i="8"/>
  <c r="BM162" i="8" s="1"/>
  <c r="Z155" i="6" s="1"/>
  <c r="BE88" i="8"/>
  <c r="BM88" i="8" s="1"/>
  <c r="Z81" i="6" s="1"/>
  <c r="BE152" i="8"/>
  <c r="BM152" i="8" s="1"/>
  <c r="Z145" i="6" s="1"/>
  <c r="BE156" i="8"/>
  <c r="BM156" i="8" s="1"/>
  <c r="Z149" i="6" s="1"/>
  <c r="BF53" i="8"/>
  <c r="BN53" i="8" s="1"/>
  <c r="AA46" i="6" s="1"/>
  <c r="BE131" i="8"/>
  <c r="BM131" i="8" s="1"/>
  <c r="Z124" i="6" s="1"/>
  <c r="BE103" i="8"/>
  <c r="BM103" i="8" s="1"/>
  <c r="Z96" i="6" s="1"/>
  <c r="BE32" i="8"/>
  <c r="BM32" i="8" s="1"/>
  <c r="Z25" i="6" s="1"/>
  <c r="BF186" i="8"/>
  <c r="BN186" i="8" s="1"/>
  <c r="AA179" i="6" s="1"/>
  <c r="BE78" i="8"/>
  <c r="BM78" i="8" s="1"/>
  <c r="Z71" i="6" s="1"/>
  <c r="BE38" i="8"/>
  <c r="BM38" i="8" s="1"/>
  <c r="Z31" i="6" s="1"/>
  <c r="BG125" i="8"/>
  <c r="BO125" i="8" s="1"/>
  <c r="AB118" i="6" s="1"/>
  <c r="BE108" i="8"/>
  <c r="BM108" i="8" s="1"/>
  <c r="Z101" i="6" s="1"/>
  <c r="BF118" i="8"/>
  <c r="BN118" i="8" s="1"/>
  <c r="AA111" i="6" s="1"/>
  <c r="BE105" i="8"/>
  <c r="BM105" i="8" s="1"/>
  <c r="Z98" i="6" s="1"/>
  <c r="BE182" i="8"/>
  <c r="BM182" i="8" s="1"/>
  <c r="Z175" i="6" s="1"/>
  <c r="BE124" i="8"/>
  <c r="BM124" i="8" s="1"/>
  <c r="Z117" i="6" s="1"/>
  <c r="BE41" i="8"/>
  <c r="BM41" i="8" s="1"/>
  <c r="Z34" i="6" s="1"/>
  <c r="BE74" i="8"/>
  <c r="BM74" i="8" s="1"/>
  <c r="Z67" i="6" s="1"/>
  <c r="BE79" i="8"/>
  <c r="BM79" i="8" s="1"/>
  <c r="Z72" i="6" s="1"/>
  <c r="BF126" i="8"/>
  <c r="BN126" i="8" s="1"/>
  <c r="AA119" i="6" s="1"/>
  <c r="BF192" i="8"/>
  <c r="BN192" i="8" s="1"/>
  <c r="AA185" i="6" s="1"/>
  <c r="BE111" i="8"/>
  <c r="BM111" i="8" s="1"/>
  <c r="Z104" i="6" s="1"/>
  <c r="BF56" i="8"/>
  <c r="BN56" i="8" s="1"/>
  <c r="AA49" i="6" s="1"/>
  <c r="BG30" i="8"/>
  <c r="BO30" i="8" s="1"/>
  <c r="AB23" i="6" s="1"/>
  <c r="BE64" i="8"/>
  <c r="BM64" i="8" s="1"/>
  <c r="Z57" i="6" s="1"/>
  <c r="BE95" i="8"/>
  <c r="BM95" i="8" s="1"/>
  <c r="Z88" i="6" s="1"/>
  <c r="BE166" i="8"/>
  <c r="BM166" i="8" s="1"/>
  <c r="Z159" i="6" s="1"/>
  <c r="BE115" i="8"/>
  <c r="BM115" i="8" s="1"/>
  <c r="Z108" i="6" s="1"/>
  <c r="BF193" i="8"/>
  <c r="BN193" i="8" s="1"/>
  <c r="AA186" i="6" s="1"/>
  <c r="BF144" i="8"/>
  <c r="BN144" i="8" s="1"/>
  <c r="AA137" i="6" s="1"/>
  <c r="BE44" i="8"/>
  <c r="BM44" i="8" s="1"/>
  <c r="Z37" i="6" s="1"/>
  <c r="BE109" i="8"/>
  <c r="BM109" i="8" s="1"/>
  <c r="Z102" i="6" s="1"/>
  <c r="BE120" i="8"/>
  <c r="BM120" i="8" s="1"/>
  <c r="Z113" i="6" s="1"/>
  <c r="BE65" i="8"/>
  <c r="BM65" i="8" s="1"/>
  <c r="Z58" i="6" s="1"/>
  <c r="BQ22" i="8"/>
  <c r="AQ17" i="8"/>
  <c r="AQ9" i="8" s="1"/>
  <c r="BE35" i="8"/>
  <c r="BM35" i="8" s="1"/>
  <c r="Z28" i="6" s="1"/>
  <c r="BF40" i="8"/>
  <c r="BN40" i="8" s="1"/>
  <c r="AA33" i="6" s="1"/>
  <c r="BE189" i="8"/>
  <c r="BM189" i="8" s="1"/>
  <c r="Z182" i="6" s="1"/>
  <c r="BF58" i="8"/>
  <c r="BN58" i="8" s="1"/>
  <c r="AA51" i="6" s="1"/>
  <c r="BE147" i="8"/>
  <c r="BM147" i="8" s="1"/>
  <c r="Z140" i="6" s="1"/>
  <c r="BF142" i="8"/>
  <c r="BN142" i="8" s="1"/>
  <c r="AA135" i="6" s="1"/>
  <c r="BF31" i="8"/>
  <c r="BN31" i="8" s="1"/>
  <c r="AA24" i="6" s="1"/>
  <c r="BF107" i="8"/>
  <c r="BN107" i="8" s="1"/>
  <c r="AA100" i="6" s="1"/>
  <c r="BF34" i="8"/>
  <c r="BN34" i="8" s="1"/>
  <c r="AA27" i="6" s="1"/>
  <c r="BE61" i="8"/>
  <c r="BM61" i="8" s="1"/>
  <c r="Z54" i="6" s="1"/>
  <c r="BE172" i="8"/>
  <c r="BM172" i="8" s="1"/>
  <c r="Z165" i="6" s="1"/>
  <c r="BE181" i="8"/>
  <c r="BM181" i="8" s="1"/>
  <c r="Z174" i="6" s="1"/>
  <c r="BF149" i="8"/>
  <c r="BN149" i="8" s="1"/>
  <c r="AA142" i="6" s="1"/>
  <c r="BE81" i="8"/>
  <c r="BM81" i="8" s="1"/>
  <c r="Z74" i="6" s="1"/>
  <c r="BE62" i="8"/>
  <c r="BM62" i="8" s="1"/>
  <c r="Z55" i="6" s="1"/>
  <c r="BG104" i="8"/>
  <c r="BO104" i="8" s="1"/>
  <c r="AB97" i="6" s="1"/>
  <c r="BE39" i="8"/>
  <c r="BM39" i="8" s="1"/>
  <c r="Z32" i="6" s="1"/>
  <c r="BF82" i="8"/>
  <c r="BN82" i="8" s="1"/>
  <c r="AA75" i="6" s="1"/>
  <c r="BE171" i="8"/>
  <c r="BM171" i="8" s="1"/>
  <c r="Z164" i="6" s="1"/>
  <c r="BE45" i="8"/>
  <c r="BM45" i="8" s="1"/>
  <c r="Z38" i="6" s="1"/>
  <c r="BE63" i="8"/>
  <c r="BM63" i="8" s="1"/>
  <c r="Z56" i="6" s="1"/>
  <c r="BE90" i="8"/>
  <c r="BM90" i="8" s="1"/>
  <c r="Z83" i="6" s="1"/>
  <c r="BF187" i="8"/>
  <c r="BN187" i="8" s="1"/>
  <c r="AA180" i="6" s="1"/>
  <c r="BF153" i="8"/>
  <c r="BN153" i="8" s="1"/>
  <c r="AA146" i="6" s="1"/>
  <c r="BF136" i="8"/>
  <c r="BN136" i="8" s="1"/>
  <c r="AA129" i="6" s="1"/>
  <c r="BE170" i="8"/>
  <c r="BM170" i="8" s="1"/>
  <c r="Z163" i="6" s="1"/>
  <c r="BE154" i="8"/>
  <c r="BM154" i="8" s="1"/>
  <c r="Z147" i="6" s="1"/>
  <c r="BF141" i="8"/>
  <c r="BN141" i="8" s="1"/>
  <c r="AA134" i="6" s="1"/>
  <c r="BE85" i="8"/>
  <c r="BM85" i="8" s="1"/>
  <c r="Z78" i="6" s="1"/>
  <c r="BE151" i="8"/>
  <c r="BM151" i="8" s="1"/>
  <c r="Z144" i="6" s="1"/>
  <c r="BE146" i="8"/>
  <c r="BM146" i="8" s="1"/>
  <c r="Z139" i="6" s="1"/>
  <c r="BF110" i="8"/>
  <c r="BN110" i="8" s="1"/>
  <c r="AA103" i="6" s="1"/>
  <c r="BE132" i="8"/>
  <c r="BM132" i="8" s="1"/>
  <c r="Z125" i="6" s="1"/>
  <c r="BF180" i="8"/>
  <c r="BN180" i="8" s="1"/>
  <c r="AA173" i="6" s="1"/>
  <c r="BF123" i="8"/>
  <c r="BN123" i="8" s="1"/>
  <c r="AA116" i="6" s="1"/>
  <c r="BE184" i="8"/>
  <c r="BM184" i="8" s="1"/>
  <c r="Z177" i="6" s="1"/>
  <c r="BE127" i="8"/>
  <c r="BM127" i="8" s="1"/>
  <c r="Z120" i="6" s="1"/>
  <c r="BE117" i="8"/>
  <c r="BM117" i="8" s="1"/>
  <c r="Z110" i="6" s="1"/>
  <c r="BE177" i="8"/>
  <c r="BM177" i="8" s="1"/>
  <c r="Z170" i="6" s="1"/>
  <c r="BE130" i="8"/>
  <c r="BM130" i="8" s="1"/>
  <c r="Z123" i="6" s="1"/>
  <c r="AV27" i="8"/>
  <c r="AV17" i="8" s="1"/>
  <c r="AW27" i="8"/>
  <c r="BE150" i="8"/>
  <c r="BM150" i="8" s="1"/>
  <c r="Z143" i="6" s="1"/>
  <c r="BE128" i="8"/>
  <c r="BM128" i="8" s="1"/>
  <c r="Z121" i="6" s="1"/>
  <c r="BE86" i="8"/>
  <c r="BM86" i="8" s="1"/>
  <c r="Z79" i="6" s="1"/>
  <c r="BE155" i="8"/>
  <c r="BM155" i="8" s="1"/>
  <c r="Z148" i="6" s="1"/>
  <c r="BE179" i="8"/>
  <c r="BM179" i="8" s="1"/>
  <c r="Z172" i="6" s="1"/>
  <c r="BE169" i="8"/>
  <c r="BM169" i="8" s="1"/>
  <c r="Z162" i="6" s="1"/>
  <c r="BE89" i="8"/>
  <c r="BM89" i="8" s="1"/>
  <c r="Z82" i="6" s="1"/>
  <c r="BG134" i="8"/>
  <c r="BO134" i="8" s="1"/>
  <c r="AB127" i="6" s="1"/>
  <c r="BE160" i="8"/>
  <c r="BM160" i="8" s="1"/>
  <c r="Z153" i="6" s="1"/>
  <c r="BF116" i="8"/>
  <c r="BN116" i="8" s="1"/>
  <c r="AA109" i="6" s="1"/>
  <c r="BE140" i="8"/>
  <c r="BM140" i="8" s="1"/>
  <c r="Z133" i="6" s="1"/>
  <c r="BE195" i="8"/>
  <c r="BM195" i="8" s="1"/>
  <c r="Z188" i="6" s="1"/>
  <c r="BE97" i="8"/>
  <c r="BM97" i="8" s="1"/>
  <c r="Z90" i="6" s="1"/>
  <c r="BE46" i="8"/>
  <c r="BM46" i="8" s="1"/>
  <c r="Z39" i="6" s="1"/>
  <c r="BE55" i="8"/>
  <c r="BM55" i="8" s="1"/>
  <c r="Z48" i="6" s="1"/>
  <c r="BF28" i="8"/>
  <c r="BN28" i="8" s="1"/>
  <c r="AA21" i="6" s="1"/>
  <c r="BE190" i="8"/>
  <c r="BM190" i="8" s="1"/>
  <c r="Z183" i="6" s="1"/>
  <c r="BE148" i="8"/>
  <c r="BM148" i="8" s="1"/>
  <c r="Z141" i="6" s="1"/>
  <c r="BF29" i="8"/>
  <c r="BN29" i="8" s="1"/>
  <c r="AA22" i="6" s="1"/>
  <c r="BE57" i="8"/>
  <c r="BM57" i="8" s="1"/>
  <c r="Z50" i="6" s="1"/>
  <c r="BE72" i="8"/>
  <c r="BM72" i="8" s="1"/>
  <c r="Z65" i="6" s="1"/>
  <c r="BF168" i="8"/>
  <c r="BN168" i="8" s="1"/>
  <c r="AA161" i="6" s="1"/>
  <c r="BF98" i="8"/>
  <c r="BN98" i="8" s="1"/>
  <c r="AA91" i="6" s="1"/>
  <c r="BE164" i="8"/>
  <c r="BM164" i="8" s="1"/>
  <c r="Z157" i="6" s="1"/>
  <c r="BE96" i="8"/>
  <c r="BM96" i="8" s="1"/>
  <c r="Z89" i="6" s="1"/>
  <c r="BF102" i="8"/>
  <c r="BN102" i="8" s="1"/>
  <c r="AA95" i="6" s="1"/>
  <c r="BE49" i="8"/>
  <c r="BM49" i="8" s="1"/>
  <c r="Z42" i="6" s="1"/>
  <c r="BF138" i="8"/>
  <c r="BN138" i="8" s="1"/>
  <c r="AA131" i="6" s="1"/>
  <c r="BE37" i="8"/>
  <c r="BM37" i="8" s="1"/>
  <c r="Z30" i="6" s="1"/>
  <c r="BE119" i="8"/>
  <c r="BM119" i="8" s="1"/>
  <c r="Z112" i="6" s="1"/>
  <c r="BE145" i="8"/>
  <c r="BM145" i="8" s="1"/>
  <c r="Z138" i="6" s="1"/>
  <c r="BE84" i="8"/>
  <c r="BM84" i="8" s="1"/>
  <c r="Z77" i="6" s="1"/>
  <c r="BG122" i="8"/>
  <c r="BO122" i="8" s="1"/>
  <c r="AB115" i="6" s="1"/>
  <c r="BE159" i="8"/>
  <c r="BM159" i="8" s="1"/>
  <c r="Z152" i="6" s="1"/>
  <c r="BE113" i="8"/>
  <c r="BM113" i="8" s="1"/>
  <c r="Z106" i="6" s="1"/>
  <c r="BE67" i="8"/>
  <c r="BM67" i="8" s="1"/>
  <c r="Z60" i="6" s="1"/>
  <c r="BE100" i="8"/>
  <c r="BM100" i="8" s="1"/>
  <c r="Z93" i="6" s="1"/>
  <c r="BE163" i="8"/>
  <c r="BM163" i="8" s="1"/>
  <c r="Z156" i="6" s="1"/>
  <c r="BE73" i="8"/>
  <c r="BM73" i="8" s="1"/>
  <c r="Z66" i="6" s="1"/>
  <c r="BE71" i="8"/>
  <c r="BM71" i="8" s="1"/>
  <c r="Z64" i="6" s="1"/>
  <c r="BE185" i="8"/>
  <c r="BM185" i="8" s="1"/>
  <c r="Z178" i="6" s="1"/>
  <c r="BF101" i="8"/>
  <c r="BN101" i="8" s="1"/>
  <c r="AA94" i="6" s="1"/>
  <c r="BE143" i="8"/>
  <c r="BM143" i="8" s="1"/>
  <c r="Z136" i="6" s="1"/>
  <c r="BE94" i="8"/>
  <c r="BM94" i="8" s="1"/>
  <c r="Z87" i="6" s="1"/>
  <c r="BE43" i="8"/>
  <c r="BM43" i="8" s="1"/>
  <c r="Z36" i="6" s="1"/>
  <c r="BE194" i="8"/>
  <c r="BM194" i="8" s="1"/>
  <c r="Z187" i="6" s="1"/>
  <c r="BF137" i="8"/>
  <c r="BN137" i="8" s="1"/>
  <c r="AA130" i="6" s="1"/>
  <c r="BE112" i="8"/>
  <c r="BM112" i="8" s="1"/>
  <c r="Z105" i="6" s="1"/>
  <c r="BE87" i="8"/>
  <c r="BM87" i="8" s="1"/>
  <c r="Z80" i="6" s="1"/>
  <c r="BF76" i="8"/>
  <c r="BN76" i="8" s="1"/>
  <c r="AA69" i="6" s="1"/>
  <c r="BE161" i="8"/>
  <c r="BM161" i="8" s="1"/>
  <c r="Z154" i="6" s="1"/>
  <c r="BE106" i="8"/>
  <c r="BM106" i="8" s="1"/>
  <c r="Z99" i="6" s="1"/>
  <c r="BE54" i="8"/>
  <c r="BM54" i="8" s="1"/>
  <c r="Z47" i="6" s="1"/>
  <c r="BF183" i="8"/>
  <c r="BN183" i="8" s="1"/>
  <c r="AA176" i="6" s="1"/>
  <c r="BE60" i="8"/>
  <c r="BM60" i="8" s="1"/>
  <c r="Z53" i="6" s="1"/>
  <c r="BF42" i="8"/>
  <c r="BN42" i="8" s="1"/>
  <c r="AA35" i="6" s="1"/>
  <c r="BF69" i="8"/>
  <c r="BN69" i="8" s="1"/>
  <c r="AA62" i="6" s="1"/>
  <c r="BE52" i="8"/>
  <c r="BM52" i="8" s="1"/>
  <c r="Z45" i="6" s="1"/>
  <c r="BE139" i="8"/>
  <c r="BM139" i="8" s="1"/>
  <c r="Z132" i="6" s="1"/>
  <c r="BE135" i="8"/>
  <c r="BM135" i="8" s="1"/>
  <c r="Z128" i="6" s="1"/>
  <c r="BE158" i="8"/>
  <c r="BM158" i="8" s="1"/>
  <c r="Z151" i="6" s="1"/>
  <c r="BE121" i="8"/>
  <c r="BM121" i="8" s="1"/>
  <c r="Z114" i="6" s="1"/>
  <c r="BF66" i="8"/>
  <c r="BN66" i="8" s="1"/>
  <c r="AA59" i="6" s="1"/>
  <c r="BF77" i="8"/>
  <c r="BN77" i="8" s="1"/>
  <c r="AA70" i="6" s="1"/>
  <c r="BE48" i="8"/>
  <c r="BM48" i="8" s="1"/>
  <c r="Z41" i="6" s="1"/>
  <c r="BE188" i="8"/>
  <c r="BM188" i="8" s="1"/>
  <c r="Z181" i="6" s="1"/>
  <c r="BE191" i="8"/>
  <c r="BM191" i="8" s="1"/>
  <c r="Z184" i="6" s="1"/>
  <c r="BE75" i="8"/>
  <c r="BM75" i="8" s="1"/>
  <c r="Z68" i="6" s="1"/>
  <c r="BE59" i="8"/>
  <c r="BM59" i="8" s="1"/>
  <c r="Z52" i="6" s="1"/>
  <c r="BE129" i="8"/>
  <c r="BM129" i="8" s="1"/>
  <c r="Z122" i="6" s="1"/>
  <c r="BF47" i="8"/>
  <c r="BN47" i="8" s="1"/>
  <c r="AA40" i="6" s="1"/>
  <c r="BE70" i="8"/>
  <c r="BM70" i="8" s="1"/>
  <c r="Z63" i="6" s="1"/>
  <c r="BE176" i="8"/>
  <c r="BM176" i="8" s="1"/>
  <c r="Z169" i="6" s="1"/>
  <c r="BF50" i="8"/>
  <c r="BN50" i="8" s="1"/>
  <c r="AA43" i="6" s="1"/>
  <c r="BE92" i="8"/>
  <c r="BM92" i="8" s="1"/>
  <c r="Z85" i="6" s="1"/>
  <c r="BE36" i="8"/>
  <c r="BM36" i="8" s="1"/>
  <c r="Z29" i="6" s="1"/>
  <c r="BE165" i="8"/>
  <c r="BM165" i="8" s="1"/>
  <c r="Z158" i="6" s="1"/>
  <c r="BE114" i="8"/>
  <c r="BM114" i="8" s="1"/>
  <c r="Z107" i="6" s="1"/>
  <c r="BE33" i="8"/>
  <c r="BM33" i="8" s="1"/>
  <c r="Z26" i="6" s="1"/>
  <c r="BE93" i="8"/>
  <c r="BM93" i="8" s="1"/>
  <c r="Z86" i="6" s="1"/>
  <c r="BF167" i="8" l="1"/>
  <c r="BN167" i="8" s="1"/>
  <c r="AA160" i="6" s="1"/>
  <c r="BG178" i="8"/>
  <c r="BO178" i="8" s="1"/>
  <c r="AB171" i="6" s="1"/>
  <c r="BF91" i="8"/>
  <c r="BN91" i="8" s="1"/>
  <c r="AA84" i="6" s="1"/>
  <c r="BF133" i="8"/>
  <c r="BN133" i="8" s="1"/>
  <c r="AA126" i="6" s="1"/>
  <c r="BF173" i="8"/>
  <c r="BN173" i="8" s="1"/>
  <c r="AA166" i="6" s="1"/>
  <c r="BF174" i="8"/>
  <c r="BN174" i="8" s="1"/>
  <c r="AA167" i="6" s="1"/>
  <c r="BF68" i="8"/>
  <c r="BN68" i="8" s="1"/>
  <c r="AA61" i="6" s="1"/>
  <c r="AX27" i="9"/>
  <c r="AW17" i="9"/>
  <c r="BF33" i="8"/>
  <c r="BN33" i="8" s="1"/>
  <c r="AA26" i="6" s="1"/>
  <c r="BF165" i="8"/>
  <c r="BN165" i="8" s="1"/>
  <c r="AA158" i="6" s="1"/>
  <c r="BF92" i="8"/>
  <c r="BN92" i="8" s="1"/>
  <c r="AA85" i="6" s="1"/>
  <c r="BF176" i="8"/>
  <c r="BN176" i="8" s="1"/>
  <c r="AA169" i="6" s="1"/>
  <c r="BG47" i="8"/>
  <c r="BO47" i="8" s="1"/>
  <c r="AB40" i="6" s="1"/>
  <c r="BF59" i="8"/>
  <c r="BN59" i="8" s="1"/>
  <c r="AA52" i="6" s="1"/>
  <c r="BF191" i="8"/>
  <c r="BN191" i="8" s="1"/>
  <c r="AA184" i="6" s="1"/>
  <c r="BF48" i="8"/>
  <c r="BN48" i="8" s="1"/>
  <c r="AA41" i="6" s="1"/>
  <c r="BF158" i="8"/>
  <c r="BN158" i="8" s="1"/>
  <c r="AA151" i="6" s="1"/>
  <c r="BF139" i="8"/>
  <c r="BN139" i="8" s="1"/>
  <c r="AA132" i="6" s="1"/>
  <c r="BF60" i="8"/>
  <c r="BN60" i="8" s="1"/>
  <c r="AA53" i="6" s="1"/>
  <c r="BF54" i="8"/>
  <c r="BN54" i="8" s="1"/>
  <c r="AA47" i="6" s="1"/>
  <c r="BF161" i="8"/>
  <c r="BN161" i="8" s="1"/>
  <c r="AA154" i="6" s="1"/>
  <c r="BF112" i="8"/>
  <c r="BN112" i="8" s="1"/>
  <c r="AA105" i="6" s="1"/>
  <c r="BF194" i="8"/>
  <c r="BN194" i="8" s="1"/>
  <c r="AA187" i="6" s="1"/>
  <c r="BF94" i="8"/>
  <c r="BN94" i="8" s="1"/>
  <c r="AA87" i="6" s="1"/>
  <c r="BF71" i="8"/>
  <c r="BN71" i="8" s="1"/>
  <c r="AA64" i="6" s="1"/>
  <c r="BF163" i="8"/>
  <c r="BN163" i="8" s="1"/>
  <c r="AA156" i="6" s="1"/>
  <c r="BF100" i="8"/>
  <c r="BN100" i="8" s="1"/>
  <c r="AA93" i="6" s="1"/>
  <c r="BF113" i="8"/>
  <c r="BN113" i="8" s="1"/>
  <c r="AA106" i="6" s="1"/>
  <c r="BH122" i="8"/>
  <c r="BP122" i="8" s="1"/>
  <c r="AC115" i="6" s="1"/>
  <c r="BF145" i="8"/>
  <c r="BN145" i="8" s="1"/>
  <c r="AA138" i="6" s="1"/>
  <c r="BF37" i="8"/>
  <c r="BN37" i="8" s="1"/>
  <c r="AA30" i="6" s="1"/>
  <c r="BF49" i="8"/>
  <c r="BN49" i="8" s="1"/>
  <c r="AA42" i="6" s="1"/>
  <c r="BF96" i="8"/>
  <c r="BN96" i="8" s="1"/>
  <c r="AA89" i="6" s="1"/>
  <c r="BG98" i="8"/>
  <c r="BO98" i="8" s="1"/>
  <c r="AB91" i="6" s="1"/>
  <c r="BF72" i="8"/>
  <c r="BN72" i="8" s="1"/>
  <c r="AA65" i="6" s="1"/>
  <c r="BG29" i="8"/>
  <c r="BO29" i="8" s="1"/>
  <c r="AB22" i="6" s="1"/>
  <c r="BF190" i="8"/>
  <c r="BN190" i="8" s="1"/>
  <c r="AA183" i="6" s="1"/>
  <c r="BF55" i="8"/>
  <c r="BN55" i="8" s="1"/>
  <c r="AA48" i="6" s="1"/>
  <c r="BF46" i="8"/>
  <c r="BN46" i="8" s="1"/>
  <c r="AA39" i="6" s="1"/>
  <c r="BF195" i="8"/>
  <c r="BN195" i="8" s="1"/>
  <c r="AA188" i="6" s="1"/>
  <c r="BH134" i="8"/>
  <c r="BP134" i="8" s="1"/>
  <c r="AC127" i="6" s="1"/>
  <c r="BF169" i="8"/>
  <c r="BN169" i="8" s="1"/>
  <c r="AA162" i="6" s="1"/>
  <c r="BF155" i="8"/>
  <c r="BN155" i="8" s="1"/>
  <c r="AA148" i="6" s="1"/>
  <c r="BF128" i="8"/>
  <c r="BN128" i="8" s="1"/>
  <c r="AA121" i="6" s="1"/>
  <c r="BF130" i="8"/>
  <c r="BN130" i="8" s="1"/>
  <c r="AA123" i="6" s="1"/>
  <c r="BF117" i="8"/>
  <c r="BN117" i="8" s="1"/>
  <c r="AA110" i="6" s="1"/>
  <c r="BF184" i="8"/>
  <c r="BN184" i="8" s="1"/>
  <c r="AA177" i="6" s="1"/>
  <c r="BG110" i="8"/>
  <c r="BO110" i="8" s="1"/>
  <c r="AB103" i="6" s="1"/>
  <c r="BF151" i="8"/>
  <c r="BN151" i="8" s="1"/>
  <c r="AA144" i="6" s="1"/>
  <c r="BF170" i="8"/>
  <c r="BN170" i="8" s="1"/>
  <c r="AA163" i="6" s="1"/>
  <c r="BG153" i="8"/>
  <c r="BO153" i="8" s="1"/>
  <c r="AB146" i="6" s="1"/>
  <c r="BG167" i="8"/>
  <c r="BO167" i="8" s="1"/>
  <c r="AB160" i="6" s="1"/>
  <c r="BF63" i="8"/>
  <c r="BN63" i="8" s="1"/>
  <c r="AA56" i="6" s="1"/>
  <c r="BF44" i="8"/>
  <c r="BN44" i="8" s="1"/>
  <c r="AA37" i="6" s="1"/>
  <c r="BF166" i="8"/>
  <c r="BN166" i="8" s="1"/>
  <c r="AA159" i="6" s="1"/>
  <c r="BG56" i="8"/>
  <c r="BO56" i="8" s="1"/>
  <c r="AB49" i="6" s="1"/>
  <c r="BF79" i="8"/>
  <c r="BN79" i="8" s="1"/>
  <c r="AA72" i="6" s="1"/>
  <c r="BF182" i="8"/>
  <c r="BN182" i="8" s="1"/>
  <c r="AA175" i="6" s="1"/>
  <c r="BH125" i="8"/>
  <c r="BP125" i="8" s="1"/>
  <c r="AC118" i="6" s="1"/>
  <c r="BF32" i="8"/>
  <c r="BN32" i="8" s="1"/>
  <c r="AA25" i="6" s="1"/>
  <c r="BF156" i="8"/>
  <c r="BN156" i="8" s="1"/>
  <c r="AA149" i="6" s="1"/>
  <c r="BF93" i="8"/>
  <c r="BN93" i="8" s="1"/>
  <c r="AA86" i="6" s="1"/>
  <c r="BF114" i="8"/>
  <c r="BN114" i="8" s="1"/>
  <c r="AA107" i="6" s="1"/>
  <c r="BF36" i="8"/>
  <c r="BN36" i="8" s="1"/>
  <c r="AA29" i="6" s="1"/>
  <c r="BG50" i="8"/>
  <c r="BO50" i="8" s="1"/>
  <c r="AB43" i="6" s="1"/>
  <c r="BF70" i="8"/>
  <c r="BN70" i="8" s="1"/>
  <c r="AA63" i="6" s="1"/>
  <c r="BF129" i="8"/>
  <c r="BN129" i="8" s="1"/>
  <c r="AA122" i="6" s="1"/>
  <c r="BF75" i="8"/>
  <c r="BN75" i="8" s="1"/>
  <c r="AA68" i="6" s="1"/>
  <c r="BF188" i="8"/>
  <c r="BN188" i="8" s="1"/>
  <c r="AA181" i="6" s="1"/>
  <c r="BF121" i="8"/>
  <c r="BN121" i="8" s="1"/>
  <c r="AA114" i="6" s="1"/>
  <c r="BF135" i="8"/>
  <c r="BN135" i="8" s="1"/>
  <c r="AA128" i="6" s="1"/>
  <c r="BF52" i="8"/>
  <c r="BN52" i="8" s="1"/>
  <c r="AA45" i="6" s="1"/>
  <c r="BG183" i="8"/>
  <c r="BO183" i="8" s="1"/>
  <c r="AB176" i="6" s="1"/>
  <c r="BF106" i="8"/>
  <c r="BN106" i="8" s="1"/>
  <c r="AA99" i="6" s="1"/>
  <c r="BF87" i="8"/>
  <c r="BN87" i="8" s="1"/>
  <c r="AA80" i="6" s="1"/>
  <c r="BG137" i="8"/>
  <c r="BO137" i="8" s="1"/>
  <c r="AB130" i="6" s="1"/>
  <c r="BF43" i="8"/>
  <c r="BN43" i="8" s="1"/>
  <c r="AA36" i="6" s="1"/>
  <c r="BF143" i="8"/>
  <c r="BN143" i="8" s="1"/>
  <c r="AA136" i="6" s="1"/>
  <c r="BF185" i="8"/>
  <c r="BN185" i="8" s="1"/>
  <c r="AA178" i="6" s="1"/>
  <c r="BF73" i="8"/>
  <c r="BN73" i="8" s="1"/>
  <c r="AA66" i="6" s="1"/>
  <c r="BH178" i="8"/>
  <c r="BP178" i="8" s="1"/>
  <c r="AC171" i="6" s="1"/>
  <c r="BF67" i="8"/>
  <c r="BN67" i="8" s="1"/>
  <c r="AA60" i="6" s="1"/>
  <c r="BF159" i="8"/>
  <c r="BN159" i="8" s="1"/>
  <c r="AA152" i="6" s="1"/>
  <c r="BF84" i="8"/>
  <c r="BN84" i="8" s="1"/>
  <c r="AA77" i="6" s="1"/>
  <c r="BF119" i="8"/>
  <c r="BN119" i="8" s="1"/>
  <c r="AA112" i="6" s="1"/>
  <c r="BG138" i="8"/>
  <c r="BO138" i="8" s="1"/>
  <c r="AB131" i="6" s="1"/>
  <c r="BG102" i="8"/>
  <c r="BO102" i="8" s="1"/>
  <c r="AB95" i="6" s="1"/>
  <c r="BF164" i="8"/>
  <c r="BN164" i="8" s="1"/>
  <c r="AA157" i="6" s="1"/>
  <c r="BG168" i="8"/>
  <c r="BO168" i="8" s="1"/>
  <c r="AB161" i="6" s="1"/>
  <c r="BF57" i="8"/>
  <c r="BN57" i="8" s="1"/>
  <c r="AA50" i="6" s="1"/>
  <c r="BF148" i="8"/>
  <c r="BN148" i="8" s="1"/>
  <c r="AA141" i="6" s="1"/>
  <c r="BG133" i="8"/>
  <c r="BO133" i="8" s="1"/>
  <c r="AB126" i="6" s="1"/>
  <c r="BF97" i="8"/>
  <c r="BN97" i="8" s="1"/>
  <c r="AA90" i="6" s="1"/>
  <c r="BF140" i="8"/>
  <c r="BN140" i="8" s="1"/>
  <c r="AA133" i="6" s="1"/>
  <c r="BF160" i="8"/>
  <c r="BN160" i="8" s="1"/>
  <c r="AA153" i="6" s="1"/>
  <c r="BF89" i="8"/>
  <c r="BN89" i="8" s="1"/>
  <c r="AA82" i="6" s="1"/>
  <c r="BF179" i="8"/>
  <c r="BN179" i="8" s="1"/>
  <c r="AA172" i="6" s="1"/>
  <c r="BF86" i="8"/>
  <c r="BN86" i="8" s="1"/>
  <c r="AA79" i="6" s="1"/>
  <c r="BF150" i="8"/>
  <c r="BN150" i="8" s="1"/>
  <c r="AA143" i="6" s="1"/>
  <c r="BF177" i="8"/>
  <c r="BN177" i="8" s="1"/>
  <c r="AA170" i="6" s="1"/>
  <c r="BF127" i="8"/>
  <c r="BN127" i="8" s="1"/>
  <c r="AA120" i="6" s="1"/>
  <c r="BG123" i="8"/>
  <c r="BO123" i="8" s="1"/>
  <c r="AB116" i="6" s="1"/>
  <c r="BF132" i="8"/>
  <c r="BN132" i="8" s="1"/>
  <c r="AA125" i="6" s="1"/>
  <c r="BF146" i="8"/>
  <c r="BN146" i="8" s="1"/>
  <c r="AA139" i="6" s="1"/>
  <c r="BF85" i="8"/>
  <c r="BN85" i="8" s="1"/>
  <c r="AA78" i="6" s="1"/>
  <c r="BF154" i="8"/>
  <c r="BN154" i="8" s="1"/>
  <c r="AA147" i="6" s="1"/>
  <c r="BG187" i="8"/>
  <c r="BO187" i="8" s="1"/>
  <c r="AB180" i="6" s="1"/>
  <c r="BF90" i="8"/>
  <c r="BN90" i="8" s="1"/>
  <c r="AA83" i="6" s="1"/>
  <c r="BF45" i="8"/>
  <c r="BN45" i="8" s="1"/>
  <c r="AA38" i="6" s="1"/>
  <c r="BG82" i="8"/>
  <c r="BO82" i="8" s="1"/>
  <c r="AB75" i="6" s="1"/>
  <c r="BH104" i="8"/>
  <c r="BP104" i="8" s="1"/>
  <c r="AC97" i="6" s="1"/>
  <c r="BF81" i="8"/>
  <c r="BN81" i="8" s="1"/>
  <c r="AA74" i="6" s="1"/>
  <c r="BF181" i="8"/>
  <c r="BN181" i="8" s="1"/>
  <c r="AA174" i="6" s="1"/>
  <c r="BF61" i="8"/>
  <c r="BN61" i="8" s="1"/>
  <c r="AA54" i="6" s="1"/>
  <c r="BG34" i="8"/>
  <c r="BO34" i="8" s="1"/>
  <c r="AB27" i="6" s="1"/>
  <c r="BG31" i="8"/>
  <c r="BO31" i="8" s="1"/>
  <c r="AB24" i="6" s="1"/>
  <c r="BF147" i="8"/>
  <c r="BN147" i="8" s="1"/>
  <c r="AA140" i="6" s="1"/>
  <c r="BF189" i="8"/>
  <c r="BN189" i="8" s="1"/>
  <c r="AA182" i="6" s="1"/>
  <c r="BF35" i="8"/>
  <c r="BN35" i="8" s="1"/>
  <c r="AA28" i="6" s="1"/>
  <c r="BF65" i="8"/>
  <c r="BN65" i="8" s="1"/>
  <c r="AA58" i="6" s="1"/>
  <c r="BF109" i="8"/>
  <c r="BN109" i="8" s="1"/>
  <c r="AA102" i="6" s="1"/>
  <c r="BG144" i="8"/>
  <c r="BO144" i="8" s="1"/>
  <c r="AB137" i="6" s="1"/>
  <c r="BF115" i="8"/>
  <c r="BN115" i="8" s="1"/>
  <c r="AA108" i="6" s="1"/>
  <c r="BF95" i="8"/>
  <c r="BN95" i="8" s="1"/>
  <c r="AA88" i="6" s="1"/>
  <c r="BH30" i="8"/>
  <c r="BP30" i="8" s="1"/>
  <c r="AC23" i="6" s="1"/>
  <c r="BF111" i="8"/>
  <c r="BN111" i="8" s="1"/>
  <c r="AA104" i="6" s="1"/>
  <c r="BG126" i="8"/>
  <c r="BO126" i="8" s="1"/>
  <c r="AB119" i="6" s="1"/>
  <c r="BF74" i="8"/>
  <c r="BN74" i="8" s="1"/>
  <c r="AA67" i="6" s="1"/>
  <c r="BF124" i="8"/>
  <c r="BN124" i="8" s="1"/>
  <c r="AA117" i="6" s="1"/>
  <c r="BF105" i="8"/>
  <c r="BN105" i="8" s="1"/>
  <c r="AA98" i="6" s="1"/>
  <c r="BF108" i="8"/>
  <c r="BN108" i="8" s="1"/>
  <c r="AA101" i="6" s="1"/>
  <c r="BF38" i="8"/>
  <c r="BN38" i="8" s="1"/>
  <c r="AA31" i="6" s="1"/>
  <c r="BG186" i="8"/>
  <c r="BO186" i="8" s="1"/>
  <c r="AB179" i="6" s="1"/>
  <c r="BF103" i="8"/>
  <c r="BN103" i="8" s="1"/>
  <c r="AA96" i="6" s="1"/>
  <c r="BG53" i="8"/>
  <c r="BO53" i="8" s="1"/>
  <c r="AB46" i="6" s="1"/>
  <c r="BF88" i="8"/>
  <c r="BN88" i="8" s="1"/>
  <c r="AA81" i="6" s="1"/>
  <c r="BF157" i="8"/>
  <c r="BN157" i="8" s="1"/>
  <c r="AA150" i="6" s="1"/>
  <c r="BF80" i="8"/>
  <c r="BN80" i="8" s="1"/>
  <c r="AA73" i="6" s="1"/>
  <c r="BG91" i="8"/>
  <c r="BO91" i="8" s="1"/>
  <c r="AB84" i="6" s="1"/>
  <c r="BF171" i="8"/>
  <c r="BN171" i="8" s="1"/>
  <c r="AA164" i="6" s="1"/>
  <c r="BF39" i="8"/>
  <c r="BN39" i="8" s="1"/>
  <c r="AA32" i="6" s="1"/>
  <c r="BF62" i="8"/>
  <c r="BN62" i="8" s="1"/>
  <c r="AA55" i="6" s="1"/>
  <c r="BG149" i="8"/>
  <c r="BO149" i="8" s="1"/>
  <c r="AB142" i="6" s="1"/>
  <c r="BF172" i="8"/>
  <c r="BN172" i="8" s="1"/>
  <c r="AA165" i="6" s="1"/>
  <c r="BG142" i="8"/>
  <c r="BO142" i="8" s="1"/>
  <c r="AB135" i="6" s="1"/>
  <c r="BG58" i="8"/>
  <c r="BO58" i="8" s="1"/>
  <c r="AB51" i="6" s="1"/>
  <c r="BF120" i="8"/>
  <c r="BN120" i="8" s="1"/>
  <c r="AA113" i="6" s="1"/>
  <c r="BG193" i="8"/>
  <c r="BO193" i="8" s="1"/>
  <c r="AB186" i="6" s="1"/>
  <c r="BF64" i="8"/>
  <c r="BN64" i="8" s="1"/>
  <c r="AA57" i="6" s="1"/>
  <c r="BG192" i="8"/>
  <c r="BO192" i="8" s="1"/>
  <c r="AB185" i="6" s="1"/>
  <c r="BF41" i="8"/>
  <c r="BN41" i="8" s="1"/>
  <c r="AA34" i="6" s="1"/>
  <c r="BG118" i="8"/>
  <c r="BO118" i="8" s="1"/>
  <c r="AB111" i="6" s="1"/>
  <c r="BF78" i="8"/>
  <c r="BN78" i="8" s="1"/>
  <c r="AA71" i="6" s="1"/>
  <c r="BF131" i="8"/>
  <c r="BN131" i="8" s="1"/>
  <c r="AA124" i="6" s="1"/>
  <c r="BF152" i="8"/>
  <c r="BN152" i="8" s="1"/>
  <c r="AA145" i="6" s="1"/>
  <c r="BF162" i="8"/>
  <c r="BN162" i="8" s="1"/>
  <c r="AA155" i="6" s="1"/>
  <c r="BH99" i="8"/>
  <c r="BP99" i="8" s="1"/>
  <c r="AC92" i="6" s="1"/>
  <c r="BF175" i="8"/>
  <c r="BN175" i="8" s="1"/>
  <c r="AA168" i="6" s="1"/>
  <c r="AX27" i="8"/>
  <c r="W20" i="6" s="1"/>
  <c r="W15" i="6" s="1"/>
  <c r="AW17" i="8"/>
  <c r="BG173" i="8" l="1"/>
  <c r="BO173" i="8" s="1"/>
  <c r="AB166" i="6" s="1"/>
  <c r="V20" i="6"/>
  <c r="V15" i="6" s="1"/>
  <c r="F81" i="1"/>
  <c r="BG68" i="8"/>
  <c r="BO68" i="8" s="1"/>
  <c r="AB61" i="6" s="1"/>
  <c r="BG174" i="8"/>
  <c r="BO174" i="8" s="1"/>
  <c r="AB167" i="6" s="1"/>
  <c r="AX17" i="9"/>
  <c r="AY17" i="9" s="1"/>
  <c r="AY27" i="9"/>
  <c r="BG64" i="8"/>
  <c r="BO64" i="8" s="1"/>
  <c r="AB57" i="6" s="1"/>
  <c r="BH142" i="8"/>
  <c r="BP142" i="8" s="1"/>
  <c r="AC135" i="6" s="1"/>
  <c r="BG80" i="8"/>
  <c r="BO80" i="8" s="1"/>
  <c r="AB73" i="6" s="1"/>
  <c r="BH53" i="8"/>
  <c r="BP53" i="8" s="1"/>
  <c r="AC46" i="6" s="1"/>
  <c r="BH186" i="8"/>
  <c r="BP186" i="8" s="1"/>
  <c r="AC179" i="6" s="1"/>
  <c r="BH126" i="8"/>
  <c r="BP126" i="8" s="1"/>
  <c r="AC119" i="6" s="1"/>
  <c r="BG35" i="8"/>
  <c r="BO35" i="8" s="1"/>
  <c r="AB28" i="6" s="1"/>
  <c r="BH34" i="8"/>
  <c r="BP34" i="8" s="1"/>
  <c r="AC27" i="6" s="1"/>
  <c r="BH187" i="8"/>
  <c r="BP187" i="8" s="1"/>
  <c r="AC180" i="6" s="1"/>
  <c r="BG160" i="8"/>
  <c r="BO160" i="8" s="1"/>
  <c r="AB153" i="6" s="1"/>
  <c r="BH56" i="8"/>
  <c r="BP56" i="8" s="1"/>
  <c r="AC49" i="6" s="1"/>
  <c r="BH167" i="8"/>
  <c r="BP167" i="8" s="1"/>
  <c r="AC160" i="6" s="1"/>
  <c r="BH110" i="8"/>
  <c r="BP110" i="8" s="1"/>
  <c r="AC103" i="6" s="1"/>
  <c r="BG55" i="8"/>
  <c r="BO55" i="8" s="1"/>
  <c r="AB48" i="6" s="1"/>
  <c r="BG165" i="8"/>
  <c r="BO165" i="8" s="1"/>
  <c r="AB158" i="6" s="1"/>
  <c r="AX17" i="8"/>
  <c r="AY17" i="8" s="1"/>
  <c r="AY27" i="8"/>
  <c r="BC27" i="8"/>
  <c r="BK27" i="8" s="1"/>
  <c r="X20" i="6" s="1"/>
  <c r="X15" i="6" s="1"/>
  <c r="BG162" i="8"/>
  <c r="BO162" i="8" s="1"/>
  <c r="AB155" i="6" s="1"/>
  <c r="BH118" i="8"/>
  <c r="BP118" i="8" s="1"/>
  <c r="AC111" i="6" s="1"/>
  <c r="BH192" i="8"/>
  <c r="BP192" i="8" s="1"/>
  <c r="AC185" i="6" s="1"/>
  <c r="BH193" i="8"/>
  <c r="BP193" i="8" s="1"/>
  <c r="AC186" i="6" s="1"/>
  <c r="BH58" i="8"/>
  <c r="BP58" i="8" s="1"/>
  <c r="AC51" i="6" s="1"/>
  <c r="BH173" i="8"/>
  <c r="BP173" i="8" s="1"/>
  <c r="AC166" i="6" s="1"/>
  <c r="BH149" i="8"/>
  <c r="BP149" i="8" s="1"/>
  <c r="AC142" i="6" s="1"/>
  <c r="BG39" i="8"/>
  <c r="BO39" i="8" s="1"/>
  <c r="AB32" i="6" s="1"/>
  <c r="BH91" i="8"/>
  <c r="BP91" i="8" s="1"/>
  <c r="AC84" i="6" s="1"/>
  <c r="BG157" i="8"/>
  <c r="BO157" i="8" s="1"/>
  <c r="AB150" i="6" s="1"/>
  <c r="BG38" i="8"/>
  <c r="BO38" i="8" s="1"/>
  <c r="AB31" i="6" s="1"/>
  <c r="BG105" i="8"/>
  <c r="BO105" i="8" s="1"/>
  <c r="AB98" i="6" s="1"/>
  <c r="BG111" i="8"/>
  <c r="BO111" i="8" s="1"/>
  <c r="AB104" i="6" s="1"/>
  <c r="BG95" i="8"/>
  <c r="BO95" i="8" s="1"/>
  <c r="AB88" i="6" s="1"/>
  <c r="BH144" i="8"/>
  <c r="BP144" i="8" s="1"/>
  <c r="AC137" i="6" s="1"/>
  <c r="BG65" i="8"/>
  <c r="BO65" i="8" s="1"/>
  <c r="AB58" i="6" s="1"/>
  <c r="BH31" i="8"/>
  <c r="BP31" i="8" s="1"/>
  <c r="AC24" i="6" s="1"/>
  <c r="BH82" i="8"/>
  <c r="BP82" i="8" s="1"/>
  <c r="AC75" i="6" s="1"/>
  <c r="BH123" i="8"/>
  <c r="BP123" i="8" s="1"/>
  <c r="AC116" i="6" s="1"/>
  <c r="BG86" i="8"/>
  <c r="BO86" i="8" s="1"/>
  <c r="AB79" i="6" s="1"/>
  <c r="BG89" i="8"/>
  <c r="BO89" i="8" s="1"/>
  <c r="AB82" i="6" s="1"/>
  <c r="BG140" i="8"/>
  <c r="BO140" i="8" s="1"/>
  <c r="AB133" i="6" s="1"/>
  <c r="BH133" i="8"/>
  <c r="BP133" i="8" s="1"/>
  <c r="AC126" i="6" s="1"/>
  <c r="BH138" i="8"/>
  <c r="BP138" i="8" s="1"/>
  <c r="AC131" i="6" s="1"/>
  <c r="BG84" i="8"/>
  <c r="BO84" i="8" s="1"/>
  <c r="AB77" i="6" s="1"/>
  <c r="BG67" i="8"/>
  <c r="BO67" i="8" s="1"/>
  <c r="AB60" i="6" s="1"/>
  <c r="BG73" i="8"/>
  <c r="BO73" i="8" s="1"/>
  <c r="AB66" i="6" s="1"/>
  <c r="BH137" i="8"/>
  <c r="BP137" i="8" s="1"/>
  <c r="AC130" i="6" s="1"/>
  <c r="BH183" i="8"/>
  <c r="BP183" i="8" s="1"/>
  <c r="AC176" i="6" s="1"/>
  <c r="BG135" i="8"/>
  <c r="BO135" i="8" s="1"/>
  <c r="AB128" i="6" s="1"/>
  <c r="BG188" i="8"/>
  <c r="BO188" i="8" s="1"/>
  <c r="AB181" i="6" s="1"/>
  <c r="BH50" i="8"/>
  <c r="BP50" i="8" s="1"/>
  <c r="AC43" i="6" s="1"/>
  <c r="BG79" i="8"/>
  <c r="BO79" i="8" s="1"/>
  <c r="AB72" i="6" s="1"/>
  <c r="BG166" i="8"/>
  <c r="BO166" i="8" s="1"/>
  <c r="AB159" i="6" s="1"/>
  <c r="BH153" i="8"/>
  <c r="BP153" i="8" s="1"/>
  <c r="AC146" i="6" s="1"/>
  <c r="BG155" i="8"/>
  <c r="BO155" i="8" s="1"/>
  <c r="AB148" i="6" s="1"/>
  <c r="BG190" i="8"/>
  <c r="BO190" i="8" s="1"/>
  <c r="AB183" i="6" s="1"/>
  <c r="BG100" i="8"/>
  <c r="BO100" i="8" s="1"/>
  <c r="AB93" i="6" s="1"/>
  <c r="BG71" i="8"/>
  <c r="BO71" i="8" s="1"/>
  <c r="AB64" i="6" s="1"/>
  <c r="BG158" i="8"/>
  <c r="BO158" i="8" s="1"/>
  <c r="AB151" i="6" s="1"/>
  <c r="BG191" i="8"/>
  <c r="BO191" i="8" s="1"/>
  <c r="AB184" i="6" s="1"/>
  <c r="BH47" i="8"/>
  <c r="BP47" i="8" s="1"/>
  <c r="AC40" i="6" s="1"/>
  <c r="BG92" i="8"/>
  <c r="BO92" i="8" s="1"/>
  <c r="AB85" i="6" s="1"/>
  <c r="BG33" i="8"/>
  <c r="BO33" i="8" s="1"/>
  <c r="AB26" i="6" s="1"/>
  <c r="BG78" i="8"/>
  <c r="BO78" i="8" s="1"/>
  <c r="AB71" i="6" s="1"/>
  <c r="BG171" i="8"/>
  <c r="BO171" i="8" s="1"/>
  <c r="AB164" i="6" s="1"/>
  <c r="BG147" i="8"/>
  <c r="BO147" i="8" s="1"/>
  <c r="AB140" i="6" s="1"/>
  <c r="BG45" i="8"/>
  <c r="BO45" i="8" s="1"/>
  <c r="AB38" i="6" s="1"/>
  <c r="BG85" i="8"/>
  <c r="BO85" i="8" s="1"/>
  <c r="AB78" i="6" s="1"/>
  <c r="BG97" i="8"/>
  <c r="BO97" i="8" s="1"/>
  <c r="AB90" i="6" s="1"/>
  <c r="BH168" i="8"/>
  <c r="BP168" i="8" s="1"/>
  <c r="AC161" i="6" s="1"/>
  <c r="BH102" i="8"/>
  <c r="BP102" i="8" s="1"/>
  <c r="AC95" i="6" s="1"/>
  <c r="BG93" i="8"/>
  <c r="BO93" i="8" s="1"/>
  <c r="AB86" i="6" s="1"/>
  <c r="BG44" i="8"/>
  <c r="BO44" i="8" s="1"/>
  <c r="AB37" i="6" s="1"/>
  <c r="BG170" i="8"/>
  <c r="BO170" i="8" s="1"/>
  <c r="AB163" i="6" s="1"/>
  <c r="BG117" i="8"/>
  <c r="BO117" i="8" s="1"/>
  <c r="AB110" i="6" s="1"/>
  <c r="BG128" i="8"/>
  <c r="BO128" i="8" s="1"/>
  <c r="AB121" i="6" s="1"/>
  <c r="BG195" i="8"/>
  <c r="BO195" i="8" s="1"/>
  <c r="AB188" i="6" s="1"/>
  <c r="BH29" i="8"/>
  <c r="BP29" i="8" s="1"/>
  <c r="AC22" i="6" s="1"/>
  <c r="BH98" i="8"/>
  <c r="BP98" i="8" s="1"/>
  <c r="AC91" i="6" s="1"/>
  <c r="BG163" i="8"/>
  <c r="BO163" i="8" s="1"/>
  <c r="AB156" i="6" s="1"/>
  <c r="BG54" i="8"/>
  <c r="BO54" i="8" s="1"/>
  <c r="AB47" i="6" s="1"/>
  <c r="BG48" i="8"/>
  <c r="BO48" i="8" s="1"/>
  <c r="AB41" i="6" s="1"/>
  <c r="BH174" i="8" l="1"/>
  <c r="BP174" i="8" s="1"/>
  <c r="AC167" i="6" s="1"/>
  <c r="BH68" i="8"/>
  <c r="BP68" i="8" s="1"/>
  <c r="AC61" i="6" s="1"/>
  <c r="AZ20" i="9"/>
  <c r="AZ18" i="9"/>
  <c r="BA20" i="9"/>
  <c r="BA18" i="9"/>
  <c r="BH163" i="8"/>
  <c r="BP163" i="8" s="1"/>
  <c r="AC156" i="6" s="1"/>
  <c r="BH93" i="8"/>
  <c r="BP93" i="8" s="1"/>
  <c r="AC86" i="6" s="1"/>
  <c r="BH147" i="8"/>
  <c r="BP147" i="8" s="1"/>
  <c r="AC140" i="6" s="1"/>
  <c r="BH78" i="8"/>
  <c r="BP78" i="8" s="1"/>
  <c r="AC71" i="6" s="1"/>
  <c r="BH92" i="8"/>
  <c r="BP92" i="8" s="1"/>
  <c r="AC85" i="6" s="1"/>
  <c r="BH191" i="8"/>
  <c r="BP191" i="8" s="1"/>
  <c r="AC184" i="6" s="1"/>
  <c r="BH71" i="8"/>
  <c r="BP71" i="8" s="1"/>
  <c r="AC64" i="6" s="1"/>
  <c r="BH190" i="8"/>
  <c r="BP190" i="8" s="1"/>
  <c r="AC183" i="6" s="1"/>
  <c r="BH188" i="8"/>
  <c r="BP188" i="8" s="1"/>
  <c r="AC181" i="6" s="1"/>
  <c r="BH73" i="8"/>
  <c r="BP73" i="8" s="1"/>
  <c r="AC66" i="6" s="1"/>
  <c r="BH84" i="8"/>
  <c r="BP84" i="8" s="1"/>
  <c r="AC77" i="6" s="1"/>
  <c r="BH89" i="8"/>
  <c r="BP89" i="8" s="1"/>
  <c r="AC82" i="6" s="1"/>
  <c r="BH111" i="8"/>
  <c r="BP111" i="8" s="1"/>
  <c r="AC104" i="6" s="1"/>
  <c r="BH38" i="8"/>
  <c r="BP38" i="8" s="1"/>
  <c r="AC31" i="6" s="1"/>
  <c r="BH162" i="8"/>
  <c r="BP162" i="8" s="1"/>
  <c r="AC155" i="6" s="1"/>
  <c r="BA18" i="8"/>
  <c r="BA20" i="8"/>
  <c r="AZ18" i="8"/>
  <c r="AZ20" i="8"/>
  <c r="BH55" i="8"/>
  <c r="BP55" i="8" s="1"/>
  <c r="AC48" i="6" s="1"/>
  <c r="BH48" i="8"/>
  <c r="BP48" i="8" s="1"/>
  <c r="AC41" i="6" s="1"/>
  <c r="BH128" i="8"/>
  <c r="BP128" i="8" s="1"/>
  <c r="AC121" i="6" s="1"/>
  <c r="BH170" i="8"/>
  <c r="BP170" i="8" s="1"/>
  <c r="AC163" i="6" s="1"/>
  <c r="BH85" i="8"/>
  <c r="BP85" i="8" s="1"/>
  <c r="AC78" i="6" s="1"/>
  <c r="BH79" i="8"/>
  <c r="BP79" i="8" s="1"/>
  <c r="AC72" i="6" s="1"/>
  <c r="BH165" i="8"/>
  <c r="BP165" i="8" s="1"/>
  <c r="AC158" i="6" s="1"/>
  <c r="BH35" i="8"/>
  <c r="BP35" i="8" s="1"/>
  <c r="AC28" i="6" s="1"/>
  <c r="BH80" i="8"/>
  <c r="BP80" i="8" s="1"/>
  <c r="AC73" i="6" s="1"/>
  <c r="BH64" i="8"/>
  <c r="BP64" i="8" s="1"/>
  <c r="AC57" i="6" s="1"/>
  <c r="BH160" i="8"/>
  <c r="BP160" i="8" s="1"/>
  <c r="AC153" i="6" s="1"/>
  <c r="BH54" i="8"/>
  <c r="BP54" i="8" s="1"/>
  <c r="AC47" i="6" s="1"/>
  <c r="BH195" i="8"/>
  <c r="BP195" i="8" s="1"/>
  <c r="AC188" i="6" s="1"/>
  <c r="BH117" i="8"/>
  <c r="BP117" i="8" s="1"/>
  <c r="AC110" i="6" s="1"/>
  <c r="BH44" i="8"/>
  <c r="BP44" i="8" s="1"/>
  <c r="AC37" i="6" s="1"/>
  <c r="BH97" i="8"/>
  <c r="BP97" i="8" s="1"/>
  <c r="AC90" i="6" s="1"/>
  <c r="BH45" i="8"/>
  <c r="BP45" i="8" s="1"/>
  <c r="AC38" i="6" s="1"/>
  <c r="BH171" i="8"/>
  <c r="BP171" i="8" s="1"/>
  <c r="AC164" i="6" s="1"/>
  <c r="BH33" i="8"/>
  <c r="BP33" i="8" s="1"/>
  <c r="AC26" i="6" s="1"/>
  <c r="BH158" i="8"/>
  <c r="BP158" i="8" s="1"/>
  <c r="AC151" i="6" s="1"/>
  <c r="BH100" i="8"/>
  <c r="BP100" i="8" s="1"/>
  <c r="AC93" i="6" s="1"/>
  <c r="BH155" i="8"/>
  <c r="BP155" i="8" s="1"/>
  <c r="AC148" i="6" s="1"/>
  <c r="BH166" i="8"/>
  <c r="BP166" i="8" s="1"/>
  <c r="AC159" i="6" s="1"/>
  <c r="BH135" i="8"/>
  <c r="BP135" i="8" s="1"/>
  <c r="AC128" i="6" s="1"/>
  <c r="BH67" i="8"/>
  <c r="BP67" i="8" s="1"/>
  <c r="AC60" i="6" s="1"/>
  <c r="BH140" i="8"/>
  <c r="BP140" i="8" s="1"/>
  <c r="AC133" i="6" s="1"/>
  <c r="BH86" i="8"/>
  <c r="BP86" i="8" s="1"/>
  <c r="AC79" i="6" s="1"/>
  <c r="BH65" i="8"/>
  <c r="BP65" i="8" s="1"/>
  <c r="AC58" i="6" s="1"/>
  <c r="BH95" i="8"/>
  <c r="BP95" i="8" s="1"/>
  <c r="AC88" i="6" s="1"/>
  <c r="BH105" i="8"/>
  <c r="BP105" i="8" s="1"/>
  <c r="AC98" i="6" s="1"/>
  <c r="BH157" i="8"/>
  <c r="BP157" i="8" s="1"/>
  <c r="AC150" i="6" s="1"/>
  <c r="BH39" i="8"/>
  <c r="BP39" i="8" s="1"/>
  <c r="AC32" i="6" s="1"/>
  <c r="BK22" i="8"/>
  <c r="BC22" i="8"/>
  <c r="BD27" i="8"/>
  <c r="BL27" i="8" s="1"/>
  <c r="Y20" i="6" s="1"/>
  <c r="Y15" i="6" s="1"/>
  <c r="AZ24" i="8" l="1"/>
  <c r="BA24" i="9"/>
  <c r="AZ24" i="9"/>
  <c r="BA24" i="8"/>
  <c r="BL22" i="8"/>
  <c r="BD22" i="8"/>
  <c r="BE27" i="8"/>
  <c r="BM27" i="8" s="1"/>
  <c r="Z20" i="6" s="1"/>
  <c r="Z15" i="6" s="1"/>
  <c r="BM22" i="8" l="1"/>
  <c r="BE22" i="8"/>
  <c r="BF27" i="8"/>
  <c r="BN27" i="8" s="1"/>
  <c r="AA20" i="6" s="1"/>
  <c r="AA15" i="6" s="1"/>
  <c r="BN22" i="8" l="1"/>
  <c r="BF22" i="8"/>
  <c r="BG27" i="8"/>
  <c r="BO27" i="8" s="1"/>
  <c r="AB20" i="6" s="1"/>
  <c r="AB15" i="6" s="1"/>
  <c r="BG22" i="8" l="1"/>
  <c r="BO22" i="8"/>
  <c r="BH27" i="8"/>
  <c r="BP27" i="8" s="1"/>
  <c r="AC20" i="6" s="1"/>
  <c r="AC15" i="6" l="1"/>
  <c r="J123" i="1"/>
  <c r="J91" i="1"/>
  <c r="BP22" i="8"/>
  <c r="BH22" i="8"/>
  <c r="E81" i="1" l="1"/>
  <c r="AO7" i="2"/>
  <c r="AL7" i="2"/>
  <c r="AD183" i="2" l="1"/>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J195" i="7"/>
  <c r="AK195" i="7" s="1"/>
  <c r="AF195" i="7"/>
  <c r="Z195" i="7"/>
  <c r="V195" i="7"/>
  <c r="U195" i="7"/>
  <c r="P195" i="7"/>
  <c r="Q195" i="7" s="1"/>
  <c r="R195" i="7" s="1"/>
  <c r="D195" i="7"/>
  <c r="AJ194" i="7"/>
  <c r="AK194" i="7" s="1"/>
  <c r="AF194" i="7"/>
  <c r="Z194" i="7"/>
  <c r="V194" i="7"/>
  <c r="U194" i="7"/>
  <c r="P194" i="7"/>
  <c r="Q194" i="7" s="1"/>
  <c r="R194" i="7" s="1"/>
  <c r="S194" i="7" s="1"/>
  <c r="D194" i="7"/>
  <c r="AJ193" i="7"/>
  <c r="AK193" i="7" s="1"/>
  <c r="AF193" i="7"/>
  <c r="Z193" i="7"/>
  <c r="V193" i="7"/>
  <c r="U193" i="7"/>
  <c r="P193" i="7"/>
  <c r="Q193" i="7" s="1"/>
  <c r="R193" i="7" s="1"/>
  <c r="S193" i="7" s="1"/>
  <c r="D193" i="7"/>
  <c r="AJ192" i="7"/>
  <c r="AK192" i="7" s="1"/>
  <c r="AF192" i="7"/>
  <c r="Z192" i="7"/>
  <c r="V192" i="7"/>
  <c r="U192" i="7"/>
  <c r="P192" i="7"/>
  <c r="Q192" i="7" s="1"/>
  <c r="R192" i="7" s="1"/>
  <c r="D192" i="7"/>
  <c r="AJ191" i="7"/>
  <c r="AK191" i="7" s="1"/>
  <c r="AF191" i="7"/>
  <c r="Z191" i="7"/>
  <c r="V191" i="7"/>
  <c r="U191" i="7"/>
  <c r="P191" i="7"/>
  <c r="Q191" i="7" s="1"/>
  <c r="R191" i="7" s="1"/>
  <c r="S191" i="7" s="1"/>
  <c r="D191" i="7"/>
  <c r="AJ190" i="7"/>
  <c r="AK190" i="7" s="1"/>
  <c r="AF190" i="7"/>
  <c r="Z190" i="7"/>
  <c r="V190" i="7"/>
  <c r="U190" i="7"/>
  <c r="P190" i="7"/>
  <c r="Q190" i="7" s="1"/>
  <c r="R190" i="7" s="1"/>
  <c r="S190" i="7" s="1"/>
  <c r="D190" i="7"/>
  <c r="AJ189" i="7"/>
  <c r="AK189" i="7" s="1"/>
  <c r="AF189" i="7"/>
  <c r="Z189" i="7"/>
  <c r="V189" i="7"/>
  <c r="U189" i="7"/>
  <c r="P189" i="7"/>
  <c r="Q189" i="7" s="1"/>
  <c r="R189" i="7" s="1"/>
  <c r="S189" i="7" s="1"/>
  <c r="D189" i="7"/>
  <c r="AJ188" i="7"/>
  <c r="AK188" i="7" s="1"/>
  <c r="AF188" i="7"/>
  <c r="Z188" i="7"/>
  <c r="V188" i="7"/>
  <c r="U188" i="7"/>
  <c r="P188" i="7"/>
  <c r="Q188" i="7" s="1"/>
  <c r="R188" i="7" s="1"/>
  <c r="D188" i="7"/>
  <c r="AJ187" i="7"/>
  <c r="AK187" i="7" s="1"/>
  <c r="AF187" i="7"/>
  <c r="Z187" i="7"/>
  <c r="V187" i="7"/>
  <c r="U187" i="7"/>
  <c r="P187" i="7"/>
  <c r="Q187" i="7" s="1"/>
  <c r="R187" i="7" s="1"/>
  <c r="S187" i="7" s="1"/>
  <c r="D187" i="7"/>
  <c r="AJ186" i="7"/>
  <c r="AK186" i="7" s="1"/>
  <c r="AF186" i="7"/>
  <c r="Z186" i="7"/>
  <c r="V186" i="7"/>
  <c r="U186" i="7"/>
  <c r="P186" i="7"/>
  <c r="Q186" i="7" s="1"/>
  <c r="R186" i="7" s="1"/>
  <c r="S186" i="7" s="1"/>
  <c r="D186" i="7"/>
  <c r="AJ185" i="7"/>
  <c r="AK185" i="7" s="1"/>
  <c r="AF185" i="7"/>
  <c r="Z185" i="7"/>
  <c r="V185" i="7"/>
  <c r="U185" i="7"/>
  <c r="P185" i="7"/>
  <c r="Q185" i="7" s="1"/>
  <c r="R185" i="7" s="1"/>
  <c r="S185" i="7" s="1"/>
  <c r="D185" i="7"/>
  <c r="AJ184" i="7"/>
  <c r="AK184" i="7" s="1"/>
  <c r="AF184" i="7"/>
  <c r="Z184" i="7"/>
  <c r="V184" i="7"/>
  <c r="U184" i="7"/>
  <c r="P184" i="7"/>
  <c r="Q184" i="7" s="1"/>
  <c r="R184" i="7" s="1"/>
  <c r="S184" i="7" s="1"/>
  <c r="D184" i="7"/>
  <c r="AJ183" i="7"/>
  <c r="AK183" i="7" s="1"/>
  <c r="AF183" i="7"/>
  <c r="Z183" i="7"/>
  <c r="V183" i="7"/>
  <c r="U183" i="7"/>
  <c r="P183" i="7"/>
  <c r="Q183" i="7" s="1"/>
  <c r="R183" i="7" s="1"/>
  <c r="D183" i="7"/>
  <c r="AJ182" i="7"/>
  <c r="AK182" i="7" s="1"/>
  <c r="AF182" i="7"/>
  <c r="Z182" i="7"/>
  <c r="V182" i="7"/>
  <c r="U182" i="7"/>
  <c r="P182" i="7"/>
  <c r="Q182" i="7" s="1"/>
  <c r="R182" i="7" s="1"/>
  <c r="S182" i="7" s="1"/>
  <c r="D182" i="7"/>
  <c r="AJ181" i="7"/>
  <c r="AK181" i="7" s="1"/>
  <c r="AF181" i="7"/>
  <c r="Z181" i="7"/>
  <c r="V181" i="7"/>
  <c r="U181" i="7"/>
  <c r="P181" i="7"/>
  <c r="Q181" i="7" s="1"/>
  <c r="R181" i="7" s="1"/>
  <c r="S181" i="7" s="1"/>
  <c r="D181" i="7"/>
  <c r="AJ180" i="7"/>
  <c r="AK180" i="7" s="1"/>
  <c r="AF180" i="7"/>
  <c r="Z180" i="7"/>
  <c r="V180" i="7"/>
  <c r="U180" i="7"/>
  <c r="P180" i="7"/>
  <c r="Q180" i="7" s="1"/>
  <c r="R180" i="7" s="1"/>
  <c r="S180" i="7" s="1"/>
  <c r="D180" i="7"/>
  <c r="AJ179" i="7"/>
  <c r="AK179" i="7" s="1"/>
  <c r="AF179" i="7"/>
  <c r="Z179" i="7"/>
  <c r="V179" i="7"/>
  <c r="U179" i="7"/>
  <c r="P179" i="7"/>
  <c r="Q179" i="7" s="1"/>
  <c r="R179" i="7" s="1"/>
  <c r="S179" i="7" s="1"/>
  <c r="D179" i="7"/>
  <c r="AJ178" i="7"/>
  <c r="AK178" i="7" s="1"/>
  <c r="AF178" i="7"/>
  <c r="Z178" i="7"/>
  <c r="V178" i="7"/>
  <c r="U178" i="7"/>
  <c r="P178" i="7"/>
  <c r="Q178" i="7" s="1"/>
  <c r="R178" i="7" s="1"/>
  <c r="D178" i="7"/>
  <c r="AJ177" i="7"/>
  <c r="AK177" i="7" s="1"/>
  <c r="AF177" i="7"/>
  <c r="Z177" i="7"/>
  <c r="V177" i="7"/>
  <c r="U177" i="7"/>
  <c r="P177" i="7"/>
  <c r="Q177" i="7" s="1"/>
  <c r="R177" i="7" s="1"/>
  <c r="S177" i="7" s="1"/>
  <c r="D177" i="7"/>
  <c r="AJ176" i="7"/>
  <c r="AK176" i="7" s="1"/>
  <c r="AF176" i="7"/>
  <c r="Z176" i="7"/>
  <c r="V176" i="7"/>
  <c r="U176" i="7"/>
  <c r="P176" i="7"/>
  <c r="Q176" i="7" s="1"/>
  <c r="R176" i="7" s="1"/>
  <c r="S176" i="7" s="1"/>
  <c r="D176" i="7"/>
  <c r="AJ175" i="7"/>
  <c r="AK175" i="7" s="1"/>
  <c r="AF175" i="7"/>
  <c r="Z175" i="7"/>
  <c r="V175" i="7"/>
  <c r="U175" i="7"/>
  <c r="P175" i="7"/>
  <c r="Q175" i="7" s="1"/>
  <c r="R175" i="7" s="1"/>
  <c r="D175" i="7"/>
  <c r="AJ174" i="7"/>
  <c r="AK174" i="7" s="1"/>
  <c r="AF174" i="7"/>
  <c r="Z174" i="7"/>
  <c r="V174" i="7"/>
  <c r="U174" i="7"/>
  <c r="P174" i="7"/>
  <c r="Q174" i="7" s="1"/>
  <c r="R174" i="7" s="1"/>
  <c r="S174" i="7" s="1"/>
  <c r="D174" i="7"/>
  <c r="AJ173" i="7"/>
  <c r="AK173" i="7" s="1"/>
  <c r="AF173" i="7"/>
  <c r="Z173" i="7"/>
  <c r="V173" i="7"/>
  <c r="U173" i="7"/>
  <c r="P173" i="7"/>
  <c r="Q173" i="7" s="1"/>
  <c r="R173" i="7" s="1"/>
  <c r="S173" i="7" s="1"/>
  <c r="D173" i="7"/>
  <c r="AJ172" i="7"/>
  <c r="AK172" i="7" s="1"/>
  <c r="AF172" i="7"/>
  <c r="Z172" i="7"/>
  <c r="V172" i="7"/>
  <c r="U172" i="7"/>
  <c r="P172" i="7"/>
  <c r="Q172" i="7" s="1"/>
  <c r="R172" i="7" s="1"/>
  <c r="S172" i="7" s="1"/>
  <c r="D172" i="7"/>
  <c r="AJ171" i="7"/>
  <c r="AK171" i="7" s="1"/>
  <c r="AF171" i="7"/>
  <c r="Z171" i="7"/>
  <c r="V171" i="7"/>
  <c r="U171" i="7"/>
  <c r="P171" i="7"/>
  <c r="Q171" i="7" s="1"/>
  <c r="R171" i="7" s="1"/>
  <c r="W171" i="7" s="1"/>
  <c r="D171" i="7"/>
  <c r="AJ170" i="7"/>
  <c r="AK170" i="7" s="1"/>
  <c r="AF170" i="7"/>
  <c r="Z170" i="7"/>
  <c r="V170" i="7"/>
  <c r="U170" i="7"/>
  <c r="P170" i="7"/>
  <c r="Q170" i="7" s="1"/>
  <c r="R170" i="7" s="1"/>
  <c r="S170" i="7" s="1"/>
  <c r="D170" i="7"/>
  <c r="AJ169" i="7"/>
  <c r="AK169" i="7" s="1"/>
  <c r="AF169" i="7"/>
  <c r="Z169" i="7"/>
  <c r="V169" i="7"/>
  <c r="U169" i="7"/>
  <c r="P169" i="7"/>
  <c r="Q169" i="7" s="1"/>
  <c r="R169" i="7" s="1"/>
  <c r="S169" i="7" s="1"/>
  <c r="D169" i="7"/>
  <c r="AJ168" i="7"/>
  <c r="AK168" i="7" s="1"/>
  <c r="AF168" i="7"/>
  <c r="Z168" i="7"/>
  <c r="V168" i="7"/>
  <c r="U168" i="7"/>
  <c r="P168" i="7"/>
  <c r="Q168" i="7" s="1"/>
  <c r="R168" i="7" s="1"/>
  <c r="S168" i="7" s="1"/>
  <c r="D168" i="7"/>
  <c r="AJ167" i="7"/>
  <c r="AK167" i="7" s="1"/>
  <c r="AF167" i="7"/>
  <c r="Z167" i="7"/>
  <c r="V167" i="7"/>
  <c r="U167" i="7"/>
  <c r="P167" i="7"/>
  <c r="Q167" i="7" s="1"/>
  <c r="R167" i="7" s="1"/>
  <c r="D167" i="7"/>
  <c r="AJ166" i="7"/>
  <c r="AK166" i="7" s="1"/>
  <c r="AF166" i="7"/>
  <c r="Z166" i="7"/>
  <c r="V166" i="7"/>
  <c r="U166" i="7"/>
  <c r="P166" i="7"/>
  <c r="Q166" i="7" s="1"/>
  <c r="R166" i="7" s="1"/>
  <c r="S166" i="7" s="1"/>
  <c r="D166" i="7"/>
  <c r="AJ165" i="7"/>
  <c r="AK165" i="7" s="1"/>
  <c r="AF165" i="7"/>
  <c r="Z165" i="7"/>
  <c r="V165" i="7"/>
  <c r="U165" i="7"/>
  <c r="P165" i="7"/>
  <c r="Q165" i="7" s="1"/>
  <c r="R165" i="7" s="1"/>
  <c r="S165" i="7" s="1"/>
  <c r="D165" i="7"/>
  <c r="AJ164" i="7"/>
  <c r="AK164" i="7" s="1"/>
  <c r="AF164" i="7"/>
  <c r="Z164" i="7"/>
  <c r="V164" i="7"/>
  <c r="U164" i="7"/>
  <c r="P164" i="7"/>
  <c r="Q164" i="7" s="1"/>
  <c r="R164" i="7" s="1"/>
  <c r="S164" i="7" s="1"/>
  <c r="D164" i="7"/>
  <c r="AJ163" i="7"/>
  <c r="AK163" i="7" s="1"/>
  <c r="AF163" i="7"/>
  <c r="Z163" i="7"/>
  <c r="V163" i="7"/>
  <c r="U163" i="7"/>
  <c r="P163" i="7"/>
  <c r="Q163" i="7" s="1"/>
  <c r="R163" i="7" s="1"/>
  <c r="S163" i="7" s="1"/>
  <c r="D163" i="7"/>
  <c r="AJ162" i="7"/>
  <c r="AK162" i="7" s="1"/>
  <c r="AF162" i="7"/>
  <c r="Z162" i="7"/>
  <c r="V162" i="7"/>
  <c r="U162" i="7"/>
  <c r="P162" i="7"/>
  <c r="Q162" i="7" s="1"/>
  <c r="R162" i="7" s="1"/>
  <c r="S162" i="7" s="1"/>
  <c r="D162" i="7"/>
  <c r="AJ161" i="7"/>
  <c r="AK161" i="7" s="1"/>
  <c r="AF161" i="7"/>
  <c r="Z161" i="7"/>
  <c r="V161" i="7"/>
  <c r="U161" i="7"/>
  <c r="P161" i="7"/>
  <c r="Q161" i="7" s="1"/>
  <c r="R161" i="7" s="1"/>
  <c r="S161" i="7" s="1"/>
  <c r="D161" i="7"/>
  <c r="AJ160" i="7"/>
  <c r="AK160" i="7" s="1"/>
  <c r="AF160" i="7"/>
  <c r="Z160" i="7"/>
  <c r="V160" i="7"/>
  <c r="U160" i="7"/>
  <c r="P160" i="7"/>
  <c r="Q160" i="7" s="1"/>
  <c r="R160" i="7" s="1"/>
  <c r="D160" i="7"/>
  <c r="AJ159" i="7"/>
  <c r="AK159" i="7" s="1"/>
  <c r="AF159" i="7"/>
  <c r="Z159" i="7"/>
  <c r="V159" i="7"/>
  <c r="U159" i="7"/>
  <c r="P159" i="7"/>
  <c r="Q159" i="7" s="1"/>
  <c r="R159" i="7" s="1"/>
  <c r="S159" i="7" s="1"/>
  <c r="D159" i="7"/>
  <c r="AJ158" i="7"/>
  <c r="AK158" i="7" s="1"/>
  <c r="AF158" i="7"/>
  <c r="Z158" i="7"/>
  <c r="V158" i="7"/>
  <c r="U158" i="7"/>
  <c r="P158" i="7"/>
  <c r="Q158" i="7" s="1"/>
  <c r="R158" i="7" s="1"/>
  <c r="S158" i="7" s="1"/>
  <c r="D158" i="7"/>
  <c r="AJ157" i="7"/>
  <c r="AK157" i="7" s="1"/>
  <c r="AF157" i="7"/>
  <c r="Z157" i="7"/>
  <c r="V157" i="7"/>
  <c r="U157" i="7"/>
  <c r="P157" i="7"/>
  <c r="Q157" i="7" s="1"/>
  <c r="R157" i="7" s="1"/>
  <c r="S157" i="7" s="1"/>
  <c r="D157" i="7"/>
  <c r="AJ156" i="7"/>
  <c r="AK156" i="7" s="1"/>
  <c r="AF156" i="7"/>
  <c r="Z156" i="7"/>
  <c r="V156" i="7"/>
  <c r="U156" i="7"/>
  <c r="P156" i="7"/>
  <c r="Q156" i="7" s="1"/>
  <c r="R156" i="7" s="1"/>
  <c r="D156" i="7"/>
  <c r="AJ155" i="7"/>
  <c r="AK155" i="7" s="1"/>
  <c r="AF155" i="7"/>
  <c r="Z155" i="7"/>
  <c r="V155" i="7"/>
  <c r="U155" i="7"/>
  <c r="P155" i="7"/>
  <c r="Q155" i="7" s="1"/>
  <c r="R155" i="7" s="1"/>
  <c r="S155" i="7" s="1"/>
  <c r="D155" i="7"/>
  <c r="AJ154" i="7"/>
  <c r="AK154" i="7" s="1"/>
  <c r="AF154" i="7"/>
  <c r="Z154" i="7"/>
  <c r="V154" i="7"/>
  <c r="U154" i="7"/>
  <c r="P154" i="7"/>
  <c r="Q154" i="7" s="1"/>
  <c r="R154" i="7" s="1"/>
  <c r="S154" i="7" s="1"/>
  <c r="D154" i="7"/>
  <c r="AJ153" i="7"/>
  <c r="AK153" i="7" s="1"/>
  <c r="AF153" i="7"/>
  <c r="Z153" i="7"/>
  <c r="V153" i="7"/>
  <c r="W153" i="7" s="1"/>
  <c r="U153" i="7"/>
  <c r="P153" i="7"/>
  <c r="Q153" i="7" s="1"/>
  <c r="R153" i="7" s="1"/>
  <c r="S153" i="7" s="1"/>
  <c r="D153" i="7"/>
  <c r="AJ152" i="7"/>
  <c r="AK152" i="7" s="1"/>
  <c r="AF152" i="7"/>
  <c r="Z152" i="7"/>
  <c r="V152" i="7"/>
  <c r="U152" i="7"/>
  <c r="P152" i="7"/>
  <c r="Q152" i="7" s="1"/>
  <c r="R152" i="7" s="1"/>
  <c r="D152" i="7"/>
  <c r="AJ151" i="7"/>
  <c r="AK151" i="7" s="1"/>
  <c r="AF151" i="7"/>
  <c r="Z151" i="7"/>
  <c r="V151" i="7"/>
  <c r="U151" i="7"/>
  <c r="P151" i="7"/>
  <c r="Q151" i="7" s="1"/>
  <c r="R151" i="7" s="1"/>
  <c r="S151" i="7" s="1"/>
  <c r="D151" i="7"/>
  <c r="AJ150" i="7"/>
  <c r="AK150" i="7" s="1"/>
  <c r="AF150" i="7"/>
  <c r="Z150" i="7"/>
  <c r="V150" i="7"/>
  <c r="U150" i="7"/>
  <c r="P150" i="7"/>
  <c r="Q150" i="7" s="1"/>
  <c r="R150" i="7" s="1"/>
  <c r="S150" i="7" s="1"/>
  <c r="D150" i="7"/>
  <c r="AJ149" i="7"/>
  <c r="AK149" i="7" s="1"/>
  <c r="AF149" i="7"/>
  <c r="Z149" i="7"/>
  <c r="V149" i="7"/>
  <c r="U149" i="7"/>
  <c r="P149" i="7"/>
  <c r="Q149" i="7" s="1"/>
  <c r="R149" i="7" s="1"/>
  <c r="S149" i="7" s="1"/>
  <c r="D149" i="7"/>
  <c r="AJ148" i="7"/>
  <c r="AK148" i="7" s="1"/>
  <c r="AF148" i="7"/>
  <c r="Z148" i="7"/>
  <c r="V148" i="7"/>
  <c r="U148" i="7"/>
  <c r="P148" i="7"/>
  <c r="Q148" i="7" s="1"/>
  <c r="R148" i="7" s="1"/>
  <c r="D148" i="7"/>
  <c r="AJ147" i="7"/>
  <c r="AK147" i="7" s="1"/>
  <c r="AF147" i="7"/>
  <c r="Z147" i="7"/>
  <c r="V147" i="7"/>
  <c r="U147" i="7"/>
  <c r="P147" i="7"/>
  <c r="Q147" i="7" s="1"/>
  <c r="R147" i="7" s="1"/>
  <c r="S147" i="7" s="1"/>
  <c r="D147" i="7"/>
  <c r="AJ146" i="7"/>
  <c r="AK146" i="7" s="1"/>
  <c r="AF146" i="7"/>
  <c r="Z146" i="7"/>
  <c r="V146" i="7"/>
  <c r="U146" i="7"/>
  <c r="P146" i="7"/>
  <c r="Q146" i="7" s="1"/>
  <c r="R146" i="7" s="1"/>
  <c r="S146" i="7" s="1"/>
  <c r="D146" i="7"/>
  <c r="AJ145" i="7"/>
  <c r="AK145" i="7" s="1"/>
  <c r="AF145" i="7"/>
  <c r="Z145" i="7"/>
  <c r="V145" i="7"/>
  <c r="U145" i="7"/>
  <c r="P145" i="7"/>
  <c r="Q145" i="7" s="1"/>
  <c r="R145" i="7" s="1"/>
  <c r="S145" i="7" s="1"/>
  <c r="D145" i="7"/>
  <c r="AJ144" i="7"/>
  <c r="AK144" i="7" s="1"/>
  <c r="AF144" i="7"/>
  <c r="Z144" i="7"/>
  <c r="V144" i="7"/>
  <c r="U144" i="7"/>
  <c r="P144" i="7"/>
  <c r="Q144" i="7" s="1"/>
  <c r="R144" i="7" s="1"/>
  <c r="S144" i="7" s="1"/>
  <c r="D144" i="7"/>
  <c r="AJ143" i="7"/>
  <c r="AK143" i="7" s="1"/>
  <c r="AF143" i="7"/>
  <c r="Z143" i="7"/>
  <c r="V143" i="7"/>
  <c r="U143" i="7"/>
  <c r="P143" i="7"/>
  <c r="Q143" i="7" s="1"/>
  <c r="R143" i="7" s="1"/>
  <c r="D143" i="7"/>
  <c r="AJ142" i="7"/>
  <c r="AK142" i="7" s="1"/>
  <c r="AF142" i="7"/>
  <c r="Z142" i="7"/>
  <c r="V142" i="7"/>
  <c r="U142" i="7"/>
  <c r="P142" i="7"/>
  <c r="Q142" i="7" s="1"/>
  <c r="R142" i="7" s="1"/>
  <c r="S142" i="7" s="1"/>
  <c r="D142" i="7"/>
  <c r="AJ141" i="7"/>
  <c r="AK141" i="7" s="1"/>
  <c r="AF141" i="7"/>
  <c r="Z141" i="7"/>
  <c r="V141" i="7"/>
  <c r="U141" i="7"/>
  <c r="P141" i="7"/>
  <c r="Q141" i="7" s="1"/>
  <c r="R141" i="7" s="1"/>
  <c r="S141" i="7" s="1"/>
  <c r="D141" i="7"/>
  <c r="AJ140" i="7"/>
  <c r="AK140" i="7" s="1"/>
  <c r="AF140" i="7"/>
  <c r="Z140" i="7"/>
  <c r="V140" i="7"/>
  <c r="U140" i="7"/>
  <c r="P140" i="7"/>
  <c r="Q140" i="7" s="1"/>
  <c r="R140" i="7" s="1"/>
  <c r="S140" i="7" s="1"/>
  <c r="D140" i="7"/>
  <c r="AJ139" i="7"/>
  <c r="AK139" i="7" s="1"/>
  <c r="AF139" i="7"/>
  <c r="Z139" i="7"/>
  <c r="V139" i="7"/>
  <c r="U139" i="7"/>
  <c r="P139" i="7"/>
  <c r="Q139" i="7" s="1"/>
  <c r="R139" i="7" s="1"/>
  <c r="S139" i="7" s="1"/>
  <c r="D139" i="7"/>
  <c r="AJ138" i="7"/>
  <c r="AK138" i="7" s="1"/>
  <c r="AF138" i="7"/>
  <c r="Z138" i="7"/>
  <c r="V138" i="7"/>
  <c r="U138" i="7"/>
  <c r="P138" i="7"/>
  <c r="Q138" i="7" s="1"/>
  <c r="R138" i="7" s="1"/>
  <c r="D138" i="7"/>
  <c r="AJ137" i="7"/>
  <c r="AK137" i="7" s="1"/>
  <c r="AF137" i="7"/>
  <c r="Z137" i="7"/>
  <c r="V137" i="7"/>
  <c r="U137" i="7"/>
  <c r="P137" i="7"/>
  <c r="Q137" i="7" s="1"/>
  <c r="R137" i="7" s="1"/>
  <c r="S137" i="7" s="1"/>
  <c r="D137" i="7"/>
  <c r="AJ136" i="7"/>
  <c r="AK136" i="7" s="1"/>
  <c r="AF136" i="7"/>
  <c r="Z136" i="7"/>
  <c r="V136" i="7"/>
  <c r="U136" i="7"/>
  <c r="P136" i="7"/>
  <c r="Q136" i="7" s="1"/>
  <c r="R136" i="7" s="1"/>
  <c r="S136" i="7" s="1"/>
  <c r="D136" i="7"/>
  <c r="AJ135" i="7"/>
  <c r="AK135" i="7" s="1"/>
  <c r="AF135" i="7"/>
  <c r="Z135" i="7"/>
  <c r="V135" i="7"/>
  <c r="U135" i="7"/>
  <c r="P135" i="7"/>
  <c r="Q135" i="7" s="1"/>
  <c r="R135" i="7" s="1"/>
  <c r="S135" i="7" s="1"/>
  <c r="D135" i="7"/>
  <c r="AJ134" i="7"/>
  <c r="AK134" i="7" s="1"/>
  <c r="AF134" i="7"/>
  <c r="Z134" i="7"/>
  <c r="V134" i="7"/>
  <c r="U134" i="7"/>
  <c r="P134" i="7"/>
  <c r="Q134" i="7" s="1"/>
  <c r="R134" i="7" s="1"/>
  <c r="D134" i="7"/>
  <c r="AJ133" i="7"/>
  <c r="AK133" i="7" s="1"/>
  <c r="AF133" i="7"/>
  <c r="Z133" i="7"/>
  <c r="V133" i="7"/>
  <c r="U133" i="7"/>
  <c r="R133" i="7"/>
  <c r="S133" i="7" s="1"/>
  <c r="P133" i="7"/>
  <c r="Q133" i="7" s="1"/>
  <c r="D133" i="7"/>
  <c r="AJ132" i="7"/>
  <c r="AK132" i="7" s="1"/>
  <c r="AF132" i="7"/>
  <c r="Z132" i="7"/>
  <c r="V132" i="7"/>
  <c r="U132" i="7"/>
  <c r="P132" i="7"/>
  <c r="Q132" i="7" s="1"/>
  <c r="R132" i="7" s="1"/>
  <c r="S132" i="7" s="1"/>
  <c r="D132" i="7"/>
  <c r="AJ131" i="7"/>
  <c r="AK131" i="7" s="1"/>
  <c r="AF131" i="7"/>
  <c r="Z131" i="7"/>
  <c r="V131" i="7"/>
  <c r="U131" i="7"/>
  <c r="P131" i="7"/>
  <c r="Q131" i="7" s="1"/>
  <c r="R131" i="7" s="1"/>
  <c r="S131" i="7" s="1"/>
  <c r="D131" i="7"/>
  <c r="AJ130" i="7"/>
  <c r="AK130" i="7" s="1"/>
  <c r="AF130" i="7"/>
  <c r="Z130" i="7"/>
  <c r="V130" i="7"/>
  <c r="U130" i="7"/>
  <c r="P130" i="7"/>
  <c r="Q130" i="7" s="1"/>
  <c r="R130" i="7" s="1"/>
  <c r="S130" i="7" s="1"/>
  <c r="D130" i="7"/>
  <c r="AK129" i="7"/>
  <c r="AJ129" i="7"/>
  <c r="AF129" i="7"/>
  <c r="Z129" i="7"/>
  <c r="V129" i="7"/>
  <c r="U129" i="7"/>
  <c r="P129" i="7"/>
  <c r="Q129" i="7" s="1"/>
  <c r="R129" i="7" s="1"/>
  <c r="D129" i="7"/>
  <c r="AJ128" i="7"/>
  <c r="AK128" i="7" s="1"/>
  <c r="AF128" i="7"/>
  <c r="Z128" i="7"/>
  <c r="V128" i="7"/>
  <c r="U128" i="7"/>
  <c r="P128" i="7"/>
  <c r="Q128" i="7" s="1"/>
  <c r="R128" i="7" s="1"/>
  <c r="S128" i="7" s="1"/>
  <c r="D128" i="7"/>
  <c r="AJ127" i="7"/>
  <c r="AK127" i="7" s="1"/>
  <c r="AF127" i="7"/>
  <c r="Z127" i="7"/>
  <c r="V127" i="7"/>
  <c r="U127" i="7"/>
  <c r="P127" i="7"/>
  <c r="Q127" i="7" s="1"/>
  <c r="R127" i="7" s="1"/>
  <c r="S127" i="7" s="1"/>
  <c r="D127" i="7"/>
  <c r="AJ126" i="7"/>
  <c r="AK126" i="7" s="1"/>
  <c r="AF126" i="7"/>
  <c r="Z126" i="7"/>
  <c r="V126" i="7"/>
  <c r="U126" i="7"/>
  <c r="P126" i="7"/>
  <c r="Q126" i="7" s="1"/>
  <c r="R126" i="7" s="1"/>
  <c r="D126" i="7"/>
  <c r="AJ125" i="7"/>
  <c r="AK125" i="7" s="1"/>
  <c r="AF125" i="7"/>
  <c r="Z125" i="7"/>
  <c r="V125" i="7"/>
  <c r="U125" i="7"/>
  <c r="P125" i="7"/>
  <c r="Q125" i="7" s="1"/>
  <c r="R125" i="7" s="1"/>
  <c r="D125" i="7"/>
  <c r="AJ124" i="7"/>
  <c r="AK124" i="7" s="1"/>
  <c r="AF124" i="7"/>
  <c r="Z124" i="7"/>
  <c r="V124" i="7"/>
  <c r="U124" i="7"/>
  <c r="P124" i="7"/>
  <c r="Q124" i="7" s="1"/>
  <c r="R124" i="7" s="1"/>
  <c r="S124" i="7" s="1"/>
  <c r="D124" i="7"/>
  <c r="AJ123" i="7"/>
  <c r="AK123" i="7" s="1"/>
  <c r="AF123" i="7"/>
  <c r="Z123" i="7"/>
  <c r="V123" i="7"/>
  <c r="U123" i="7"/>
  <c r="P123" i="7"/>
  <c r="Q123" i="7" s="1"/>
  <c r="R123" i="7" s="1"/>
  <c r="S123" i="7" s="1"/>
  <c r="D123" i="7"/>
  <c r="AJ122" i="7"/>
  <c r="AK122" i="7" s="1"/>
  <c r="AF122" i="7"/>
  <c r="Z122" i="7"/>
  <c r="V122" i="7"/>
  <c r="U122" i="7"/>
  <c r="P122" i="7"/>
  <c r="Q122" i="7" s="1"/>
  <c r="R122" i="7" s="1"/>
  <c r="D122" i="7"/>
  <c r="AJ121" i="7"/>
  <c r="AK121" i="7" s="1"/>
  <c r="AF121" i="7"/>
  <c r="Z121" i="7"/>
  <c r="V121" i="7"/>
  <c r="U121" i="7"/>
  <c r="P121" i="7"/>
  <c r="Q121" i="7" s="1"/>
  <c r="R121" i="7" s="1"/>
  <c r="W121" i="7" s="1"/>
  <c r="D121" i="7"/>
  <c r="AJ120" i="7"/>
  <c r="AK120" i="7" s="1"/>
  <c r="AF120" i="7"/>
  <c r="Z120" i="7"/>
  <c r="V120" i="7"/>
  <c r="U120" i="7"/>
  <c r="P120" i="7"/>
  <c r="Q120" i="7" s="1"/>
  <c r="R120" i="7" s="1"/>
  <c r="S120" i="7" s="1"/>
  <c r="D120" i="7"/>
  <c r="AJ119" i="7"/>
  <c r="AK119" i="7" s="1"/>
  <c r="AF119" i="7"/>
  <c r="Z119" i="7"/>
  <c r="V119" i="7"/>
  <c r="U119" i="7"/>
  <c r="Q119" i="7"/>
  <c r="R119" i="7" s="1"/>
  <c r="S119" i="7" s="1"/>
  <c r="P119" i="7"/>
  <c r="D119" i="7"/>
  <c r="AJ118" i="7"/>
  <c r="AK118" i="7" s="1"/>
  <c r="AF118" i="7"/>
  <c r="Z118" i="7"/>
  <c r="V118" i="7"/>
  <c r="U118" i="7"/>
  <c r="P118" i="7"/>
  <c r="Q118" i="7" s="1"/>
  <c r="R118" i="7" s="1"/>
  <c r="D118" i="7"/>
  <c r="AJ117" i="7"/>
  <c r="AK117" i="7" s="1"/>
  <c r="AF117" i="7"/>
  <c r="Z117" i="7"/>
  <c r="V117" i="7"/>
  <c r="U117" i="7"/>
  <c r="P117" i="7"/>
  <c r="Q117" i="7" s="1"/>
  <c r="R117" i="7" s="1"/>
  <c r="D117" i="7"/>
  <c r="AJ116" i="7"/>
  <c r="AK116" i="7" s="1"/>
  <c r="AF116" i="7"/>
  <c r="Z116" i="7"/>
  <c r="V116" i="7"/>
  <c r="U116" i="7"/>
  <c r="P116" i="7"/>
  <c r="Q116" i="7" s="1"/>
  <c r="R116" i="7" s="1"/>
  <c r="S116" i="7" s="1"/>
  <c r="D116" i="7"/>
  <c r="AJ115" i="7"/>
  <c r="AK115" i="7" s="1"/>
  <c r="AF115" i="7"/>
  <c r="Z115" i="7"/>
  <c r="V115" i="7"/>
  <c r="U115" i="7"/>
  <c r="P115" i="7"/>
  <c r="Q115" i="7" s="1"/>
  <c r="R115" i="7" s="1"/>
  <c r="S115" i="7" s="1"/>
  <c r="D115" i="7"/>
  <c r="AK114" i="7"/>
  <c r="AJ114" i="7"/>
  <c r="AF114" i="7"/>
  <c r="Z114" i="7"/>
  <c r="V114" i="7"/>
  <c r="U114" i="7"/>
  <c r="P114" i="7"/>
  <c r="Q114" i="7" s="1"/>
  <c r="R114" i="7" s="1"/>
  <c r="D114" i="7"/>
  <c r="AK113" i="7"/>
  <c r="AJ113" i="7"/>
  <c r="AF113" i="7"/>
  <c r="Z113" i="7"/>
  <c r="V113" i="7"/>
  <c r="U113" i="7"/>
  <c r="P113" i="7"/>
  <c r="Q113" i="7" s="1"/>
  <c r="R113" i="7" s="1"/>
  <c r="D113" i="7"/>
  <c r="AJ112" i="7"/>
  <c r="AK112" i="7" s="1"/>
  <c r="AF112" i="7"/>
  <c r="Z112" i="7"/>
  <c r="V112" i="7"/>
  <c r="U112" i="7"/>
  <c r="P112" i="7"/>
  <c r="Q112" i="7" s="1"/>
  <c r="R112" i="7" s="1"/>
  <c r="S112" i="7" s="1"/>
  <c r="D112" i="7"/>
  <c r="AJ111" i="7"/>
  <c r="AK111" i="7" s="1"/>
  <c r="AF111" i="7"/>
  <c r="Z111" i="7"/>
  <c r="V111" i="7"/>
  <c r="U111" i="7"/>
  <c r="P111" i="7"/>
  <c r="Q111" i="7" s="1"/>
  <c r="R111" i="7" s="1"/>
  <c r="S111" i="7" s="1"/>
  <c r="D111" i="7"/>
  <c r="AJ110" i="7"/>
  <c r="AK110" i="7" s="1"/>
  <c r="AF110" i="7"/>
  <c r="Z110" i="7"/>
  <c r="V110" i="7"/>
  <c r="U110" i="7"/>
  <c r="P110" i="7"/>
  <c r="Q110" i="7" s="1"/>
  <c r="R110" i="7" s="1"/>
  <c r="D110" i="7"/>
  <c r="AJ109" i="7"/>
  <c r="AK109" i="7" s="1"/>
  <c r="AF109" i="7"/>
  <c r="Z109" i="7"/>
  <c r="V109" i="7"/>
  <c r="U109" i="7"/>
  <c r="P109" i="7"/>
  <c r="Q109" i="7" s="1"/>
  <c r="R109" i="7" s="1"/>
  <c r="S109" i="7" s="1"/>
  <c r="D109" i="7"/>
  <c r="AJ108" i="7"/>
  <c r="AK108" i="7" s="1"/>
  <c r="AF108" i="7"/>
  <c r="Z108" i="7"/>
  <c r="V108" i="7"/>
  <c r="U108" i="7"/>
  <c r="P108" i="7"/>
  <c r="Q108" i="7" s="1"/>
  <c r="R108" i="7" s="1"/>
  <c r="S108" i="7" s="1"/>
  <c r="D108" i="7"/>
  <c r="AJ107" i="7"/>
  <c r="AK107" i="7" s="1"/>
  <c r="AF107" i="7"/>
  <c r="Z107" i="7"/>
  <c r="V107" i="7"/>
  <c r="U107" i="7"/>
  <c r="P107" i="7"/>
  <c r="Q107" i="7" s="1"/>
  <c r="R107" i="7" s="1"/>
  <c r="D107" i="7"/>
  <c r="AJ106" i="7"/>
  <c r="AK106" i="7" s="1"/>
  <c r="AF106" i="7"/>
  <c r="Z106" i="7"/>
  <c r="V106" i="7"/>
  <c r="U106" i="7"/>
  <c r="P106" i="7"/>
  <c r="Q106" i="7" s="1"/>
  <c r="R106" i="7" s="1"/>
  <c r="S106" i="7" s="1"/>
  <c r="D106" i="7"/>
  <c r="AJ105" i="7"/>
  <c r="AK105" i="7" s="1"/>
  <c r="AF105" i="7"/>
  <c r="Z105" i="7"/>
  <c r="V105" i="7"/>
  <c r="U105" i="7"/>
  <c r="P105" i="7"/>
  <c r="Q105" i="7" s="1"/>
  <c r="R105" i="7" s="1"/>
  <c r="D105" i="7"/>
  <c r="AJ104" i="7"/>
  <c r="AK104" i="7" s="1"/>
  <c r="AF104" i="7"/>
  <c r="Z104" i="7"/>
  <c r="V104" i="7"/>
  <c r="U104" i="7"/>
  <c r="P104" i="7"/>
  <c r="Q104" i="7" s="1"/>
  <c r="R104" i="7" s="1"/>
  <c r="S104" i="7" s="1"/>
  <c r="D104" i="7"/>
  <c r="AJ103" i="7"/>
  <c r="AK103" i="7" s="1"/>
  <c r="AF103" i="7"/>
  <c r="Z103" i="7"/>
  <c r="V103" i="7"/>
  <c r="U103" i="7"/>
  <c r="P103" i="7"/>
  <c r="Q103" i="7" s="1"/>
  <c r="R103" i="7" s="1"/>
  <c r="D103" i="7"/>
  <c r="AJ102" i="7"/>
  <c r="AK102" i="7" s="1"/>
  <c r="AF102" i="7"/>
  <c r="Z102" i="7"/>
  <c r="V102" i="7"/>
  <c r="U102" i="7"/>
  <c r="P102" i="7"/>
  <c r="Q102" i="7" s="1"/>
  <c r="R102" i="7" s="1"/>
  <c r="S102" i="7" s="1"/>
  <c r="D102" i="7"/>
  <c r="AJ101" i="7"/>
  <c r="AK101" i="7" s="1"/>
  <c r="AF101" i="7"/>
  <c r="Z101" i="7"/>
  <c r="V101" i="7"/>
  <c r="U101" i="7"/>
  <c r="P101" i="7"/>
  <c r="Q101" i="7" s="1"/>
  <c r="R101" i="7" s="1"/>
  <c r="S101" i="7" s="1"/>
  <c r="D101" i="7"/>
  <c r="AJ100" i="7"/>
  <c r="AK100" i="7" s="1"/>
  <c r="AF100" i="7"/>
  <c r="Z100" i="7"/>
  <c r="V100" i="7"/>
  <c r="U100" i="7"/>
  <c r="P100" i="7"/>
  <c r="Q100" i="7" s="1"/>
  <c r="R100" i="7" s="1"/>
  <c r="S100" i="7" s="1"/>
  <c r="D100" i="7"/>
  <c r="AJ99" i="7"/>
  <c r="AK99" i="7" s="1"/>
  <c r="AF99" i="7"/>
  <c r="Z99" i="7"/>
  <c r="V99" i="7"/>
  <c r="U99" i="7"/>
  <c r="P99" i="7"/>
  <c r="Q99" i="7" s="1"/>
  <c r="R99" i="7" s="1"/>
  <c r="D99" i="7"/>
  <c r="AJ98" i="7"/>
  <c r="AK98" i="7" s="1"/>
  <c r="AF98" i="7"/>
  <c r="Z98" i="7"/>
  <c r="V98" i="7"/>
  <c r="U98" i="7"/>
  <c r="P98" i="7"/>
  <c r="Q98" i="7" s="1"/>
  <c r="R98" i="7" s="1"/>
  <c r="S98" i="7" s="1"/>
  <c r="D98" i="7"/>
  <c r="AJ97" i="7"/>
  <c r="AK97" i="7" s="1"/>
  <c r="AF97" i="7"/>
  <c r="Z97" i="7"/>
  <c r="V97" i="7"/>
  <c r="U97" i="7"/>
  <c r="P97" i="7"/>
  <c r="Q97" i="7" s="1"/>
  <c r="R97" i="7" s="1"/>
  <c r="D97" i="7"/>
  <c r="AJ96" i="7"/>
  <c r="AK96" i="7" s="1"/>
  <c r="AF96" i="7"/>
  <c r="Z96" i="7"/>
  <c r="V96" i="7"/>
  <c r="U96" i="7"/>
  <c r="P96" i="7"/>
  <c r="Q96" i="7" s="1"/>
  <c r="R96" i="7" s="1"/>
  <c r="S96" i="7" s="1"/>
  <c r="D96" i="7"/>
  <c r="AJ95" i="7"/>
  <c r="AK95" i="7" s="1"/>
  <c r="AF95" i="7"/>
  <c r="Z95" i="7"/>
  <c r="V95" i="7"/>
  <c r="U95" i="7"/>
  <c r="P95" i="7"/>
  <c r="Q95" i="7" s="1"/>
  <c r="R95" i="7" s="1"/>
  <c r="D95" i="7"/>
  <c r="AJ94" i="7"/>
  <c r="AK94" i="7" s="1"/>
  <c r="AF94" i="7"/>
  <c r="Z94" i="7"/>
  <c r="V94" i="7"/>
  <c r="U94" i="7"/>
  <c r="P94" i="7"/>
  <c r="Q94" i="7" s="1"/>
  <c r="R94" i="7" s="1"/>
  <c r="S94" i="7" s="1"/>
  <c r="D94" i="7"/>
  <c r="AJ93" i="7"/>
  <c r="AK93" i="7" s="1"/>
  <c r="AF93" i="7"/>
  <c r="Z93" i="7"/>
  <c r="V93" i="7"/>
  <c r="U93" i="7"/>
  <c r="P93" i="7"/>
  <c r="Q93" i="7" s="1"/>
  <c r="R93" i="7" s="1"/>
  <c r="D93" i="7"/>
  <c r="AJ92" i="7"/>
  <c r="AK92" i="7" s="1"/>
  <c r="AF92" i="7"/>
  <c r="Z92" i="7"/>
  <c r="V92" i="7"/>
  <c r="U92" i="7"/>
  <c r="P92" i="7"/>
  <c r="Q92" i="7" s="1"/>
  <c r="R92" i="7" s="1"/>
  <c r="S92" i="7" s="1"/>
  <c r="D92" i="7"/>
  <c r="AJ91" i="7"/>
  <c r="AK91" i="7" s="1"/>
  <c r="AF91" i="7"/>
  <c r="Z91" i="7"/>
  <c r="V91" i="7"/>
  <c r="U91" i="7"/>
  <c r="P91" i="7"/>
  <c r="Q91" i="7" s="1"/>
  <c r="R91" i="7" s="1"/>
  <c r="D91" i="7"/>
  <c r="AJ90" i="7"/>
  <c r="AK90" i="7" s="1"/>
  <c r="AF90" i="7"/>
  <c r="Z90" i="7"/>
  <c r="V90" i="7"/>
  <c r="U90" i="7"/>
  <c r="P90" i="7"/>
  <c r="Q90" i="7" s="1"/>
  <c r="R90" i="7" s="1"/>
  <c r="S90" i="7" s="1"/>
  <c r="D90" i="7"/>
  <c r="AJ89" i="7"/>
  <c r="AK89" i="7" s="1"/>
  <c r="AF89" i="7"/>
  <c r="Z89" i="7"/>
  <c r="V89" i="7"/>
  <c r="U89" i="7"/>
  <c r="P89" i="7"/>
  <c r="Q89" i="7" s="1"/>
  <c r="R89" i="7" s="1"/>
  <c r="D89" i="7"/>
  <c r="AJ88" i="7"/>
  <c r="AK88" i="7" s="1"/>
  <c r="AF88" i="7"/>
  <c r="Z88" i="7"/>
  <c r="V88" i="7"/>
  <c r="U88" i="7"/>
  <c r="P88" i="7"/>
  <c r="Q88" i="7" s="1"/>
  <c r="R88" i="7" s="1"/>
  <c r="S88" i="7" s="1"/>
  <c r="D88" i="7"/>
  <c r="AJ87" i="7"/>
  <c r="AK87" i="7" s="1"/>
  <c r="AF87" i="7"/>
  <c r="Z87" i="7"/>
  <c r="V87" i="7"/>
  <c r="U87" i="7"/>
  <c r="P87" i="7"/>
  <c r="Q87" i="7" s="1"/>
  <c r="R87" i="7" s="1"/>
  <c r="D87" i="7"/>
  <c r="AJ86" i="7"/>
  <c r="AK86" i="7" s="1"/>
  <c r="AF86" i="7"/>
  <c r="Z86" i="7"/>
  <c r="V86" i="7"/>
  <c r="U86" i="7"/>
  <c r="P86" i="7"/>
  <c r="Q86" i="7" s="1"/>
  <c r="R86" i="7" s="1"/>
  <c r="S86" i="7" s="1"/>
  <c r="D86" i="7"/>
  <c r="AJ85" i="7"/>
  <c r="AK85" i="7" s="1"/>
  <c r="AF85" i="7"/>
  <c r="Z85" i="7"/>
  <c r="V85" i="7"/>
  <c r="U85" i="7"/>
  <c r="P85" i="7"/>
  <c r="Q85" i="7" s="1"/>
  <c r="R85" i="7" s="1"/>
  <c r="D85" i="7"/>
  <c r="AJ84" i="7"/>
  <c r="AK84" i="7" s="1"/>
  <c r="AF84" i="7"/>
  <c r="Z84" i="7"/>
  <c r="V84" i="7"/>
  <c r="U84" i="7"/>
  <c r="P84" i="7"/>
  <c r="Q84" i="7" s="1"/>
  <c r="R84" i="7" s="1"/>
  <c r="S84" i="7" s="1"/>
  <c r="D84" i="7"/>
  <c r="AJ83" i="7"/>
  <c r="AK83" i="7" s="1"/>
  <c r="AF83" i="7"/>
  <c r="Z83" i="7"/>
  <c r="V83" i="7"/>
  <c r="U83" i="7"/>
  <c r="P83" i="7"/>
  <c r="Q83" i="7" s="1"/>
  <c r="R83" i="7" s="1"/>
  <c r="D83" i="7"/>
  <c r="AJ82" i="7"/>
  <c r="AK82" i="7" s="1"/>
  <c r="AF82" i="7"/>
  <c r="Z82" i="7"/>
  <c r="V82" i="7"/>
  <c r="U82" i="7"/>
  <c r="P82" i="7"/>
  <c r="Q82" i="7" s="1"/>
  <c r="R82" i="7" s="1"/>
  <c r="S82" i="7" s="1"/>
  <c r="D82" i="7"/>
  <c r="AJ81" i="7"/>
  <c r="AK81" i="7" s="1"/>
  <c r="AF81" i="7"/>
  <c r="Z81" i="7"/>
  <c r="V81" i="7"/>
  <c r="U81" i="7"/>
  <c r="P81" i="7"/>
  <c r="Q81" i="7" s="1"/>
  <c r="R81" i="7" s="1"/>
  <c r="D81" i="7"/>
  <c r="AJ80" i="7"/>
  <c r="AK80" i="7" s="1"/>
  <c r="AF80" i="7"/>
  <c r="Z80" i="7"/>
  <c r="V80" i="7"/>
  <c r="U80" i="7"/>
  <c r="P80" i="7"/>
  <c r="Q80" i="7" s="1"/>
  <c r="R80" i="7" s="1"/>
  <c r="S80" i="7" s="1"/>
  <c r="D80" i="7"/>
  <c r="AJ79" i="7"/>
  <c r="AK79" i="7" s="1"/>
  <c r="AF79" i="7"/>
  <c r="Z79" i="7"/>
  <c r="V79" i="7"/>
  <c r="U79" i="7"/>
  <c r="P79" i="7"/>
  <c r="Q79" i="7" s="1"/>
  <c r="R79" i="7" s="1"/>
  <c r="D79" i="7"/>
  <c r="AJ78" i="7"/>
  <c r="AK78" i="7" s="1"/>
  <c r="AF78" i="7"/>
  <c r="Z78" i="7"/>
  <c r="V78" i="7"/>
  <c r="U78" i="7"/>
  <c r="P78" i="7"/>
  <c r="Q78" i="7" s="1"/>
  <c r="R78" i="7" s="1"/>
  <c r="S78" i="7" s="1"/>
  <c r="D78" i="7"/>
  <c r="AJ77" i="7"/>
  <c r="AK77" i="7" s="1"/>
  <c r="AF77" i="7"/>
  <c r="Z77" i="7"/>
  <c r="V77" i="7"/>
  <c r="U77" i="7"/>
  <c r="P77" i="7"/>
  <c r="Q77" i="7" s="1"/>
  <c r="R77" i="7" s="1"/>
  <c r="S77" i="7" s="1"/>
  <c r="D77" i="7"/>
  <c r="AJ76" i="7"/>
  <c r="AK76" i="7" s="1"/>
  <c r="AF76" i="7"/>
  <c r="Z76" i="7"/>
  <c r="V76" i="7"/>
  <c r="U76" i="7"/>
  <c r="P76" i="7"/>
  <c r="Q76" i="7" s="1"/>
  <c r="R76" i="7" s="1"/>
  <c r="S76" i="7" s="1"/>
  <c r="D76" i="7"/>
  <c r="AJ75" i="7"/>
  <c r="AK75" i="7" s="1"/>
  <c r="AF75" i="7"/>
  <c r="Z75" i="7"/>
  <c r="V75" i="7"/>
  <c r="U75" i="7"/>
  <c r="P75" i="7"/>
  <c r="Q75" i="7" s="1"/>
  <c r="R75" i="7" s="1"/>
  <c r="D75" i="7"/>
  <c r="AJ74" i="7"/>
  <c r="AK74" i="7" s="1"/>
  <c r="AF74" i="7"/>
  <c r="Z74" i="7"/>
  <c r="V74" i="7"/>
  <c r="U74" i="7"/>
  <c r="P74" i="7"/>
  <c r="Q74" i="7" s="1"/>
  <c r="R74" i="7" s="1"/>
  <c r="S74" i="7" s="1"/>
  <c r="D74" i="7"/>
  <c r="AJ73" i="7"/>
  <c r="AK73" i="7" s="1"/>
  <c r="AF73" i="7"/>
  <c r="Z73" i="7"/>
  <c r="V73" i="7"/>
  <c r="U73" i="7"/>
  <c r="P73" i="7"/>
  <c r="Q73" i="7" s="1"/>
  <c r="R73" i="7" s="1"/>
  <c r="S73" i="7" s="1"/>
  <c r="D73" i="7"/>
  <c r="AJ72" i="7"/>
  <c r="AK72" i="7" s="1"/>
  <c r="AF72" i="7"/>
  <c r="Z72" i="7"/>
  <c r="V72" i="7"/>
  <c r="U72" i="7"/>
  <c r="P72" i="7"/>
  <c r="Q72" i="7" s="1"/>
  <c r="R72" i="7" s="1"/>
  <c r="S72" i="7" s="1"/>
  <c r="D72" i="7"/>
  <c r="AJ71" i="7"/>
  <c r="AK71" i="7" s="1"/>
  <c r="AF71" i="7"/>
  <c r="Z71" i="7"/>
  <c r="V71" i="7"/>
  <c r="U71" i="7"/>
  <c r="P71" i="7"/>
  <c r="Q71" i="7" s="1"/>
  <c r="R71" i="7" s="1"/>
  <c r="S71" i="7" s="1"/>
  <c r="D71" i="7"/>
  <c r="AJ70" i="7"/>
  <c r="AK70" i="7" s="1"/>
  <c r="AF70" i="7"/>
  <c r="Z70" i="7"/>
  <c r="V70" i="7"/>
  <c r="U70" i="7"/>
  <c r="P70" i="7"/>
  <c r="Q70" i="7" s="1"/>
  <c r="R70" i="7" s="1"/>
  <c r="D70" i="7"/>
  <c r="AJ69" i="7"/>
  <c r="AK69" i="7" s="1"/>
  <c r="AF69" i="7"/>
  <c r="Z69" i="7"/>
  <c r="V69" i="7"/>
  <c r="U69" i="7"/>
  <c r="P69" i="7"/>
  <c r="Q69" i="7" s="1"/>
  <c r="R69" i="7" s="1"/>
  <c r="S69" i="7" s="1"/>
  <c r="D69" i="7"/>
  <c r="AJ68" i="7"/>
  <c r="AK68" i="7" s="1"/>
  <c r="AF68" i="7"/>
  <c r="Z68" i="7"/>
  <c r="V68" i="7"/>
  <c r="U68" i="7"/>
  <c r="P68" i="7"/>
  <c r="Q68" i="7" s="1"/>
  <c r="R68" i="7" s="1"/>
  <c r="D68" i="7"/>
  <c r="AJ67" i="7"/>
  <c r="AK67" i="7" s="1"/>
  <c r="AF67" i="7"/>
  <c r="Z67" i="7"/>
  <c r="V67" i="7"/>
  <c r="U67" i="7"/>
  <c r="P67" i="7"/>
  <c r="Q67" i="7" s="1"/>
  <c r="R67" i="7" s="1"/>
  <c r="S67" i="7" s="1"/>
  <c r="D67" i="7"/>
  <c r="AJ66" i="7"/>
  <c r="AK66" i="7" s="1"/>
  <c r="AF66" i="7"/>
  <c r="Z66" i="7"/>
  <c r="V66" i="7"/>
  <c r="U66" i="7"/>
  <c r="P66" i="7"/>
  <c r="Q66" i="7" s="1"/>
  <c r="R66" i="7" s="1"/>
  <c r="D66" i="7"/>
  <c r="AJ65" i="7"/>
  <c r="AK65" i="7" s="1"/>
  <c r="AF65" i="7"/>
  <c r="Z65" i="7"/>
  <c r="V65" i="7"/>
  <c r="U65" i="7"/>
  <c r="P65" i="7"/>
  <c r="Q65" i="7" s="1"/>
  <c r="R65" i="7" s="1"/>
  <c r="S65" i="7" s="1"/>
  <c r="D65" i="7"/>
  <c r="AJ64" i="7"/>
  <c r="AK64" i="7" s="1"/>
  <c r="AF64" i="7"/>
  <c r="Z64" i="7"/>
  <c r="V64" i="7"/>
  <c r="U64" i="7"/>
  <c r="P64" i="7"/>
  <c r="Q64" i="7" s="1"/>
  <c r="R64" i="7" s="1"/>
  <c r="D64" i="7"/>
  <c r="AJ63" i="7"/>
  <c r="AK63" i="7" s="1"/>
  <c r="AF63" i="7"/>
  <c r="Z63" i="7"/>
  <c r="V63" i="7"/>
  <c r="U63" i="7"/>
  <c r="P63" i="7"/>
  <c r="Q63" i="7" s="1"/>
  <c r="R63" i="7" s="1"/>
  <c r="S63" i="7" s="1"/>
  <c r="D63" i="7"/>
  <c r="AJ62" i="7"/>
  <c r="AK62" i="7" s="1"/>
  <c r="AF62" i="7"/>
  <c r="Z62" i="7"/>
  <c r="V62" i="7"/>
  <c r="U62" i="7"/>
  <c r="P62" i="7"/>
  <c r="Q62" i="7" s="1"/>
  <c r="R62" i="7" s="1"/>
  <c r="D62" i="7"/>
  <c r="AJ61" i="7"/>
  <c r="AK61" i="7" s="1"/>
  <c r="AF61" i="7"/>
  <c r="Z61" i="7"/>
  <c r="V61" i="7"/>
  <c r="U61" i="7"/>
  <c r="Q61" i="7"/>
  <c r="R61" i="7" s="1"/>
  <c r="S61" i="7" s="1"/>
  <c r="P61" i="7"/>
  <c r="D61" i="7"/>
  <c r="AJ60" i="7"/>
  <c r="AK60" i="7" s="1"/>
  <c r="AF60" i="7"/>
  <c r="Z60" i="7"/>
  <c r="V60" i="7"/>
  <c r="U60" i="7"/>
  <c r="P60" i="7"/>
  <c r="Q60" i="7" s="1"/>
  <c r="R60" i="7" s="1"/>
  <c r="D60" i="7"/>
  <c r="AJ59" i="7"/>
  <c r="AK59" i="7" s="1"/>
  <c r="AF59" i="7"/>
  <c r="Z59" i="7"/>
  <c r="V59" i="7"/>
  <c r="U59" i="7"/>
  <c r="P59" i="7"/>
  <c r="Q59" i="7" s="1"/>
  <c r="R59" i="7" s="1"/>
  <c r="S59" i="7" s="1"/>
  <c r="D59" i="7"/>
  <c r="AJ58" i="7"/>
  <c r="AK58" i="7" s="1"/>
  <c r="AF58" i="7"/>
  <c r="Z58" i="7"/>
  <c r="V58" i="7"/>
  <c r="U58" i="7"/>
  <c r="P58" i="7"/>
  <c r="Q58" i="7" s="1"/>
  <c r="R58" i="7" s="1"/>
  <c r="D58" i="7"/>
  <c r="AJ57" i="7"/>
  <c r="AK57" i="7" s="1"/>
  <c r="AF57" i="7"/>
  <c r="Z57" i="7"/>
  <c r="V57" i="7"/>
  <c r="U57" i="7"/>
  <c r="P57" i="7"/>
  <c r="Q57" i="7" s="1"/>
  <c r="R57" i="7" s="1"/>
  <c r="S57" i="7" s="1"/>
  <c r="D57" i="7"/>
  <c r="AJ56" i="7"/>
  <c r="AK56" i="7" s="1"/>
  <c r="AF56" i="7"/>
  <c r="Z56" i="7"/>
  <c r="V56" i="7"/>
  <c r="U56" i="7"/>
  <c r="P56" i="7"/>
  <c r="Q56" i="7" s="1"/>
  <c r="R56" i="7" s="1"/>
  <c r="D56" i="7"/>
  <c r="AJ55" i="7"/>
  <c r="AK55" i="7" s="1"/>
  <c r="AF55" i="7"/>
  <c r="Z55" i="7"/>
  <c r="V55" i="7"/>
  <c r="U55" i="7"/>
  <c r="P55" i="7"/>
  <c r="Q55" i="7" s="1"/>
  <c r="R55" i="7" s="1"/>
  <c r="S55" i="7" s="1"/>
  <c r="D55" i="7"/>
  <c r="AJ54" i="7"/>
  <c r="AK54" i="7" s="1"/>
  <c r="AF54" i="7"/>
  <c r="Z54" i="7"/>
  <c r="V54" i="7"/>
  <c r="U54" i="7"/>
  <c r="P54" i="7"/>
  <c r="Q54" i="7" s="1"/>
  <c r="R54" i="7" s="1"/>
  <c r="D54" i="7"/>
  <c r="AJ53" i="7"/>
  <c r="AK53" i="7" s="1"/>
  <c r="AF53" i="7"/>
  <c r="Z53" i="7"/>
  <c r="V53" i="7"/>
  <c r="U53" i="7"/>
  <c r="P53" i="7"/>
  <c r="Q53" i="7" s="1"/>
  <c r="R53" i="7" s="1"/>
  <c r="S53" i="7" s="1"/>
  <c r="D53" i="7"/>
  <c r="AJ52" i="7"/>
  <c r="AK52" i="7" s="1"/>
  <c r="AF52" i="7"/>
  <c r="Z52" i="7"/>
  <c r="V52" i="7"/>
  <c r="U52" i="7"/>
  <c r="P52" i="7"/>
  <c r="Q52" i="7" s="1"/>
  <c r="R52" i="7" s="1"/>
  <c r="D52" i="7"/>
  <c r="AJ51" i="7"/>
  <c r="AK51" i="7" s="1"/>
  <c r="AF51" i="7"/>
  <c r="Z51" i="7"/>
  <c r="V51" i="7"/>
  <c r="U51" i="7"/>
  <c r="P51" i="7"/>
  <c r="Q51" i="7" s="1"/>
  <c r="R51" i="7" s="1"/>
  <c r="S51" i="7" s="1"/>
  <c r="D51" i="7"/>
  <c r="AJ50" i="7"/>
  <c r="AK50" i="7" s="1"/>
  <c r="AF50" i="7"/>
  <c r="Z50" i="7"/>
  <c r="V50" i="7"/>
  <c r="U50" i="7"/>
  <c r="P50" i="7"/>
  <c r="Q50" i="7" s="1"/>
  <c r="R50" i="7" s="1"/>
  <c r="D50" i="7"/>
  <c r="AJ49" i="7"/>
  <c r="AK49" i="7" s="1"/>
  <c r="AF49" i="7"/>
  <c r="Z49" i="7"/>
  <c r="V49" i="7"/>
  <c r="U49" i="7"/>
  <c r="P49" i="7"/>
  <c r="Q49" i="7" s="1"/>
  <c r="R49" i="7" s="1"/>
  <c r="S49" i="7" s="1"/>
  <c r="D49" i="7"/>
  <c r="AJ48" i="7"/>
  <c r="AK48" i="7" s="1"/>
  <c r="AF48" i="7"/>
  <c r="Z48" i="7"/>
  <c r="V48" i="7"/>
  <c r="U48" i="7"/>
  <c r="P48" i="7"/>
  <c r="Q48" i="7" s="1"/>
  <c r="R48" i="7" s="1"/>
  <c r="D48" i="7"/>
  <c r="AJ47" i="7"/>
  <c r="AK47" i="7" s="1"/>
  <c r="AF47" i="7"/>
  <c r="Z47" i="7"/>
  <c r="V47" i="7"/>
  <c r="U47" i="7"/>
  <c r="P47" i="7"/>
  <c r="Q47" i="7" s="1"/>
  <c r="R47" i="7" s="1"/>
  <c r="S47" i="7" s="1"/>
  <c r="D47" i="7"/>
  <c r="AJ46" i="7"/>
  <c r="AK46" i="7" s="1"/>
  <c r="AF46" i="7"/>
  <c r="Z46" i="7"/>
  <c r="V46" i="7"/>
  <c r="W46" i="7" s="1"/>
  <c r="U46" i="7"/>
  <c r="P46" i="7"/>
  <c r="Q46" i="7" s="1"/>
  <c r="R46" i="7" s="1"/>
  <c r="S46" i="7" s="1"/>
  <c r="D46" i="7"/>
  <c r="AJ45" i="7"/>
  <c r="AK45" i="7" s="1"/>
  <c r="AF45" i="7"/>
  <c r="Z45" i="7"/>
  <c r="V45" i="7"/>
  <c r="U45" i="7"/>
  <c r="P45" i="7"/>
  <c r="Q45" i="7" s="1"/>
  <c r="R45" i="7" s="1"/>
  <c r="S45" i="7" s="1"/>
  <c r="D45" i="7"/>
  <c r="AJ44" i="7"/>
  <c r="AK44" i="7" s="1"/>
  <c r="AF44" i="7"/>
  <c r="Z44" i="7"/>
  <c r="V44" i="7"/>
  <c r="U44" i="7"/>
  <c r="P44" i="7"/>
  <c r="Q44" i="7" s="1"/>
  <c r="R44" i="7" s="1"/>
  <c r="D44" i="7"/>
  <c r="AJ43" i="7"/>
  <c r="AK43" i="7" s="1"/>
  <c r="AF43" i="7"/>
  <c r="Z43" i="7"/>
  <c r="V43" i="7"/>
  <c r="U43" i="7"/>
  <c r="P43" i="7"/>
  <c r="Q43" i="7" s="1"/>
  <c r="R43" i="7" s="1"/>
  <c r="S43" i="7" s="1"/>
  <c r="D43" i="7"/>
  <c r="AJ42" i="7"/>
  <c r="AK42" i="7" s="1"/>
  <c r="AF42" i="7"/>
  <c r="Z42" i="7"/>
  <c r="V42" i="7"/>
  <c r="U42" i="7"/>
  <c r="P42" i="7"/>
  <c r="Q42" i="7" s="1"/>
  <c r="R42" i="7" s="1"/>
  <c r="S42" i="7" s="1"/>
  <c r="D42" i="7"/>
  <c r="AJ41" i="7"/>
  <c r="AK41" i="7" s="1"/>
  <c r="AF41" i="7"/>
  <c r="Z41" i="7"/>
  <c r="V41" i="7"/>
  <c r="U41" i="7"/>
  <c r="P41" i="7"/>
  <c r="Q41" i="7" s="1"/>
  <c r="R41" i="7" s="1"/>
  <c r="S41" i="7" s="1"/>
  <c r="D41" i="7"/>
  <c r="AJ40" i="7"/>
  <c r="AK40" i="7" s="1"/>
  <c r="AF40" i="7"/>
  <c r="Z40" i="7"/>
  <c r="V40" i="7"/>
  <c r="U40" i="7"/>
  <c r="P40" i="7"/>
  <c r="Q40" i="7" s="1"/>
  <c r="R40" i="7" s="1"/>
  <c r="S40" i="7" s="1"/>
  <c r="D40" i="7"/>
  <c r="AJ39" i="7"/>
  <c r="AK39" i="7" s="1"/>
  <c r="AF39" i="7"/>
  <c r="Z39" i="7"/>
  <c r="V39" i="7"/>
  <c r="U39" i="7"/>
  <c r="P39" i="7"/>
  <c r="Q39" i="7" s="1"/>
  <c r="R39" i="7" s="1"/>
  <c r="D39" i="7"/>
  <c r="AJ38" i="7"/>
  <c r="AK38" i="7" s="1"/>
  <c r="AF38" i="7"/>
  <c r="Z38" i="7"/>
  <c r="V38" i="7"/>
  <c r="U38" i="7"/>
  <c r="P38" i="7"/>
  <c r="Q38" i="7" s="1"/>
  <c r="R38" i="7" s="1"/>
  <c r="S38" i="7" s="1"/>
  <c r="D38" i="7"/>
  <c r="AJ37" i="7"/>
  <c r="AK37" i="7" s="1"/>
  <c r="AF37" i="7"/>
  <c r="Z37" i="7"/>
  <c r="V37" i="7"/>
  <c r="U37" i="7"/>
  <c r="P37" i="7"/>
  <c r="Q37" i="7" s="1"/>
  <c r="R37" i="7" s="1"/>
  <c r="S37" i="7" s="1"/>
  <c r="D37" i="7"/>
  <c r="AJ36" i="7"/>
  <c r="AK36" i="7" s="1"/>
  <c r="AF36" i="7"/>
  <c r="Z36" i="7"/>
  <c r="V36" i="7"/>
  <c r="U36" i="7"/>
  <c r="P36" i="7"/>
  <c r="Q36" i="7" s="1"/>
  <c r="R36" i="7" s="1"/>
  <c r="S36" i="7" s="1"/>
  <c r="D36" i="7"/>
  <c r="AJ35" i="7"/>
  <c r="AK35" i="7" s="1"/>
  <c r="AF35" i="7"/>
  <c r="Z35" i="7"/>
  <c r="V35" i="7"/>
  <c r="U35" i="7"/>
  <c r="P35" i="7"/>
  <c r="Q35" i="7" s="1"/>
  <c r="R35" i="7" s="1"/>
  <c r="D35" i="7"/>
  <c r="AJ34" i="7"/>
  <c r="AK34" i="7" s="1"/>
  <c r="AF34" i="7"/>
  <c r="Z34" i="7"/>
  <c r="V34" i="7"/>
  <c r="U34" i="7"/>
  <c r="P34" i="7"/>
  <c r="Q34" i="7" s="1"/>
  <c r="R34" i="7" s="1"/>
  <c r="S34" i="7" s="1"/>
  <c r="D34" i="7"/>
  <c r="AJ33" i="7"/>
  <c r="AK33" i="7" s="1"/>
  <c r="AF33" i="7"/>
  <c r="Z33" i="7"/>
  <c r="V33" i="7"/>
  <c r="U33" i="7"/>
  <c r="P33" i="7"/>
  <c r="Q33" i="7" s="1"/>
  <c r="R33" i="7" s="1"/>
  <c r="S33" i="7" s="1"/>
  <c r="D33" i="7"/>
  <c r="AJ32" i="7"/>
  <c r="AK32" i="7" s="1"/>
  <c r="AF32" i="7"/>
  <c r="Z32" i="7"/>
  <c r="V32" i="7"/>
  <c r="U32" i="7"/>
  <c r="P32" i="7"/>
  <c r="Q32" i="7" s="1"/>
  <c r="R32" i="7" s="1"/>
  <c r="S32" i="7" s="1"/>
  <c r="D32" i="7"/>
  <c r="AJ31" i="7"/>
  <c r="AK31" i="7" s="1"/>
  <c r="AF31" i="7"/>
  <c r="Z31" i="7"/>
  <c r="V31" i="7"/>
  <c r="U31" i="7"/>
  <c r="P31" i="7"/>
  <c r="Q31" i="7" s="1"/>
  <c r="R31" i="7" s="1"/>
  <c r="D31" i="7"/>
  <c r="AJ30" i="7"/>
  <c r="AK30" i="7" s="1"/>
  <c r="AF30" i="7"/>
  <c r="Z30" i="7"/>
  <c r="V30" i="7"/>
  <c r="U30" i="7"/>
  <c r="P30" i="7"/>
  <c r="Q30" i="7" s="1"/>
  <c r="R30" i="7" s="1"/>
  <c r="S30" i="7" s="1"/>
  <c r="D30" i="7"/>
  <c r="AJ29" i="7"/>
  <c r="AK29" i="7" s="1"/>
  <c r="AF29" i="7"/>
  <c r="Z29" i="7"/>
  <c r="V29" i="7"/>
  <c r="U29" i="7"/>
  <c r="P29" i="7"/>
  <c r="Q29" i="7" s="1"/>
  <c r="R29" i="7" s="1"/>
  <c r="S29" i="7" s="1"/>
  <c r="D29" i="7"/>
  <c r="AJ28" i="7"/>
  <c r="AK28" i="7" s="1"/>
  <c r="AF28" i="7"/>
  <c r="Z28" i="7"/>
  <c r="V28" i="7"/>
  <c r="U28" i="7"/>
  <c r="P28" i="7"/>
  <c r="Q28" i="7" s="1"/>
  <c r="R28" i="7" s="1"/>
  <c r="S28" i="7" s="1"/>
  <c r="D28" i="7"/>
  <c r="AJ27" i="7"/>
  <c r="AK27" i="7" s="1"/>
  <c r="AF27" i="7"/>
  <c r="Z27" i="7"/>
  <c r="V27" i="7"/>
  <c r="U27" i="7"/>
  <c r="P27" i="7"/>
  <c r="Q27" i="7" s="1"/>
  <c r="R27" i="7" s="1"/>
  <c r="D27" i="7"/>
  <c r="AL21" i="7"/>
  <c r="AB20" i="7"/>
  <c r="AC21" i="7" s="1"/>
  <c r="AC47" i="7" s="1"/>
  <c r="AR17" i="7"/>
  <c r="AO17" i="7"/>
  <c r="AH17" i="7"/>
  <c r="AB17" i="7"/>
  <c r="Y17" i="7"/>
  <c r="X17" i="7"/>
  <c r="T17" i="7"/>
  <c r="O17" i="7"/>
  <c r="N17" i="7"/>
  <c r="M17" i="7"/>
  <c r="L17" i="7"/>
  <c r="F17" i="7"/>
  <c r="E17" i="7"/>
  <c r="C17" i="7"/>
  <c r="W141" i="7" l="1"/>
  <c r="Z17" i="7"/>
  <c r="W193" i="7"/>
  <c r="W138" i="7"/>
  <c r="W175" i="7"/>
  <c r="W110" i="7"/>
  <c r="W136" i="7"/>
  <c r="AC43" i="7"/>
  <c r="W133" i="7"/>
  <c r="W32" i="7"/>
  <c r="W40" i="7"/>
  <c r="W150" i="7"/>
  <c r="W127" i="7"/>
  <c r="W125" i="7"/>
  <c r="S125" i="7"/>
  <c r="W117" i="7"/>
  <c r="S117" i="7"/>
  <c r="S121" i="7"/>
  <c r="W129" i="7"/>
  <c r="S129" i="7"/>
  <c r="W195" i="7"/>
  <c r="S195" i="7"/>
  <c r="W113" i="7"/>
  <c r="S113" i="7"/>
  <c r="W134" i="7"/>
  <c r="S134" i="7"/>
  <c r="W173" i="7"/>
  <c r="W34" i="7"/>
  <c r="W42" i="7"/>
  <c r="W47" i="7"/>
  <c r="W92" i="7"/>
  <c r="W94" i="7"/>
  <c r="W102" i="7"/>
  <c r="W142" i="7"/>
  <c r="W151" i="7"/>
  <c r="W154" i="7"/>
  <c r="W157" i="7"/>
  <c r="S175" i="7"/>
  <c r="W177" i="7"/>
  <c r="W192" i="7"/>
  <c r="W194" i="7"/>
  <c r="W147" i="7"/>
  <c r="W43" i="7"/>
  <c r="W49" i="7"/>
  <c r="W55" i="7"/>
  <c r="W57" i="7"/>
  <c r="W63" i="7"/>
  <c r="W65" i="7"/>
  <c r="W71" i="7"/>
  <c r="W72" i="7"/>
  <c r="W119" i="7"/>
  <c r="W155" i="7"/>
  <c r="W165" i="7"/>
  <c r="W28" i="7"/>
  <c r="W36" i="7"/>
  <c r="W38" i="7"/>
  <c r="W45" i="7"/>
  <c r="W84" i="7"/>
  <c r="W86" i="7"/>
  <c r="W100" i="7"/>
  <c r="S110" i="7"/>
  <c r="W135" i="7"/>
  <c r="S138" i="7"/>
  <c r="W149" i="7"/>
  <c r="W166" i="7"/>
  <c r="W176" i="7"/>
  <c r="S192" i="7"/>
  <c r="S31" i="7"/>
  <c r="W31" i="7"/>
  <c r="S39" i="7"/>
  <c r="W39" i="7"/>
  <c r="S27" i="7"/>
  <c r="W27" i="7"/>
  <c r="S35" i="7"/>
  <c r="W35" i="7"/>
  <c r="S44" i="7"/>
  <c r="W44" i="7"/>
  <c r="S48" i="7"/>
  <c r="W48" i="7"/>
  <c r="S52" i="7"/>
  <c r="W52" i="7"/>
  <c r="S56" i="7"/>
  <c r="W56" i="7"/>
  <c r="S60" i="7"/>
  <c r="W60" i="7"/>
  <c r="S64" i="7"/>
  <c r="W64" i="7"/>
  <c r="S68" i="7"/>
  <c r="W68" i="7"/>
  <c r="W30" i="7"/>
  <c r="V17" i="7"/>
  <c r="Z20" i="7"/>
  <c r="AA21" i="7" s="1"/>
  <c r="AA36" i="7" s="1"/>
  <c r="AK17" i="7"/>
  <c r="W29" i="7"/>
  <c r="W33" i="7"/>
  <c r="W37" i="7"/>
  <c r="W41" i="7"/>
  <c r="AC195" i="7"/>
  <c r="AC191" i="7"/>
  <c r="AC192" i="7"/>
  <c r="AC188" i="7"/>
  <c r="AC193" i="7"/>
  <c r="AC183" i="7"/>
  <c r="AC190" i="7"/>
  <c r="AC189" i="7"/>
  <c r="AC186" i="7"/>
  <c r="AC194" i="7"/>
  <c r="AC178" i="7"/>
  <c r="AC174" i="7"/>
  <c r="AC170" i="7"/>
  <c r="AC179" i="7"/>
  <c r="AC175" i="7"/>
  <c r="AC171" i="7"/>
  <c r="AC167" i="7"/>
  <c r="AC187" i="7"/>
  <c r="AC185" i="7"/>
  <c r="AC184" i="7"/>
  <c r="AC181" i="7"/>
  <c r="AC180" i="7"/>
  <c r="AC182" i="7"/>
  <c r="AC176" i="7"/>
  <c r="AC173" i="7"/>
  <c r="AC164" i="7"/>
  <c r="AC172" i="7"/>
  <c r="AC165" i="7"/>
  <c r="AC168" i="7"/>
  <c r="AC166" i="7"/>
  <c r="AC160" i="7"/>
  <c r="AC156" i="7"/>
  <c r="AC152" i="7"/>
  <c r="AC148" i="7"/>
  <c r="AC169" i="7"/>
  <c r="AC161" i="7"/>
  <c r="AC157" i="7"/>
  <c r="AC153" i="7"/>
  <c r="AC149" i="7"/>
  <c r="AC162" i="7"/>
  <c r="AC158" i="7"/>
  <c r="AC177" i="7"/>
  <c r="AC163" i="7"/>
  <c r="AC159" i="7"/>
  <c r="AC155" i="7"/>
  <c r="AC154" i="7"/>
  <c r="AC151" i="7"/>
  <c r="AC150" i="7"/>
  <c r="AC147" i="7"/>
  <c r="AC145" i="7"/>
  <c r="AC141" i="7"/>
  <c r="AC137" i="7"/>
  <c r="AC133" i="7"/>
  <c r="AC129" i="7"/>
  <c r="AC142" i="7"/>
  <c r="AC138" i="7"/>
  <c r="AC134" i="7"/>
  <c r="AC130" i="7"/>
  <c r="AC146" i="7"/>
  <c r="AC143" i="7"/>
  <c r="AC139" i="7"/>
  <c r="AC135" i="7"/>
  <c r="AC144" i="7"/>
  <c r="AC128" i="7"/>
  <c r="AC124" i="7"/>
  <c r="AC120" i="7"/>
  <c r="AC116" i="7"/>
  <c r="AC136" i="7"/>
  <c r="AC131" i="7"/>
  <c r="AC125" i="7"/>
  <c r="AC121" i="7"/>
  <c r="AC117" i="7"/>
  <c r="AC113" i="7"/>
  <c r="AC126" i="7"/>
  <c r="AC122" i="7"/>
  <c r="AC118" i="7"/>
  <c r="AC114" i="7"/>
  <c r="AC110" i="7"/>
  <c r="AC140" i="7"/>
  <c r="AC132" i="7"/>
  <c r="AC127" i="7"/>
  <c r="AC123" i="7"/>
  <c r="AC112" i="7"/>
  <c r="AC109" i="7"/>
  <c r="AC105" i="7"/>
  <c r="AC101" i="7"/>
  <c r="AC97" i="7"/>
  <c r="AC93" i="7"/>
  <c r="AC89" i="7"/>
  <c r="AC85" i="7"/>
  <c r="AC81" i="7"/>
  <c r="AC77" i="7"/>
  <c r="AC73" i="7"/>
  <c r="AC119" i="7"/>
  <c r="AC111" i="7"/>
  <c r="AC106" i="7"/>
  <c r="AC102" i="7"/>
  <c r="AC98" i="7"/>
  <c r="AC94" i="7"/>
  <c r="AC90" i="7"/>
  <c r="AC86" i="7"/>
  <c r="AC115" i="7"/>
  <c r="AC107" i="7"/>
  <c r="AC103" i="7"/>
  <c r="AC99" i="7"/>
  <c r="AC95" i="7"/>
  <c r="AC91" i="7"/>
  <c r="AC87" i="7"/>
  <c r="AC83" i="7"/>
  <c r="AC79" i="7"/>
  <c r="AC75" i="7"/>
  <c r="AC108" i="7"/>
  <c r="AC104" i="7"/>
  <c r="AC96" i="7"/>
  <c r="AC88" i="7"/>
  <c r="AC80" i="7"/>
  <c r="AC76" i="7"/>
  <c r="AC72" i="7"/>
  <c r="AC68" i="7"/>
  <c r="AC64" i="7"/>
  <c r="AC60" i="7"/>
  <c r="AC56" i="7"/>
  <c r="AC52" i="7"/>
  <c r="AC48" i="7"/>
  <c r="AC44" i="7"/>
  <c r="AC69" i="7"/>
  <c r="AC65" i="7"/>
  <c r="AC61" i="7"/>
  <c r="AC57" i="7"/>
  <c r="AC53" i="7"/>
  <c r="AC49" i="7"/>
  <c r="AC100" i="7"/>
  <c r="AC92" i="7"/>
  <c r="AC84" i="7"/>
  <c r="AC82" i="7"/>
  <c r="AC78" i="7"/>
  <c r="AC74" i="7"/>
  <c r="AC70" i="7"/>
  <c r="AC66" i="7"/>
  <c r="AC62" i="7"/>
  <c r="AC58" i="7"/>
  <c r="AC54" i="7"/>
  <c r="AC50" i="7"/>
  <c r="AC46" i="7"/>
  <c r="AC39" i="7"/>
  <c r="AC35" i="7"/>
  <c r="AC31" i="7"/>
  <c r="AC27" i="7"/>
  <c r="AC32" i="7"/>
  <c r="AC37" i="7"/>
  <c r="AC33" i="7"/>
  <c r="AC29" i="7"/>
  <c r="AC67" i="7"/>
  <c r="AC59" i="7"/>
  <c r="AC71" i="7"/>
  <c r="AC63" i="7"/>
  <c r="AC55" i="7"/>
  <c r="AC45" i="7"/>
  <c r="AC40" i="7"/>
  <c r="AC36" i="7"/>
  <c r="AC28" i="7"/>
  <c r="AC41" i="7"/>
  <c r="AC51" i="7"/>
  <c r="AC30" i="7"/>
  <c r="AC34" i="7"/>
  <c r="AC38" i="7"/>
  <c r="AC42" i="7"/>
  <c r="S81" i="7"/>
  <c r="W81" i="7"/>
  <c r="S58" i="7"/>
  <c r="W58" i="7"/>
  <c r="S87" i="7"/>
  <c r="W87" i="7"/>
  <c r="S95" i="7"/>
  <c r="W95" i="7"/>
  <c r="W51" i="7"/>
  <c r="W59" i="7"/>
  <c r="W67" i="7"/>
  <c r="S79" i="7"/>
  <c r="W79" i="7"/>
  <c r="S50" i="7"/>
  <c r="W50" i="7"/>
  <c r="S66" i="7"/>
  <c r="W66" i="7"/>
  <c r="S83" i="7"/>
  <c r="W83" i="7"/>
  <c r="W53" i="7"/>
  <c r="S54" i="7"/>
  <c r="W54" i="7"/>
  <c r="W61" i="7"/>
  <c r="S62" i="7"/>
  <c r="W62" i="7"/>
  <c r="W69" i="7"/>
  <c r="S70" i="7"/>
  <c r="W70" i="7"/>
  <c r="W73" i="7"/>
  <c r="S75" i="7"/>
  <c r="W75" i="7"/>
  <c r="S85" i="7"/>
  <c r="W85" i="7"/>
  <c r="S89" i="7"/>
  <c r="W89" i="7"/>
  <c r="S93" i="7"/>
  <c r="W93" i="7"/>
  <c r="S97" i="7"/>
  <c r="W97" i="7"/>
  <c r="W76" i="7"/>
  <c r="W77" i="7"/>
  <c r="W80" i="7"/>
  <c r="W88" i="7"/>
  <c r="W96" i="7"/>
  <c r="W101" i="7"/>
  <c r="W104" i="7"/>
  <c r="W106" i="7"/>
  <c r="W108" i="7"/>
  <c r="W109" i="7"/>
  <c r="W90" i="7"/>
  <c r="S91" i="7"/>
  <c r="W91" i="7"/>
  <c r="W98" i="7"/>
  <c r="S99" i="7"/>
  <c r="W99" i="7"/>
  <c r="W112" i="7"/>
  <c r="W74" i="7"/>
  <c r="W78" i="7"/>
  <c r="W82" i="7"/>
  <c r="S103" i="7"/>
  <c r="W103" i="7"/>
  <c r="S105" i="7"/>
  <c r="W105" i="7"/>
  <c r="S107" i="7"/>
  <c r="W107" i="7"/>
  <c r="S114" i="7"/>
  <c r="W114" i="7"/>
  <c r="S126" i="7"/>
  <c r="W126" i="7"/>
  <c r="AA109" i="7"/>
  <c r="W116" i="7"/>
  <c r="S118" i="7"/>
  <c r="W118" i="7"/>
  <c r="W111" i="7"/>
  <c r="W115" i="7"/>
  <c r="W120" i="7"/>
  <c r="S122" i="7"/>
  <c r="W122" i="7"/>
  <c r="W123" i="7"/>
  <c r="W124" i="7"/>
  <c r="W128" i="7"/>
  <c r="W130" i="7"/>
  <c r="W144" i="7"/>
  <c r="S148" i="7"/>
  <c r="W148" i="7"/>
  <c r="W132" i="7"/>
  <c r="W137" i="7"/>
  <c r="W139" i="7"/>
  <c r="W140" i="7"/>
  <c r="S143" i="7"/>
  <c r="W143" i="7"/>
  <c r="S152" i="7"/>
  <c r="W152" i="7"/>
  <c r="W131" i="7"/>
  <c r="S156" i="7"/>
  <c r="W156" i="7"/>
  <c r="W145" i="7"/>
  <c r="S160" i="7"/>
  <c r="W160" i="7"/>
  <c r="S167" i="7"/>
  <c r="W167" i="7"/>
  <c r="W146" i="7"/>
  <c r="W158" i="7"/>
  <c r="W161" i="7"/>
  <c r="W162" i="7"/>
  <c r="W163" i="7"/>
  <c r="W164" i="7"/>
  <c r="S183" i="7"/>
  <c r="W183" i="7"/>
  <c r="W159" i="7"/>
  <c r="W170" i="7"/>
  <c r="S178" i="7"/>
  <c r="W178" i="7"/>
  <c r="W169" i="7"/>
  <c r="W168" i="7"/>
  <c r="W174" i="7"/>
  <c r="W180" i="7"/>
  <c r="S171" i="7"/>
  <c r="W172" i="7"/>
  <c r="W181" i="7"/>
  <c r="W185" i="7"/>
  <c r="W179" i="7"/>
  <c r="W182" i="7"/>
  <c r="W184" i="7"/>
  <c r="W186" i="7"/>
  <c r="S188" i="7"/>
  <c r="W188" i="7"/>
  <c r="W190" i="7"/>
  <c r="W187" i="7"/>
  <c r="W191" i="7"/>
  <c r="W189" i="7"/>
  <c r="AA159" i="7" l="1"/>
  <c r="AA96" i="7"/>
  <c r="AD96" i="7" s="1"/>
  <c r="AE96" i="7" s="1"/>
  <c r="AG96" i="7" s="1"/>
  <c r="AA163" i="7"/>
  <c r="AA151" i="7"/>
  <c r="AA138" i="7"/>
  <c r="AA155" i="7"/>
  <c r="AD155" i="7" s="1"/>
  <c r="AE155" i="7" s="1"/>
  <c r="AG155" i="7" s="1"/>
  <c r="AL155" i="7" s="1"/>
  <c r="AM155" i="7" s="1"/>
  <c r="AQ155" i="7" s="1"/>
  <c r="AA165" i="7"/>
  <c r="AD165" i="7" s="1"/>
  <c r="AE165" i="7" s="1"/>
  <c r="AG165" i="7" s="1"/>
  <c r="AL165" i="7" s="1"/>
  <c r="AM165" i="7" s="1"/>
  <c r="AA187" i="7"/>
  <c r="AD187" i="7" s="1"/>
  <c r="AE187" i="7" s="1"/>
  <c r="AG187" i="7" s="1"/>
  <c r="AL187" i="7" s="1"/>
  <c r="AM187" i="7" s="1"/>
  <c r="AA142" i="7"/>
  <c r="AD142" i="7" s="1"/>
  <c r="AE142" i="7" s="1"/>
  <c r="AG142" i="7" s="1"/>
  <c r="AL142" i="7" s="1"/>
  <c r="AM142" i="7" s="1"/>
  <c r="AA191" i="7"/>
  <c r="AA134" i="7"/>
  <c r="AD134" i="7" s="1"/>
  <c r="AE134" i="7" s="1"/>
  <c r="AG134" i="7" s="1"/>
  <c r="AL134" i="7" s="1"/>
  <c r="AM134" i="7" s="1"/>
  <c r="BC134" i="7" s="1"/>
  <c r="BK134" i="7" s="1"/>
  <c r="AA76" i="7"/>
  <c r="AD76" i="7" s="1"/>
  <c r="AE76" i="7" s="1"/>
  <c r="AG76" i="7" s="1"/>
  <c r="AA178" i="7"/>
  <c r="AD178" i="7" s="1"/>
  <c r="AE178" i="7" s="1"/>
  <c r="AG178" i="7" s="1"/>
  <c r="AL178" i="7" s="1"/>
  <c r="AM178" i="7" s="1"/>
  <c r="AA152" i="7"/>
  <c r="AD152" i="7" s="1"/>
  <c r="AE152" i="7" s="1"/>
  <c r="AG152" i="7" s="1"/>
  <c r="AL152" i="7" s="1"/>
  <c r="AM152" i="7" s="1"/>
  <c r="AA183" i="7"/>
  <c r="AD183" i="7" s="1"/>
  <c r="AE183" i="7" s="1"/>
  <c r="AG183" i="7" s="1"/>
  <c r="AA167" i="7"/>
  <c r="AD167" i="7" s="1"/>
  <c r="AE167" i="7" s="1"/>
  <c r="AG167" i="7" s="1"/>
  <c r="AL167" i="7" s="1"/>
  <c r="AM167" i="7" s="1"/>
  <c r="AA35" i="7"/>
  <c r="AD35" i="7" s="1"/>
  <c r="AE35" i="7" s="1"/>
  <c r="AG35" i="7" s="1"/>
  <c r="AA38" i="7"/>
  <c r="AA86" i="7"/>
  <c r="AD86" i="7" s="1"/>
  <c r="AE86" i="7" s="1"/>
  <c r="AG86" i="7" s="1"/>
  <c r="AL86" i="7" s="1"/>
  <c r="AM86" i="7" s="1"/>
  <c r="AA57" i="7"/>
  <c r="AD57" i="7" s="1"/>
  <c r="AE57" i="7" s="1"/>
  <c r="AG57" i="7" s="1"/>
  <c r="AL57" i="7" s="1"/>
  <c r="AM57" i="7" s="1"/>
  <c r="AA55" i="7"/>
  <c r="AD55" i="7" s="1"/>
  <c r="AE55" i="7" s="1"/>
  <c r="AG55" i="7" s="1"/>
  <c r="AL55" i="7" s="1"/>
  <c r="AM55" i="7" s="1"/>
  <c r="AQ55" i="7" s="1"/>
  <c r="AA47" i="7"/>
  <c r="AD47" i="7" s="1"/>
  <c r="AE47" i="7" s="1"/>
  <c r="AG47" i="7" s="1"/>
  <c r="AL47" i="7" s="1"/>
  <c r="AM47" i="7" s="1"/>
  <c r="AQ47" i="7" s="1"/>
  <c r="AA31" i="7"/>
  <c r="AD31" i="7" s="1"/>
  <c r="AE31" i="7" s="1"/>
  <c r="AG31" i="7" s="1"/>
  <c r="AL31" i="7" s="1"/>
  <c r="AM31" i="7" s="1"/>
  <c r="AA171" i="7"/>
  <c r="AD171" i="7" s="1"/>
  <c r="AE171" i="7" s="1"/>
  <c r="AG171" i="7" s="1"/>
  <c r="AL171" i="7" s="1"/>
  <c r="AM171" i="7" s="1"/>
  <c r="AA164" i="7"/>
  <c r="AD164" i="7" s="1"/>
  <c r="AE164" i="7" s="1"/>
  <c r="AG164" i="7" s="1"/>
  <c r="AA148" i="7"/>
  <c r="AD148" i="7" s="1"/>
  <c r="AE148" i="7" s="1"/>
  <c r="AG148" i="7" s="1"/>
  <c r="AA106" i="7"/>
  <c r="AA43" i="7"/>
  <c r="AD43" i="7" s="1"/>
  <c r="AE43" i="7" s="1"/>
  <c r="AG43" i="7" s="1"/>
  <c r="AL43" i="7" s="1"/>
  <c r="AM43" i="7" s="1"/>
  <c r="AA30" i="7"/>
  <c r="AD30" i="7" s="1"/>
  <c r="AE30" i="7" s="1"/>
  <c r="AG30" i="7" s="1"/>
  <c r="AL30" i="7" s="1"/>
  <c r="AM30" i="7" s="1"/>
  <c r="AA125" i="7"/>
  <c r="AD125" i="7" s="1"/>
  <c r="AE125" i="7" s="1"/>
  <c r="AG125" i="7" s="1"/>
  <c r="AL125" i="7" s="1"/>
  <c r="AM125" i="7" s="1"/>
  <c r="AP125" i="7" s="1"/>
  <c r="AA98" i="7"/>
  <c r="AD98" i="7" s="1"/>
  <c r="AE98" i="7" s="1"/>
  <c r="AG98" i="7" s="1"/>
  <c r="AA104" i="7"/>
  <c r="AD104" i="7" s="1"/>
  <c r="AE104" i="7" s="1"/>
  <c r="AG104" i="7" s="1"/>
  <c r="AL104" i="7" s="1"/>
  <c r="AM104" i="7" s="1"/>
  <c r="AA88" i="7"/>
  <c r="AD88" i="7" s="1"/>
  <c r="AE88" i="7" s="1"/>
  <c r="AG88" i="7" s="1"/>
  <c r="AA102" i="7"/>
  <c r="AA84" i="7"/>
  <c r="AD84" i="7" s="1"/>
  <c r="AE84" i="7" s="1"/>
  <c r="AG84" i="7" s="1"/>
  <c r="AL84" i="7" s="1"/>
  <c r="AM84" i="7" s="1"/>
  <c r="AP84" i="7" s="1"/>
  <c r="AA45" i="7"/>
  <c r="AD45" i="7" s="1"/>
  <c r="AE45" i="7" s="1"/>
  <c r="AG45" i="7" s="1"/>
  <c r="AL45" i="7" s="1"/>
  <c r="AM45" i="7" s="1"/>
  <c r="AA78" i="7"/>
  <c r="AA195" i="7"/>
  <c r="AD195" i="7" s="1"/>
  <c r="AE195" i="7" s="1"/>
  <c r="AG195" i="7" s="1"/>
  <c r="AL195" i="7" s="1"/>
  <c r="AM195" i="7" s="1"/>
  <c r="AQ195" i="7" s="1"/>
  <c r="AA174" i="7"/>
  <c r="AD174" i="7" s="1"/>
  <c r="AE174" i="7" s="1"/>
  <c r="AG174" i="7" s="1"/>
  <c r="AL174" i="7" s="1"/>
  <c r="AM174" i="7" s="1"/>
  <c r="AA170" i="7"/>
  <c r="AD170" i="7" s="1"/>
  <c r="AE170" i="7" s="1"/>
  <c r="AG170" i="7" s="1"/>
  <c r="AL170" i="7" s="1"/>
  <c r="AM170" i="7" s="1"/>
  <c r="AA160" i="7"/>
  <c r="AD160" i="7" s="1"/>
  <c r="AE160" i="7" s="1"/>
  <c r="AG160" i="7" s="1"/>
  <c r="AA147" i="7"/>
  <c r="AD147" i="7" s="1"/>
  <c r="AE147" i="7" s="1"/>
  <c r="AG147" i="7" s="1"/>
  <c r="AL147" i="7" s="1"/>
  <c r="AM147" i="7" s="1"/>
  <c r="AA188" i="7"/>
  <c r="AA141" i="7"/>
  <c r="AD141" i="7" s="1"/>
  <c r="AE141" i="7" s="1"/>
  <c r="AG141" i="7" s="1"/>
  <c r="AL141" i="7" s="1"/>
  <c r="AM141" i="7" s="1"/>
  <c r="AA113" i="7"/>
  <c r="AA121" i="7"/>
  <c r="AD121" i="7" s="1"/>
  <c r="AE121" i="7" s="1"/>
  <c r="AG121" i="7" s="1"/>
  <c r="AL121" i="7" s="1"/>
  <c r="AM121" i="7" s="1"/>
  <c r="AA90" i="7"/>
  <c r="AA80" i="7"/>
  <c r="AD80" i="7" s="1"/>
  <c r="AE80" i="7" s="1"/>
  <c r="AG80" i="7" s="1"/>
  <c r="AL80" i="7" s="1"/>
  <c r="AM80" i="7" s="1"/>
  <c r="AA82" i="7"/>
  <c r="AD82" i="7" s="1"/>
  <c r="AE82" i="7" s="1"/>
  <c r="AG82" i="7" s="1"/>
  <c r="AA53" i="7"/>
  <c r="AD53" i="7" s="1"/>
  <c r="AE53" i="7" s="1"/>
  <c r="AG53" i="7" s="1"/>
  <c r="AA182" i="7"/>
  <c r="AA166" i="7"/>
  <c r="AD166" i="7" s="1"/>
  <c r="AE166" i="7" s="1"/>
  <c r="AG166" i="7" s="1"/>
  <c r="AL166" i="7" s="1"/>
  <c r="AM166" i="7" s="1"/>
  <c r="AA179" i="7"/>
  <c r="AD179" i="7" s="1"/>
  <c r="AE179" i="7" s="1"/>
  <c r="AG179" i="7" s="1"/>
  <c r="AA156" i="7"/>
  <c r="AD156" i="7" s="1"/>
  <c r="AE156" i="7" s="1"/>
  <c r="AG156" i="7" s="1"/>
  <c r="AL156" i="7" s="1"/>
  <c r="AM156" i="7" s="1"/>
  <c r="AA137" i="7"/>
  <c r="AD137" i="7" s="1"/>
  <c r="AE137" i="7" s="1"/>
  <c r="AG137" i="7" s="1"/>
  <c r="AL137" i="7" s="1"/>
  <c r="AM137" i="7" s="1"/>
  <c r="AA133" i="7"/>
  <c r="AD133" i="7" s="1"/>
  <c r="AE133" i="7" s="1"/>
  <c r="AG133" i="7" s="1"/>
  <c r="AL133" i="7" s="1"/>
  <c r="AM133" i="7" s="1"/>
  <c r="AA117" i="7"/>
  <c r="AD117" i="7" s="1"/>
  <c r="AE117" i="7" s="1"/>
  <c r="AG117" i="7" s="1"/>
  <c r="AL117" i="7" s="1"/>
  <c r="AM117" i="7" s="1"/>
  <c r="AA129" i="7"/>
  <c r="AA72" i="7"/>
  <c r="AD72" i="7" s="1"/>
  <c r="AE72" i="7" s="1"/>
  <c r="AG72" i="7" s="1"/>
  <c r="AL72" i="7" s="1"/>
  <c r="AM72" i="7" s="1"/>
  <c r="AQ72" i="7" s="1"/>
  <c r="AA94" i="7"/>
  <c r="AD94" i="7" s="1"/>
  <c r="AE94" i="7" s="1"/>
  <c r="AG94" i="7" s="1"/>
  <c r="AL94" i="7" s="1"/>
  <c r="AM94" i="7" s="1"/>
  <c r="AP94" i="7" s="1"/>
  <c r="AA71" i="7"/>
  <c r="AD71" i="7" s="1"/>
  <c r="AE71" i="7" s="1"/>
  <c r="AG71" i="7" s="1"/>
  <c r="AL71" i="7" s="1"/>
  <c r="AM71" i="7" s="1"/>
  <c r="AA40" i="7"/>
  <c r="AD40" i="7" s="1"/>
  <c r="AE40" i="7" s="1"/>
  <c r="AG40" i="7" s="1"/>
  <c r="AL40" i="7" s="1"/>
  <c r="AM40" i="7" s="1"/>
  <c r="AD113" i="7"/>
  <c r="AE113" i="7" s="1"/>
  <c r="AG113" i="7" s="1"/>
  <c r="AL113" i="7" s="1"/>
  <c r="AM113" i="7" s="1"/>
  <c r="BC113" i="7" s="1"/>
  <c r="BK113" i="7" s="1"/>
  <c r="AD102" i="7"/>
  <c r="AE102" i="7" s="1"/>
  <c r="AG102" i="7" s="1"/>
  <c r="AL102" i="7" s="1"/>
  <c r="AM102" i="7" s="1"/>
  <c r="AL76" i="7"/>
  <c r="AM76" i="7" s="1"/>
  <c r="AQ76" i="7" s="1"/>
  <c r="AA67" i="7"/>
  <c r="AD67" i="7" s="1"/>
  <c r="AE67" i="7" s="1"/>
  <c r="AG67" i="7" s="1"/>
  <c r="AA59" i="7"/>
  <c r="AD59" i="7" s="1"/>
  <c r="AE59" i="7" s="1"/>
  <c r="AG59" i="7" s="1"/>
  <c r="AL59" i="7" s="1"/>
  <c r="AM59" i="7" s="1"/>
  <c r="AA51" i="7"/>
  <c r="AD51" i="7" s="1"/>
  <c r="AE51" i="7" s="1"/>
  <c r="AG51" i="7" s="1"/>
  <c r="AA92" i="7"/>
  <c r="AD92" i="7" s="1"/>
  <c r="AE92" i="7" s="1"/>
  <c r="AG92" i="7" s="1"/>
  <c r="AL92" i="7" s="1"/>
  <c r="AM92" i="7" s="1"/>
  <c r="AQ92" i="7" s="1"/>
  <c r="AA74" i="7"/>
  <c r="AD74" i="7" s="1"/>
  <c r="AE74" i="7" s="1"/>
  <c r="AG74" i="7" s="1"/>
  <c r="AL74" i="7" s="1"/>
  <c r="AM74" i="7" s="1"/>
  <c r="AA61" i="7"/>
  <c r="AA65" i="7"/>
  <c r="AD65" i="7" s="1"/>
  <c r="AE65" i="7" s="1"/>
  <c r="AG65" i="7" s="1"/>
  <c r="AL65" i="7" s="1"/>
  <c r="AM65" i="7" s="1"/>
  <c r="AA49" i="7"/>
  <c r="AA39" i="7"/>
  <c r="AD39" i="7" s="1"/>
  <c r="AE39" i="7" s="1"/>
  <c r="AG39" i="7" s="1"/>
  <c r="AL39" i="7" s="1"/>
  <c r="AM39" i="7" s="1"/>
  <c r="AA42" i="7"/>
  <c r="AA34" i="7"/>
  <c r="AD34" i="7" s="1"/>
  <c r="AE34" i="7" s="1"/>
  <c r="AG34" i="7" s="1"/>
  <c r="AL34" i="7" s="1"/>
  <c r="AM34" i="7" s="1"/>
  <c r="AN34" i="7" s="1"/>
  <c r="AA32" i="7"/>
  <c r="AD32" i="7" s="1"/>
  <c r="AE32" i="7" s="1"/>
  <c r="AG32" i="7" s="1"/>
  <c r="AL32" i="7" s="1"/>
  <c r="AM32" i="7" s="1"/>
  <c r="AL82" i="7"/>
  <c r="AM82" i="7" s="1"/>
  <c r="AA100" i="7"/>
  <c r="AD100" i="7" s="1"/>
  <c r="AE100" i="7" s="1"/>
  <c r="AG100" i="7" s="1"/>
  <c r="AL100" i="7" s="1"/>
  <c r="AM100" i="7" s="1"/>
  <c r="AP100" i="7" s="1"/>
  <c r="AA69" i="7"/>
  <c r="AD69" i="7" s="1"/>
  <c r="AE69" i="7" s="1"/>
  <c r="AG69" i="7" s="1"/>
  <c r="AL69" i="7" s="1"/>
  <c r="AM69" i="7" s="1"/>
  <c r="AA63" i="7"/>
  <c r="AD63" i="7" s="1"/>
  <c r="AE63" i="7" s="1"/>
  <c r="AG63" i="7" s="1"/>
  <c r="AL63" i="7" s="1"/>
  <c r="AM63" i="7" s="1"/>
  <c r="AA27" i="7"/>
  <c r="AD27" i="7" s="1"/>
  <c r="AQ147" i="7"/>
  <c r="AP147" i="7"/>
  <c r="BC147" i="7"/>
  <c r="BK147" i="7" s="1"/>
  <c r="AN147" i="7"/>
  <c r="AN134" i="7"/>
  <c r="AP134" i="7"/>
  <c r="BC117" i="7"/>
  <c r="BK117" i="7" s="1"/>
  <c r="AN117" i="7"/>
  <c r="AQ117" i="7"/>
  <c r="AP117" i="7"/>
  <c r="AQ43" i="7"/>
  <c r="BC43" i="7"/>
  <c r="BK43" i="7" s="1"/>
  <c r="AN43" i="7"/>
  <c r="AP43" i="7"/>
  <c r="BC57" i="7"/>
  <c r="BK57" i="7" s="1"/>
  <c r="AN57" i="7"/>
  <c r="AQ57" i="7"/>
  <c r="AP57" i="7"/>
  <c r="AN55" i="7"/>
  <c r="BC125" i="7"/>
  <c r="BK125" i="7" s="1"/>
  <c r="AN125" i="7"/>
  <c r="AQ125" i="7"/>
  <c r="AN72" i="7"/>
  <c r="BC72" i="7"/>
  <c r="BK72" i="7" s="1"/>
  <c r="BC94" i="7"/>
  <c r="BK94" i="7" s="1"/>
  <c r="AN94" i="7"/>
  <c r="AQ94" i="7"/>
  <c r="AQ166" i="7"/>
  <c r="BC166" i="7"/>
  <c r="BK166" i="7" s="1"/>
  <c r="AP166" i="7"/>
  <c r="AN166" i="7"/>
  <c r="BC142" i="7"/>
  <c r="BK142" i="7" s="1"/>
  <c r="AN142" i="7"/>
  <c r="AQ142" i="7"/>
  <c r="AP142" i="7"/>
  <c r="BC102" i="7"/>
  <c r="BK102" i="7" s="1"/>
  <c r="AN102" i="7"/>
  <c r="AQ102" i="7"/>
  <c r="AP102" i="7"/>
  <c r="BC32" i="7"/>
  <c r="BK32" i="7" s="1"/>
  <c r="AN32" i="7"/>
  <c r="AQ32" i="7"/>
  <c r="AP32" i="7"/>
  <c r="AD42" i="7"/>
  <c r="AE42" i="7" s="1"/>
  <c r="AG42" i="7" s="1"/>
  <c r="AL42" i="7" s="1"/>
  <c r="AM42" i="7" s="1"/>
  <c r="AD36" i="7"/>
  <c r="AE36" i="7" s="1"/>
  <c r="AG36" i="7" s="1"/>
  <c r="AL36" i="7" s="1"/>
  <c r="AM36" i="7" s="1"/>
  <c r="W17" i="7"/>
  <c r="AN195" i="7"/>
  <c r="BC195" i="7"/>
  <c r="BK195" i="7" s="1"/>
  <c r="AL160" i="7"/>
  <c r="AM160" i="7" s="1"/>
  <c r="AQ141" i="7"/>
  <c r="AP141" i="7"/>
  <c r="AN141" i="7"/>
  <c r="BC141" i="7"/>
  <c r="BK141" i="7" s="1"/>
  <c r="BC82" i="7"/>
  <c r="BK82" i="7" s="1"/>
  <c r="AN82" i="7"/>
  <c r="AQ82" i="7"/>
  <c r="AP82" i="7"/>
  <c r="BC47" i="7"/>
  <c r="BK47" i="7" s="1"/>
  <c r="AN47" i="7"/>
  <c r="AP47" i="7"/>
  <c r="BC65" i="7"/>
  <c r="BK65" i="7" s="1"/>
  <c r="AN65" i="7"/>
  <c r="AQ65" i="7"/>
  <c r="AP65" i="7"/>
  <c r="AE27" i="7"/>
  <c r="AD38" i="7"/>
  <c r="AE38" i="7" s="1"/>
  <c r="AG38" i="7" s="1"/>
  <c r="AL38" i="7" s="1"/>
  <c r="AM38" i="7" s="1"/>
  <c r="AQ34" i="7"/>
  <c r="BC34" i="7"/>
  <c r="BK34" i="7" s="1"/>
  <c r="AL35" i="7"/>
  <c r="AM35" i="7" s="1"/>
  <c r="AL148" i="7"/>
  <c r="AM148" i="7" s="1"/>
  <c r="AD90" i="7"/>
  <c r="AE90" i="7" s="1"/>
  <c r="AG90" i="7" s="1"/>
  <c r="AL90" i="7" s="1"/>
  <c r="AM90" i="7" s="1"/>
  <c r="AN76" i="7"/>
  <c r="AD61" i="7"/>
  <c r="AE61" i="7" s="1"/>
  <c r="AG61" i="7" s="1"/>
  <c r="AL61" i="7" s="1"/>
  <c r="AM61" i="7" s="1"/>
  <c r="AL51" i="7"/>
  <c r="AM51" i="7" s="1"/>
  <c r="BC45" i="7"/>
  <c r="BK45" i="7" s="1"/>
  <c r="AN45" i="7"/>
  <c r="AQ45" i="7"/>
  <c r="AP45" i="7"/>
  <c r="AD163" i="7"/>
  <c r="AE163" i="7" s="1"/>
  <c r="AG163" i="7" s="1"/>
  <c r="AL163" i="7" s="1"/>
  <c r="AM163" i="7" s="1"/>
  <c r="AL183" i="7"/>
  <c r="AM183" i="7" s="1"/>
  <c r="AD159" i="7"/>
  <c r="AE159" i="7" s="1"/>
  <c r="AG159" i="7" s="1"/>
  <c r="AL159" i="7" s="1"/>
  <c r="AM159" i="7" s="1"/>
  <c r="AD109" i="7"/>
  <c r="AE109" i="7" s="1"/>
  <c r="AG109" i="7" s="1"/>
  <c r="AL109" i="7" s="1"/>
  <c r="AM109" i="7" s="1"/>
  <c r="AQ84" i="7"/>
  <c r="BC84" i="7"/>
  <c r="BK84" i="7" s="1"/>
  <c r="AN84" i="7"/>
  <c r="AD106" i="7"/>
  <c r="AE106" i="7" s="1"/>
  <c r="AG106" i="7" s="1"/>
  <c r="AL106" i="7" s="1"/>
  <c r="AM106" i="7" s="1"/>
  <c r="AL98" i="7"/>
  <c r="AM98" i="7" s="1"/>
  <c r="AL88" i="7"/>
  <c r="AM88" i="7" s="1"/>
  <c r="AL53" i="7"/>
  <c r="AM53" i="7" s="1"/>
  <c r="AD191" i="7"/>
  <c r="AE191" i="7" s="1"/>
  <c r="AG191" i="7" s="1"/>
  <c r="AL191" i="7" s="1"/>
  <c r="AM191" i="7" s="1"/>
  <c r="AD182" i="7"/>
  <c r="AE182" i="7" s="1"/>
  <c r="AG182" i="7" s="1"/>
  <c r="AL182" i="7" s="1"/>
  <c r="AM182" i="7" s="1"/>
  <c r="AD188" i="7"/>
  <c r="AE188" i="7" s="1"/>
  <c r="AG188" i="7" s="1"/>
  <c r="AL188" i="7" s="1"/>
  <c r="AM188" i="7" s="1"/>
  <c r="AL179" i="7"/>
  <c r="AM179" i="7" s="1"/>
  <c r="AL164" i="7"/>
  <c r="AM164" i="7" s="1"/>
  <c r="AD151" i="7"/>
  <c r="AE151" i="7" s="1"/>
  <c r="AG151" i="7" s="1"/>
  <c r="AL151" i="7" s="1"/>
  <c r="AM151" i="7" s="1"/>
  <c r="AD138" i="7"/>
  <c r="AE138" i="7" s="1"/>
  <c r="AG138" i="7" s="1"/>
  <c r="AL138" i="7" s="1"/>
  <c r="AM138" i="7" s="1"/>
  <c r="AD129" i="7"/>
  <c r="AE129" i="7" s="1"/>
  <c r="AG129" i="7" s="1"/>
  <c r="AL129" i="7" s="1"/>
  <c r="AM129" i="7" s="1"/>
  <c r="AL96" i="7"/>
  <c r="AM96" i="7" s="1"/>
  <c r="AL67" i="7"/>
  <c r="AM67" i="7" s="1"/>
  <c r="AD49" i="7"/>
  <c r="AE49" i="7" s="1"/>
  <c r="AG49" i="7" s="1"/>
  <c r="AL49" i="7" s="1"/>
  <c r="AM49" i="7" s="1"/>
  <c r="AD78" i="7"/>
  <c r="AE78" i="7" s="1"/>
  <c r="AG78" i="7" s="1"/>
  <c r="AL78" i="7" s="1"/>
  <c r="AM78" i="7" s="1"/>
  <c r="AA194" i="7"/>
  <c r="AD194" i="7" s="1"/>
  <c r="AE194" i="7" s="1"/>
  <c r="AG194" i="7" s="1"/>
  <c r="AL194" i="7" s="1"/>
  <c r="AM194" i="7" s="1"/>
  <c r="AA190" i="7"/>
  <c r="AD190" i="7" s="1"/>
  <c r="AE190" i="7" s="1"/>
  <c r="AG190" i="7" s="1"/>
  <c r="AL190" i="7" s="1"/>
  <c r="AM190" i="7" s="1"/>
  <c r="AA193" i="7"/>
  <c r="AD193" i="7" s="1"/>
  <c r="AE193" i="7" s="1"/>
  <c r="AG193" i="7" s="1"/>
  <c r="AL193" i="7" s="1"/>
  <c r="AM193" i="7" s="1"/>
  <c r="AA177" i="7"/>
  <c r="AD177" i="7" s="1"/>
  <c r="AE177" i="7" s="1"/>
  <c r="AG177" i="7" s="1"/>
  <c r="AL177" i="7" s="1"/>
  <c r="AM177" i="7" s="1"/>
  <c r="AA173" i="7"/>
  <c r="AD173" i="7" s="1"/>
  <c r="AE173" i="7" s="1"/>
  <c r="AG173" i="7" s="1"/>
  <c r="AL173" i="7" s="1"/>
  <c r="AM173" i="7" s="1"/>
  <c r="AA192" i="7"/>
  <c r="AD192" i="7" s="1"/>
  <c r="AE192" i="7" s="1"/>
  <c r="AG192" i="7" s="1"/>
  <c r="AL192" i="7" s="1"/>
  <c r="AM192" i="7" s="1"/>
  <c r="AA189" i="7"/>
  <c r="AD189" i="7" s="1"/>
  <c r="AE189" i="7" s="1"/>
  <c r="AG189" i="7" s="1"/>
  <c r="AL189" i="7" s="1"/>
  <c r="AM189" i="7" s="1"/>
  <c r="AA186" i="7"/>
  <c r="AD186" i="7" s="1"/>
  <c r="AE186" i="7" s="1"/>
  <c r="AG186" i="7" s="1"/>
  <c r="AL186" i="7" s="1"/>
  <c r="AM186" i="7" s="1"/>
  <c r="AA185" i="7"/>
  <c r="AD185" i="7" s="1"/>
  <c r="AE185" i="7" s="1"/>
  <c r="AG185" i="7" s="1"/>
  <c r="AL185" i="7" s="1"/>
  <c r="AM185" i="7" s="1"/>
  <c r="AA184" i="7"/>
  <c r="AD184" i="7" s="1"/>
  <c r="AE184" i="7" s="1"/>
  <c r="AG184" i="7" s="1"/>
  <c r="AL184" i="7" s="1"/>
  <c r="AM184" i="7" s="1"/>
  <c r="AA180" i="7"/>
  <c r="AD180" i="7" s="1"/>
  <c r="AE180" i="7" s="1"/>
  <c r="AG180" i="7" s="1"/>
  <c r="AL180" i="7" s="1"/>
  <c r="AM180" i="7" s="1"/>
  <c r="AA176" i="7"/>
  <c r="AD176" i="7" s="1"/>
  <c r="AE176" i="7" s="1"/>
  <c r="AG176" i="7" s="1"/>
  <c r="AL176" i="7" s="1"/>
  <c r="AM176" i="7" s="1"/>
  <c r="AA168" i="7"/>
  <c r="AD168" i="7" s="1"/>
  <c r="AE168" i="7" s="1"/>
  <c r="AG168" i="7" s="1"/>
  <c r="AL168" i="7" s="1"/>
  <c r="AM168" i="7" s="1"/>
  <c r="AA172" i="7"/>
  <c r="AD172" i="7" s="1"/>
  <c r="AE172" i="7" s="1"/>
  <c r="AG172" i="7" s="1"/>
  <c r="AL172" i="7" s="1"/>
  <c r="AM172" i="7" s="1"/>
  <c r="AA169" i="7"/>
  <c r="AD169" i="7" s="1"/>
  <c r="AE169" i="7" s="1"/>
  <c r="AG169" i="7" s="1"/>
  <c r="AL169" i="7" s="1"/>
  <c r="AM169" i="7" s="1"/>
  <c r="AA161" i="7"/>
  <c r="AD161" i="7" s="1"/>
  <c r="AE161" i="7" s="1"/>
  <c r="AG161" i="7" s="1"/>
  <c r="AL161" i="7" s="1"/>
  <c r="AM161" i="7" s="1"/>
  <c r="AA181" i="7"/>
  <c r="AD181" i="7" s="1"/>
  <c r="AE181" i="7" s="1"/>
  <c r="AG181" i="7" s="1"/>
  <c r="AL181" i="7" s="1"/>
  <c r="AM181" i="7" s="1"/>
  <c r="AA175" i="7"/>
  <c r="AD175" i="7" s="1"/>
  <c r="AE175" i="7" s="1"/>
  <c r="AG175" i="7" s="1"/>
  <c r="AL175" i="7" s="1"/>
  <c r="AM175" i="7" s="1"/>
  <c r="AA162" i="7"/>
  <c r="AD162" i="7" s="1"/>
  <c r="AE162" i="7" s="1"/>
  <c r="AG162" i="7" s="1"/>
  <c r="AL162" i="7" s="1"/>
  <c r="AM162" i="7" s="1"/>
  <c r="AA158" i="7"/>
  <c r="AD158" i="7" s="1"/>
  <c r="AE158" i="7" s="1"/>
  <c r="AG158" i="7" s="1"/>
  <c r="AL158" i="7" s="1"/>
  <c r="AM158" i="7" s="1"/>
  <c r="AA144" i="7"/>
  <c r="AD144" i="7" s="1"/>
  <c r="AE144" i="7" s="1"/>
  <c r="AG144" i="7" s="1"/>
  <c r="AL144" i="7" s="1"/>
  <c r="AM144" i="7" s="1"/>
  <c r="AA140" i="7"/>
  <c r="AD140" i="7" s="1"/>
  <c r="AE140" i="7" s="1"/>
  <c r="AG140" i="7" s="1"/>
  <c r="AL140" i="7" s="1"/>
  <c r="AM140" i="7" s="1"/>
  <c r="AA136" i="7"/>
  <c r="AD136" i="7" s="1"/>
  <c r="AE136" i="7" s="1"/>
  <c r="AG136" i="7" s="1"/>
  <c r="AL136" i="7" s="1"/>
  <c r="AM136" i="7" s="1"/>
  <c r="AA132" i="7"/>
  <c r="AD132" i="7" s="1"/>
  <c r="AE132" i="7" s="1"/>
  <c r="AG132" i="7" s="1"/>
  <c r="AL132" i="7" s="1"/>
  <c r="AM132" i="7" s="1"/>
  <c r="AA154" i="7"/>
  <c r="AD154" i="7" s="1"/>
  <c r="AE154" i="7" s="1"/>
  <c r="AG154" i="7" s="1"/>
  <c r="AL154" i="7" s="1"/>
  <c r="AM154" i="7" s="1"/>
  <c r="AA150" i="7"/>
  <c r="AD150" i="7" s="1"/>
  <c r="AE150" i="7" s="1"/>
  <c r="AG150" i="7" s="1"/>
  <c r="AL150" i="7" s="1"/>
  <c r="AM150" i="7" s="1"/>
  <c r="AA145" i="7"/>
  <c r="AD145" i="7" s="1"/>
  <c r="AE145" i="7" s="1"/>
  <c r="AG145" i="7" s="1"/>
  <c r="AL145" i="7" s="1"/>
  <c r="AM145" i="7" s="1"/>
  <c r="AA157" i="7"/>
  <c r="AD157" i="7" s="1"/>
  <c r="AE157" i="7" s="1"/>
  <c r="AG157" i="7" s="1"/>
  <c r="AL157" i="7" s="1"/>
  <c r="AM157" i="7" s="1"/>
  <c r="AA153" i="7"/>
  <c r="AD153" i="7" s="1"/>
  <c r="AE153" i="7" s="1"/>
  <c r="AG153" i="7" s="1"/>
  <c r="AL153" i="7" s="1"/>
  <c r="AM153" i="7" s="1"/>
  <c r="AA149" i="7"/>
  <c r="AD149" i="7" s="1"/>
  <c r="AE149" i="7" s="1"/>
  <c r="AG149" i="7" s="1"/>
  <c r="AL149" i="7" s="1"/>
  <c r="AM149" i="7" s="1"/>
  <c r="AA146" i="7"/>
  <c r="AD146" i="7" s="1"/>
  <c r="AE146" i="7" s="1"/>
  <c r="AG146" i="7" s="1"/>
  <c r="AL146" i="7" s="1"/>
  <c r="AM146" i="7" s="1"/>
  <c r="AA143" i="7"/>
  <c r="AD143" i="7" s="1"/>
  <c r="AE143" i="7" s="1"/>
  <c r="AG143" i="7" s="1"/>
  <c r="AL143" i="7" s="1"/>
  <c r="AM143" i="7" s="1"/>
  <c r="AA130" i="7"/>
  <c r="AD130" i="7" s="1"/>
  <c r="AE130" i="7" s="1"/>
  <c r="AG130" i="7" s="1"/>
  <c r="AL130" i="7" s="1"/>
  <c r="AM130" i="7" s="1"/>
  <c r="AA127" i="7"/>
  <c r="AD127" i="7" s="1"/>
  <c r="AE127" i="7" s="1"/>
  <c r="AG127" i="7" s="1"/>
  <c r="AL127" i="7" s="1"/>
  <c r="AM127" i="7" s="1"/>
  <c r="AA123" i="7"/>
  <c r="AD123" i="7" s="1"/>
  <c r="AE123" i="7" s="1"/>
  <c r="AG123" i="7" s="1"/>
  <c r="AL123" i="7" s="1"/>
  <c r="AM123" i="7" s="1"/>
  <c r="AA119" i="7"/>
  <c r="AD119" i="7" s="1"/>
  <c r="AE119" i="7" s="1"/>
  <c r="AG119" i="7" s="1"/>
  <c r="AL119" i="7" s="1"/>
  <c r="AM119" i="7" s="1"/>
  <c r="AA115" i="7"/>
  <c r="AD115" i="7" s="1"/>
  <c r="AE115" i="7" s="1"/>
  <c r="AG115" i="7" s="1"/>
  <c r="AL115" i="7" s="1"/>
  <c r="AM115" i="7" s="1"/>
  <c r="AA135" i="7"/>
  <c r="AD135" i="7" s="1"/>
  <c r="AE135" i="7" s="1"/>
  <c r="AG135" i="7" s="1"/>
  <c r="AL135" i="7" s="1"/>
  <c r="AM135" i="7" s="1"/>
  <c r="AA128" i="7"/>
  <c r="AD128" i="7" s="1"/>
  <c r="AE128" i="7" s="1"/>
  <c r="AG128" i="7" s="1"/>
  <c r="AL128" i="7" s="1"/>
  <c r="AM128" i="7" s="1"/>
  <c r="AA124" i="7"/>
  <c r="AD124" i="7" s="1"/>
  <c r="AE124" i="7" s="1"/>
  <c r="AG124" i="7" s="1"/>
  <c r="AL124" i="7" s="1"/>
  <c r="AM124" i="7" s="1"/>
  <c r="AA120" i="7"/>
  <c r="AD120" i="7" s="1"/>
  <c r="AE120" i="7" s="1"/>
  <c r="AG120" i="7" s="1"/>
  <c r="AL120" i="7" s="1"/>
  <c r="AM120" i="7" s="1"/>
  <c r="AA116" i="7"/>
  <c r="AD116" i="7" s="1"/>
  <c r="AE116" i="7" s="1"/>
  <c r="AG116" i="7" s="1"/>
  <c r="AL116" i="7" s="1"/>
  <c r="AM116" i="7" s="1"/>
  <c r="AA112" i="7"/>
  <c r="AD112" i="7" s="1"/>
  <c r="AE112" i="7" s="1"/>
  <c r="AG112" i="7" s="1"/>
  <c r="AL112" i="7" s="1"/>
  <c r="AM112" i="7" s="1"/>
  <c r="AA131" i="7"/>
  <c r="AD131" i="7" s="1"/>
  <c r="AE131" i="7" s="1"/>
  <c r="AG131" i="7" s="1"/>
  <c r="AL131" i="7" s="1"/>
  <c r="AM131" i="7" s="1"/>
  <c r="AA139" i="7"/>
  <c r="AD139" i="7" s="1"/>
  <c r="AE139" i="7" s="1"/>
  <c r="AG139" i="7" s="1"/>
  <c r="AL139" i="7" s="1"/>
  <c r="AM139" i="7" s="1"/>
  <c r="AA126" i="7"/>
  <c r="AD126" i="7" s="1"/>
  <c r="AE126" i="7" s="1"/>
  <c r="AG126" i="7" s="1"/>
  <c r="AL126" i="7" s="1"/>
  <c r="AM126" i="7" s="1"/>
  <c r="AA122" i="7"/>
  <c r="AD122" i="7" s="1"/>
  <c r="AE122" i="7" s="1"/>
  <c r="AG122" i="7" s="1"/>
  <c r="AL122" i="7" s="1"/>
  <c r="AM122" i="7" s="1"/>
  <c r="AA110" i="7"/>
  <c r="AD110" i="7" s="1"/>
  <c r="AE110" i="7" s="1"/>
  <c r="AG110" i="7" s="1"/>
  <c r="AL110" i="7" s="1"/>
  <c r="AM110" i="7" s="1"/>
  <c r="AA108" i="7"/>
  <c r="AD108" i="7" s="1"/>
  <c r="AE108" i="7" s="1"/>
  <c r="AG108" i="7" s="1"/>
  <c r="AL108" i="7" s="1"/>
  <c r="AM108" i="7" s="1"/>
  <c r="AA118" i="7"/>
  <c r="AD118" i="7" s="1"/>
  <c r="AE118" i="7" s="1"/>
  <c r="AG118" i="7" s="1"/>
  <c r="AL118" i="7" s="1"/>
  <c r="AM118" i="7" s="1"/>
  <c r="AA105" i="7"/>
  <c r="AD105" i="7" s="1"/>
  <c r="AE105" i="7" s="1"/>
  <c r="AG105" i="7" s="1"/>
  <c r="AL105" i="7" s="1"/>
  <c r="AM105" i="7" s="1"/>
  <c r="AA101" i="7"/>
  <c r="AD101" i="7" s="1"/>
  <c r="AE101" i="7" s="1"/>
  <c r="AG101" i="7" s="1"/>
  <c r="AL101" i="7" s="1"/>
  <c r="AM101" i="7" s="1"/>
  <c r="AA97" i="7"/>
  <c r="AD97" i="7" s="1"/>
  <c r="AE97" i="7" s="1"/>
  <c r="AG97" i="7" s="1"/>
  <c r="AL97" i="7" s="1"/>
  <c r="AM97" i="7" s="1"/>
  <c r="AA93" i="7"/>
  <c r="AD93" i="7" s="1"/>
  <c r="AE93" i="7" s="1"/>
  <c r="AG93" i="7" s="1"/>
  <c r="AL93" i="7" s="1"/>
  <c r="AM93" i="7" s="1"/>
  <c r="AA89" i="7"/>
  <c r="AD89" i="7" s="1"/>
  <c r="AE89" i="7" s="1"/>
  <c r="AG89" i="7" s="1"/>
  <c r="AL89" i="7" s="1"/>
  <c r="AM89" i="7" s="1"/>
  <c r="AA85" i="7"/>
  <c r="AD85" i="7" s="1"/>
  <c r="AE85" i="7" s="1"/>
  <c r="AG85" i="7" s="1"/>
  <c r="AL85" i="7" s="1"/>
  <c r="AM85" i="7" s="1"/>
  <c r="AA114" i="7"/>
  <c r="AD114" i="7" s="1"/>
  <c r="AE114" i="7" s="1"/>
  <c r="AG114" i="7" s="1"/>
  <c r="AL114" i="7" s="1"/>
  <c r="AM114" i="7" s="1"/>
  <c r="AA111" i="7"/>
  <c r="AD111" i="7" s="1"/>
  <c r="AE111" i="7" s="1"/>
  <c r="AG111" i="7" s="1"/>
  <c r="AL111" i="7" s="1"/>
  <c r="AM111" i="7" s="1"/>
  <c r="AA107" i="7"/>
  <c r="AD107" i="7" s="1"/>
  <c r="AE107" i="7" s="1"/>
  <c r="AG107" i="7" s="1"/>
  <c r="AL107" i="7" s="1"/>
  <c r="AM107" i="7" s="1"/>
  <c r="AA103" i="7"/>
  <c r="AD103" i="7" s="1"/>
  <c r="AE103" i="7" s="1"/>
  <c r="AG103" i="7" s="1"/>
  <c r="AL103" i="7" s="1"/>
  <c r="AM103" i="7" s="1"/>
  <c r="AA81" i="7"/>
  <c r="AD81" i="7" s="1"/>
  <c r="AE81" i="7" s="1"/>
  <c r="AG81" i="7" s="1"/>
  <c r="AL81" i="7" s="1"/>
  <c r="AM81" i="7" s="1"/>
  <c r="AA77" i="7"/>
  <c r="AD77" i="7" s="1"/>
  <c r="AE77" i="7" s="1"/>
  <c r="AG77" i="7" s="1"/>
  <c r="AL77" i="7" s="1"/>
  <c r="AM77" i="7" s="1"/>
  <c r="AA99" i="7"/>
  <c r="AD99" i="7" s="1"/>
  <c r="AE99" i="7" s="1"/>
  <c r="AG99" i="7" s="1"/>
  <c r="AL99" i="7" s="1"/>
  <c r="AM99" i="7" s="1"/>
  <c r="AA91" i="7"/>
  <c r="AD91" i="7" s="1"/>
  <c r="AE91" i="7" s="1"/>
  <c r="AG91" i="7" s="1"/>
  <c r="AL91" i="7" s="1"/>
  <c r="AM91" i="7" s="1"/>
  <c r="AA73" i="7"/>
  <c r="AD73" i="7" s="1"/>
  <c r="AE73" i="7" s="1"/>
  <c r="AG73" i="7" s="1"/>
  <c r="AL73" i="7" s="1"/>
  <c r="AM73" i="7" s="1"/>
  <c r="AA68" i="7"/>
  <c r="AD68" i="7" s="1"/>
  <c r="AE68" i="7" s="1"/>
  <c r="AG68" i="7" s="1"/>
  <c r="AL68" i="7" s="1"/>
  <c r="AM68" i="7" s="1"/>
  <c r="AA64" i="7"/>
  <c r="AD64" i="7" s="1"/>
  <c r="AE64" i="7" s="1"/>
  <c r="AG64" i="7" s="1"/>
  <c r="AL64" i="7" s="1"/>
  <c r="AM64" i="7" s="1"/>
  <c r="AA60" i="7"/>
  <c r="AD60" i="7" s="1"/>
  <c r="AE60" i="7" s="1"/>
  <c r="AG60" i="7" s="1"/>
  <c r="AL60" i="7" s="1"/>
  <c r="AM60" i="7" s="1"/>
  <c r="AA56" i="7"/>
  <c r="AD56" i="7" s="1"/>
  <c r="AE56" i="7" s="1"/>
  <c r="AG56" i="7" s="1"/>
  <c r="AL56" i="7" s="1"/>
  <c r="AM56" i="7" s="1"/>
  <c r="AA52" i="7"/>
  <c r="AD52" i="7" s="1"/>
  <c r="AE52" i="7" s="1"/>
  <c r="AG52" i="7" s="1"/>
  <c r="AL52" i="7" s="1"/>
  <c r="AM52" i="7" s="1"/>
  <c r="AA48" i="7"/>
  <c r="AD48" i="7" s="1"/>
  <c r="AE48" i="7" s="1"/>
  <c r="AG48" i="7" s="1"/>
  <c r="AL48" i="7" s="1"/>
  <c r="AM48" i="7" s="1"/>
  <c r="AA83" i="7"/>
  <c r="AD83" i="7" s="1"/>
  <c r="AE83" i="7" s="1"/>
  <c r="AG83" i="7" s="1"/>
  <c r="AL83" i="7" s="1"/>
  <c r="AM83" i="7" s="1"/>
  <c r="AA79" i="7"/>
  <c r="AD79" i="7" s="1"/>
  <c r="AE79" i="7" s="1"/>
  <c r="AG79" i="7" s="1"/>
  <c r="AL79" i="7" s="1"/>
  <c r="AM79" i="7" s="1"/>
  <c r="AA75" i="7"/>
  <c r="AD75" i="7" s="1"/>
  <c r="AE75" i="7" s="1"/>
  <c r="AG75" i="7" s="1"/>
  <c r="AL75" i="7" s="1"/>
  <c r="AM75" i="7" s="1"/>
  <c r="AA70" i="7"/>
  <c r="AD70" i="7" s="1"/>
  <c r="AE70" i="7" s="1"/>
  <c r="AG70" i="7" s="1"/>
  <c r="AL70" i="7" s="1"/>
  <c r="AM70" i="7" s="1"/>
  <c r="AA62" i="7"/>
  <c r="AD62" i="7" s="1"/>
  <c r="AE62" i="7" s="1"/>
  <c r="AG62" i="7" s="1"/>
  <c r="AL62" i="7" s="1"/>
  <c r="AM62" i="7" s="1"/>
  <c r="AA54" i="7"/>
  <c r="AD54" i="7" s="1"/>
  <c r="AE54" i="7" s="1"/>
  <c r="AG54" i="7" s="1"/>
  <c r="AL54" i="7" s="1"/>
  <c r="AM54" i="7" s="1"/>
  <c r="AA58" i="7"/>
  <c r="AD58" i="7" s="1"/>
  <c r="AE58" i="7" s="1"/>
  <c r="AG58" i="7" s="1"/>
  <c r="AL58" i="7" s="1"/>
  <c r="AM58" i="7" s="1"/>
  <c r="AA46" i="7"/>
  <c r="AD46" i="7" s="1"/>
  <c r="AE46" i="7" s="1"/>
  <c r="AG46" i="7" s="1"/>
  <c r="AL46" i="7" s="1"/>
  <c r="AM46" i="7" s="1"/>
  <c r="AA95" i="7"/>
  <c r="AD95" i="7" s="1"/>
  <c r="AE95" i="7" s="1"/>
  <c r="AG95" i="7" s="1"/>
  <c r="AL95" i="7" s="1"/>
  <c r="AM95" i="7" s="1"/>
  <c r="AA87" i="7"/>
  <c r="AD87" i="7" s="1"/>
  <c r="AE87" i="7" s="1"/>
  <c r="AG87" i="7" s="1"/>
  <c r="AL87" i="7" s="1"/>
  <c r="AM87" i="7" s="1"/>
  <c r="AA66" i="7"/>
  <c r="AD66" i="7" s="1"/>
  <c r="AE66" i="7" s="1"/>
  <c r="AG66" i="7" s="1"/>
  <c r="AL66" i="7" s="1"/>
  <c r="AM66" i="7" s="1"/>
  <c r="AA50" i="7"/>
  <c r="AD50" i="7" s="1"/>
  <c r="AE50" i="7" s="1"/>
  <c r="AG50" i="7" s="1"/>
  <c r="AL50" i="7" s="1"/>
  <c r="AM50" i="7" s="1"/>
  <c r="AA44" i="7"/>
  <c r="AD44" i="7" s="1"/>
  <c r="AE44" i="7" s="1"/>
  <c r="AG44" i="7" s="1"/>
  <c r="AL44" i="7" s="1"/>
  <c r="AM44" i="7" s="1"/>
  <c r="AA41" i="7"/>
  <c r="AD41" i="7" s="1"/>
  <c r="AE41" i="7" s="1"/>
  <c r="AG41" i="7" s="1"/>
  <c r="AL41" i="7" s="1"/>
  <c r="AM41" i="7" s="1"/>
  <c r="AA37" i="7"/>
  <c r="AD37" i="7" s="1"/>
  <c r="AE37" i="7" s="1"/>
  <c r="AG37" i="7" s="1"/>
  <c r="AL37" i="7" s="1"/>
  <c r="AM37" i="7" s="1"/>
  <c r="AA33" i="7"/>
  <c r="AD33" i="7" s="1"/>
  <c r="AE33" i="7" s="1"/>
  <c r="AG33" i="7" s="1"/>
  <c r="AL33" i="7" s="1"/>
  <c r="AM33" i="7" s="1"/>
  <c r="AA29" i="7"/>
  <c r="AD29" i="7" s="1"/>
  <c r="AE29" i="7" s="1"/>
  <c r="AG29" i="7" s="1"/>
  <c r="AL29" i="7" s="1"/>
  <c r="AM29" i="7" s="1"/>
  <c r="AA28" i="7"/>
  <c r="AD28" i="7" s="1"/>
  <c r="AE28" i="7" s="1"/>
  <c r="AG28" i="7" s="1"/>
  <c r="AL28" i="7" s="1"/>
  <c r="AM28" i="7" s="1"/>
  <c r="S17" i="7"/>
  <c r="AP133" i="7" l="1"/>
  <c r="AQ133" i="7"/>
  <c r="AN133" i="7"/>
  <c r="AQ86" i="7"/>
  <c r="AP86" i="7"/>
  <c r="AS86" i="7" s="1"/>
  <c r="AT86" i="7" s="1"/>
  <c r="AU86" i="7" s="1"/>
  <c r="AW86" i="7" s="1"/>
  <c r="BE86" i="7" s="1"/>
  <c r="BC86" i="7"/>
  <c r="BK86" i="7" s="1"/>
  <c r="AN86" i="7"/>
  <c r="BC74" i="7"/>
  <c r="BK74" i="7" s="1"/>
  <c r="AN74" i="7"/>
  <c r="AQ74" i="7"/>
  <c r="AP74" i="7"/>
  <c r="AP195" i="7"/>
  <c r="AN92" i="7"/>
  <c r="AP113" i="7"/>
  <c r="AS113" i="7" s="1"/>
  <c r="AT113" i="7" s="1"/>
  <c r="AU113" i="7" s="1"/>
  <c r="AW113" i="7" s="1"/>
  <c r="BE113" i="7" s="1"/>
  <c r="AN155" i="7"/>
  <c r="AP76" i="7"/>
  <c r="AS76" i="7" s="1"/>
  <c r="AT76" i="7" s="1"/>
  <c r="AU76" i="7" s="1"/>
  <c r="AW76" i="7" s="1"/>
  <c r="BC92" i="7"/>
  <c r="BK92" i="7" s="1"/>
  <c r="AQ113" i="7"/>
  <c r="AP72" i="7"/>
  <c r="BC55" i="7"/>
  <c r="BK55" i="7" s="1"/>
  <c r="AQ134" i="7"/>
  <c r="BC155" i="7"/>
  <c r="BK155" i="7" s="1"/>
  <c r="AP92" i="7"/>
  <c r="AS92" i="7" s="1"/>
  <c r="AT92" i="7" s="1"/>
  <c r="AU92" i="7" s="1"/>
  <c r="AW92" i="7" s="1"/>
  <c r="AN113" i="7"/>
  <c r="AP55" i="7"/>
  <c r="AP155" i="7"/>
  <c r="BC76" i="7"/>
  <c r="BK76" i="7" s="1"/>
  <c r="AP34" i="7"/>
  <c r="AQ100" i="7"/>
  <c r="AS100" i="7" s="1"/>
  <c r="AT100" i="7" s="1"/>
  <c r="AU100" i="7" s="1"/>
  <c r="AW100" i="7" s="1"/>
  <c r="BC133" i="7"/>
  <c r="BK133" i="7" s="1"/>
  <c r="AN100" i="7"/>
  <c r="BC100" i="7"/>
  <c r="BK100" i="7" s="1"/>
  <c r="AP104" i="7"/>
  <c r="BC104" i="7"/>
  <c r="BK104" i="7" s="1"/>
  <c r="AN104" i="7"/>
  <c r="AQ104" i="7"/>
  <c r="AN167" i="7"/>
  <c r="BC167" i="7"/>
  <c r="BK167" i="7" s="1"/>
  <c r="AP167" i="7"/>
  <c r="AQ167" i="7"/>
  <c r="AS167" i="7" s="1"/>
  <c r="AT167" i="7" s="1"/>
  <c r="AU167" i="7" s="1"/>
  <c r="AW167" i="7" s="1"/>
  <c r="AP66" i="7"/>
  <c r="BC66" i="7"/>
  <c r="BK66" i="7" s="1"/>
  <c r="AN66" i="7"/>
  <c r="AQ66" i="7"/>
  <c r="AQ52" i="7"/>
  <c r="AP52" i="7"/>
  <c r="BC52" i="7"/>
  <c r="BK52" i="7" s="1"/>
  <c r="AN52" i="7"/>
  <c r="AQ93" i="7"/>
  <c r="AP93" i="7"/>
  <c r="AN93" i="7"/>
  <c r="BC93" i="7"/>
  <c r="BK93" i="7" s="1"/>
  <c r="AQ116" i="7"/>
  <c r="AP116" i="7"/>
  <c r="AN116" i="7"/>
  <c r="BC116" i="7"/>
  <c r="BK116" i="7" s="1"/>
  <c r="AQ190" i="7"/>
  <c r="AP190" i="7"/>
  <c r="BC190" i="7"/>
  <c r="BK190" i="7" s="1"/>
  <c r="AN190" i="7"/>
  <c r="AP81" i="7"/>
  <c r="BC81" i="7"/>
  <c r="BK81" i="7" s="1"/>
  <c r="AQ81" i="7"/>
  <c r="AN81" i="7"/>
  <c r="AP37" i="7"/>
  <c r="BC37" i="7"/>
  <c r="BK37" i="7" s="1"/>
  <c r="AN37" i="7"/>
  <c r="AQ37" i="7"/>
  <c r="AP58" i="7"/>
  <c r="BC58" i="7"/>
  <c r="BK58" i="7" s="1"/>
  <c r="AN58" i="7"/>
  <c r="AQ58" i="7"/>
  <c r="AQ68" i="7"/>
  <c r="AP68" i="7"/>
  <c r="AN68" i="7"/>
  <c r="BC68" i="7"/>
  <c r="BK68" i="7" s="1"/>
  <c r="AP111" i="7"/>
  <c r="BC111" i="7"/>
  <c r="BK111" i="7" s="1"/>
  <c r="AN111" i="7"/>
  <c r="AQ111" i="7"/>
  <c r="AP126" i="7"/>
  <c r="BC126" i="7"/>
  <c r="BK126" i="7" s="1"/>
  <c r="AN126" i="7"/>
  <c r="AQ126" i="7"/>
  <c r="AP172" i="7"/>
  <c r="BC172" i="7"/>
  <c r="BK172" i="7" s="1"/>
  <c r="AN172" i="7"/>
  <c r="AQ172" i="7"/>
  <c r="AQ163" i="7"/>
  <c r="BC163" i="7"/>
  <c r="BK163" i="7" s="1"/>
  <c r="AP163" i="7"/>
  <c r="AN163" i="7"/>
  <c r="AP41" i="7"/>
  <c r="BC41" i="7"/>
  <c r="BK41" i="7" s="1"/>
  <c r="AN41" i="7"/>
  <c r="AQ41" i="7"/>
  <c r="AP54" i="7"/>
  <c r="BC54" i="7"/>
  <c r="BK54" i="7" s="1"/>
  <c r="AN54" i="7"/>
  <c r="AQ54" i="7"/>
  <c r="AP79" i="7"/>
  <c r="AQ79" i="7"/>
  <c r="AN79" i="7"/>
  <c r="BC79" i="7"/>
  <c r="BK79" i="7" s="1"/>
  <c r="AQ56" i="7"/>
  <c r="AP56" i="7"/>
  <c r="AN56" i="7"/>
  <c r="BC56" i="7"/>
  <c r="BK56" i="7" s="1"/>
  <c r="AQ73" i="7"/>
  <c r="BC73" i="7"/>
  <c r="BK73" i="7" s="1"/>
  <c r="AP73" i="7"/>
  <c r="AN73" i="7"/>
  <c r="AP114" i="7"/>
  <c r="BC114" i="7"/>
  <c r="BK114" i="7" s="1"/>
  <c r="AN114" i="7"/>
  <c r="AQ114" i="7"/>
  <c r="AQ97" i="7"/>
  <c r="AP97" i="7"/>
  <c r="BC97" i="7"/>
  <c r="BK97" i="7" s="1"/>
  <c r="AN97" i="7"/>
  <c r="AP139" i="7"/>
  <c r="BC139" i="7"/>
  <c r="BK139" i="7" s="1"/>
  <c r="AN139" i="7"/>
  <c r="AQ139" i="7"/>
  <c r="AQ115" i="7"/>
  <c r="AP115" i="7"/>
  <c r="BC115" i="7"/>
  <c r="BK115" i="7" s="1"/>
  <c r="AN115" i="7"/>
  <c r="BC130" i="7"/>
  <c r="BK130" i="7" s="1"/>
  <c r="AN130" i="7"/>
  <c r="AQ130" i="7"/>
  <c r="AP130" i="7"/>
  <c r="BC168" i="7"/>
  <c r="BK168" i="7" s="1"/>
  <c r="AN168" i="7"/>
  <c r="AQ168" i="7"/>
  <c r="AP168" i="7"/>
  <c r="BC185" i="7"/>
  <c r="BK185" i="7" s="1"/>
  <c r="AN185" i="7"/>
  <c r="AQ185" i="7"/>
  <c r="AP185" i="7"/>
  <c r="BC69" i="7"/>
  <c r="BK69" i="7" s="1"/>
  <c r="AN69" i="7"/>
  <c r="AQ69" i="7"/>
  <c r="AP69" i="7"/>
  <c r="AQ159" i="7"/>
  <c r="AP159" i="7"/>
  <c r="BC159" i="7"/>
  <c r="BK159" i="7" s="1"/>
  <c r="AN159" i="7"/>
  <c r="AP29" i="7"/>
  <c r="AN29" i="7"/>
  <c r="BC29" i="7"/>
  <c r="BK29" i="7" s="1"/>
  <c r="AQ29" i="7"/>
  <c r="AP44" i="7"/>
  <c r="BC44" i="7"/>
  <c r="BK44" i="7" s="1"/>
  <c r="AN44" i="7"/>
  <c r="AQ44" i="7"/>
  <c r="AP95" i="7"/>
  <c r="BC95" i="7"/>
  <c r="BK95" i="7" s="1"/>
  <c r="AN95" i="7"/>
  <c r="AQ95" i="7"/>
  <c r="AP83" i="7"/>
  <c r="BC83" i="7"/>
  <c r="BK83" i="7" s="1"/>
  <c r="AN83" i="7"/>
  <c r="AQ83" i="7"/>
  <c r="AP91" i="7"/>
  <c r="BC91" i="7"/>
  <c r="BK91" i="7" s="1"/>
  <c r="AN91" i="7"/>
  <c r="AQ91" i="7"/>
  <c r="AP103" i="7"/>
  <c r="BC103" i="7"/>
  <c r="BK103" i="7" s="1"/>
  <c r="AN103" i="7"/>
  <c r="AQ103" i="7"/>
  <c r="AQ85" i="7"/>
  <c r="AP85" i="7"/>
  <c r="AN85" i="7"/>
  <c r="BC85" i="7"/>
  <c r="BK85" i="7" s="1"/>
  <c r="AQ101" i="7"/>
  <c r="AP101" i="7"/>
  <c r="AN101" i="7"/>
  <c r="BC101" i="7"/>
  <c r="BK101" i="7" s="1"/>
  <c r="AP131" i="7"/>
  <c r="BC131" i="7"/>
  <c r="BK131" i="7" s="1"/>
  <c r="AN131" i="7"/>
  <c r="AQ131" i="7"/>
  <c r="AP143" i="7"/>
  <c r="BC143" i="7"/>
  <c r="BK143" i="7" s="1"/>
  <c r="AN143" i="7"/>
  <c r="AQ143" i="7"/>
  <c r="AQ132" i="7"/>
  <c r="AP132" i="7"/>
  <c r="BC132" i="7"/>
  <c r="BK132" i="7" s="1"/>
  <c r="AN132" i="7"/>
  <c r="AP158" i="7"/>
  <c r="BC158" i="7"/>
  <c r="BK158" i="7" s="1"/>
  <c r="AN158" i="7"/>
  <c r="AQ158" i="7"/>
  <c r="BC161" i="7"/>
  <c r="BK161" i="7" s="1"/>
  <c r="AN161" i="7"/>
  <c r="AQ161" i="7"/>
  <c r="AP161" i="7"/>
  <c r="AP186" i="7"/>
  <c r="BC186" i="7"/>
  <c r="BK186" i="7" s="1"/>
  <c r="AQ186" i="7"/>
  <c r="AN186" i="7"/>
  <c r="BC78" i="7"/>
  <c r="BK78" i="7" s="1"/>
  <c r="AN78" i="7"/>
  <c r="AQ78" i="7"/>
  <c r="AP78" i="7"/>
  <c r="AQ59" i="7"/>
  <c r="AP59" i="7"/>
  <c r="BC59" i="7"/>
  <c r="BK59" i="7" s="1"/>
  <c r="AN59" i="7"/>
  <c r="AQ156" i="7"/>
  <c r="BC156" i="7"/>
  <c r="BK156" i="7" s="1"/>
  <c r="AP156" i="7"/>
  <c r="AN156" i="7"/>
  <c r="AQ182" i="7"/>
  <c r="BC182" i="7"/>
  <c r="BK182" i="7" s="1"/>
  <c r="AP182" i="7"/>
  <c r="AN182" i="7"/>
  <c r="AP75" i="7"/>
  <c r="AQ75" i="7"/>
  <c r="AN75" i="7"/>
  <c r="BC75" i="7"/>
  <c r="BK75" i="7" s="1"/>
  <c r="AP77" i="7"/>
  <c r="BC77" i="7"/>
  <c r="BK77" i="7" s="1"/>
  <c r="AQ77" i="7"/>
  <c r="AN77" i="7"/>
  <c r="AP118" i="7"/>
  <c r="BC118" i="7"/>
  <c r="BK118" i="7" s="1"/>
  <c r="AN118" i="7"/>
  <c r="AQ118" i="7"/>
  <c r="AQ140" i="7"/>
  <c r="AP140" i="7"/>
  <c r="BC140" i="7"/>
  <c r="BK140" i="7" s="1"/>
  <c r="AN140" i="7"/>
  <c r="BC184" i="7"/>
  <c r="BK184" i="7" s="1"/>
  <c r="AN184" i="7"/>
  <c r="AQ184" i="7"/>
  <c r="AP184" i="7"/>
  <c r="AP87" i="7"/>
  <c r="BC87" i="7"/>
  <c r="BK87" i="7" s="1"/>
  <c r="AN87" i="7"/>
  <c r="AQ87" i="7"/>
  <c r="AQ120" i="7"/>
  <c r="AP120" i="7"/>
  <c r="BC120" i="7"/>
  <c r="BK120" i="7" s="1"/>
  <c r="AN120" i="7"/>
  <c r="AP33" i="7"/>
  <c r="BC33" i="7"/>
  <c r="BK33" i="7" s="1"/>
  <c r="AN33" i="7"/>
  <c r="AQ33" i="7"/>
  <c r="AP50" i="7"/>
  <c r="BC50" i="7"/>
  <c r="BK50" i="7" s="1"/>
  <c r="AN50" i="7"/>
  <c r="AQ50" i="7"/>
  <c r="AP70" i="7"/>
  <c r="BC70" i="7"/>
  <c r="BK70" i="7" s="1"/>
  <c r="AN70" i="7"/>
  <c r="AQ70" i="7"/>
  <c r="AP99" i="7"/>
  <c r="BC99" i="7"/>
  <c r="BK99" i="7" s="1"/>
  <c r="AN99" i="7"/>
  <c r="AQ99" i="7"/>
  <c r="AP107" i="7"/>
  <c r="BC107" i="7"/>
  <c r="BK107" i="7" s="1"/>
  <c r="AN107" i="7"/>
  <c r="AQ107" i="7"/>
  <c r="AQ89" i="7"/>
  <c r="AP89" i="7"/>
  <c r="BC89" i="7"/>
  <c r="BK89" i="7" s="1"/>
  <c r="AN89" i="7"/>
  <c r="AQ105" i="7"/>
  <c r="AP105" i="7"/>
  <c r="BC105" i="7"/>
  <c r="BK105" i="7" s="1"/>
  <c r="AN105" i="7"/>
  <c r="AP122" i="7"/>
  <c r="BC122" i="7"/>
  <c r="BK122" i="7" s="1"/>
  <c r="AN122" i="7"/>
  <c r="AQ122" i="7"/>
  <c r="AQ112" i="7"/>
  <c r="AP112" i="7"/>
  <c r="BC112" i="7"/>
  <c r="BK112" i="7" s="1"/>
  <c r="AN112" i="7"/>
  <c r="AQ128" i="7"/>
  <c r="AP128" i="7"/>
  <c r="BC128" i="7"/>
  <c r="BK128" i="7" s="1"/>
  <c r="AN128" i="7"/>
  <c r="AQ123" i="7"/>
  <c r="AP123" i="7"/>
  <c r="BC123" i="7"/>
  <c r="BK123" i="7" s="1"/>
  <c r="AN123" i="7"/>
  <c r="AP146" i="7"/>
  <c r="BC146" i="7"/>
  <c r="BK146" i="7" s="1"/>
  <c r="AQ146" i="7"/>
  <c r="AN146" i="7"/>
  <c r="BC180" i="7"/>
  <c r="BK180" i="7" s="1"/>
  <c r="AP180" i="7"/>
  <c r="AN180" i="7"/>
  <c r="AQ180" i="7"/>
  <c r="BC189" i="7"/>
  <c r="BK189" i="7" s="1"/>
  <c r="AN189" i="7"/>
  <c r="AQ189" i="7"/>
  <c r="AP189" i="7"/>
  <c r="AQ137" i="7"/>
  <c r="AP137" i="7"/>
  <c r="AN137" i="7"/>
  <c r="BC137" i="7"/>
  <c r="BK137" i="7" s="1"/>
  <c r="AQ191" i="7"/>
  <c r="BC191" i="7"/>
  <c r="BK191" i="7" s="1"/>
  <c r="AP191" i="7"/>
  <c r="AN191" i="7"/>
  <c r="AQ64" i="7"/>
  <c r="AP64" i="7"/>
  <c r="AN64" i="7"/>
  <c r="BC64" i="7"/>
  <c r="BK64" i="7" s="1"/>
  <c r="AP135" i="7"/>
  <c r="BC135" i="7"/>
  <c r="BK135" i="7" s="1"/>
  <c r="AN135" i="7"/>
  <c r="AQ135" i="7"/>
  <c r="BC175" i="7"/>
  <c r="BK175" i="7" s="1"/>
  <c r="AN175" i="7"/>
  <c r="AQ175" i="7"/>
  <c r="AP175" i="7"/>
  <c r="AP62" i="7"/>
  <c r="BC62" i="7"/>
  <c r="BK62" i="7" s="1"/>
  <c r="AN62" i="7"/>
  <c r="AQ62" i="7"/>
  <c r="AQ145" i="7"/>
  <c r="AP145" i="7"/>
  <c r="BC145" i="7"/>
  <c r="BK145" i="7" s="1"/>
  <c r="AN145" i="7"/>
  <c r="AQ170" i="7"/>
  <c r="AN170" i="7"/>
  <c r="AP170" i="7"/>
  <c r="BC170" i="7"/>
  <c r="BK170" i="7" s="1"/>
  <c r="BC153" i="7"/>
  <c r="BK153" i="7" s="1"/>
  <c r="AN153" i="7"/>
  <c r="AQ153" i="7"/>
  <c r="AP153" i="7"/>
  <c r="AP154" i="7"/>
  <c r="BC154" i="7"/>
  <c r="BK154" i="7" s="1"/>
  <c r="AN154" i="7"/>
  <c r="AQ154" i="7"/>
  <c r="AQ173" i="7"/>
  <c r="AP173" i="7"/>
  <c r="BC173" i="7"/>
  <c r="BK173" i="7" s="1"/>
  <c r="AN173" i="7"/>
  <c r="AQ194" i="7"/>
  <c r="AP194" i="7"/>
  <c r="AN194" i="7"/>
  <c r="BC194" i="7"/>
  <c r="BK194" i="7" s="1"/>
  <c r="BC90" i="7"/>
  <c r="BK90" i="7" s="1"/>
  <c r="AN90" i="7"/>
  <c r="AQ90" i="7"/>
  <c r="AP90" i="7"/>
  <c r="AQ164" i="7"/>
  <c r="AN164" i="7"/>
  <c r="BC164" i="7"/>
  <c r="BK164" i="7" s="1"/>
  <c r="AP164" i="7"/>
  <c r="BC179" i="7"/>
  <c r="BK179" i="7" s="1"/>
  <c r="AN179" i="7"/>
  <c r="AP179" i="7"/>
  <c r="AQ179" i="7"/>
  <c r="BC53" i="7"/>
  <c r="BK53" i="7" s="1"/>
  <c r="AN53" i="7"/>
  <c r="AQ53" i="7"/>
  <c r="AP53" i="7"/>
  <c r="AQ80" i="7"/>
  <c r="BC80" i="7"/>
  <c r="BK80" i="7" s="1"/>
  <c r="AN80" i="7"/>
  <c r="AP80" i="7"/>
  <c r="AQ187" i="7"/>
  <c r="BC187" i="7"/>
  <c r="BK187" i="7" s="1"/>
  <c r="AP187" i="7"/>
  <c r="AN187" i="7"/>
  <c r="AQ148" i="7"/>
  <c r="BC148" i="7"/>
  <c r="BK148" i="7" s="1"/>
  <c r="AP148" i="7"/>
  <c r="AN148" i="7"/>
  <c r="AQ39" i="7"/>
  <c r="AP39" i="7"/>
  <c r="AN39" i="7"/>
  <c r="BC39" i="7"/>
  <c r="BK39" i="7" s="1"/>
  <c r="AD17" i="7"/>
  <c r="AS47" i="7"/>
  <c r="AT47" i="7" s="1"/>
  <c r="AU47" i="7" s="1"/>
  <c r="AW47" i="7" s="1"/>
  <c r="AS141" i="7"/>
  <c r="AT141" i="7" s="1"/>
  <c r="AU141" i="7" s="1"/>
  <c r="AW141" i="7" s="1"/>
  <c r="AQ160" i="7"/>
  <c r="AP160" i="7"/>
  <c r="BC160" i="7"/>
  <c r="BK160" i="7" s="1"/>
  <c r="AN160" i="7"/>
  <c r="BC149" i="7"/>
  <c r="BK149" i="7" s="1"/>
  <c r="AN149" i="7"/>
  <c r="AQ149" i="7"/>
  <c r="AP149" i="7"/>
  <c r="BC192" i="7"/>
  <c r="BK192" i="7" s="1"/>
  <c r="AN192" i="7"/>
  <c r="AQ192" i="7"/>
  <c r="AP192" i="7"/>
  <c r="BC106" i="7"/>
  <c r="BK106" i="7" s="1"/>
  <c r="AN106" i="7"/>
  <c r="AQ106" i="7"/>
  <c r="AP106" i="7"/>
  <c r="AQ144" i="7"/>
  <c r="AP144" i="7"/>
  <c r="BC144" i="7"/>
  <c r="BK144" i="7" s="1"/>
  <c r="AN144" i="7"/>
  <c r="AQ174" i="7"/>
  <c r="BC174" i="7"/>
  <c r="BK174" i="7" s="1"/>
  <c r="AP174" i="7"/>
  <c r="AN174" i="7"/>
  <c r="AP108" i="7"/>
  <c r="AN108" i="7"/>
  <c r="BC108" i="7"/>
  <c r="BK108" i="7" s="1"/>
  <c r="AQ108" i="7"/>
  <c r="AS84" i="7"/>
  <c r="AT84" i="7" s="1"/>
  <c r="AU84" i="7" s="1"/>
  <c r="AW84" i="7" s="1"/>
  <c r="AP181" i="7"/>
  <c r="BC181" i="7"/>
  <c r="BK181" i="7" s="1"/>
  <c r="AQ181" i="7"/>
  <c r="AN181" i="7"/>
  <c r="AQ51" i="7"/>
  <c r="AP51" i="7"/>
  <c r="BC51" i="7"/>
  <c r="BK51" i="7" s="1"/>
  <c r="AN51" i="7"/>
  <c r="AQ109" i="7"/>
  <c r="AN109" i="7"/>
  <c r="BC109" i="7"/>
  <c r="BK109" i="7" s="1"/>
  <c r="AP109" i="7"/>
  <c r="AQ152" i="7"/>
  <c r="BC152" i="7"/>
  <c r="BK152" i="7" s="1"/>
  <c r="AP152" i="7"/>
  <c r="AN152" i="7"/>
  <c r="BC188" i="7"/>
  <c r="BK188" i="7" s="1"/>
  <c r="AP188" i="7"/>
  <c r="AN188" i="7"/>
  <c r="AQ188" i="7"/>
  <c r="BC28" i="7"/>
  <c r="BK28" i="7" s="1"/>
  <c r="AN28" i="7"/>
  <c r="AQ28" i="7"/>
  <c r="AP28" i="7"/>
  <c r="AQ48" i="7"/>
  <c r="AP48" i="7"/>
  <c r="AN48" i="7"/>
  <c r="BC48" i="7"/>
  <c r="BK48" i="7" s="1"/>
  <c r="BC110" i="7"/>
  <c r="BK110" i="7" s="1"/>
  <c r="AN110" i="7"/>
  <c r="AQ110" i="7"/>
  <c r="AP110" i="7"/>
  <c r="AQ119" i="7"/>
  <c r="AP119" i="7"/>
  <c r="BC119" i="7"/>
  <c r="BK119" i="7" s="1"/>
  <c r="AN119" i="7"/>
  <c r="BC157" i="7"/>
  <c r="BK157" i="7" s="1"/>
  <c r="AN157" i="7"/>
  <c r="AP157" i="7"/>
  <c r="AQ157" i="7"/>
  <c r="AP176" i="7"/>
  <c r="BC176" i="7"/>
  <c r="BK176" i="7" s="1"/>
  <c r="AN176" i="7"/>
  <c r="AQ176" i="7"/>
  <c r="AQ177" i="7"/>
  <c r="AP177" i="7"/>
  <c r="AN177" i="7"/>
  <c r="BC177" i="7"/>
  <c r="BK177" i="7" s="1"/>
  <c r="BC49" i="7"/>
  <c r="BK49" i="7" s="1"/>
  <c r="AN49" i="7"/>
  <c r="AQ49" i="7"/>
  <c r="AP49" i="7"/>
  <c r="AQ151" i="7"/>
  <c r="AP151" i="7"/>
  <c r="BC151" i="7"/>
  <c r="BK151" i="7" s="1"/>
  <c r="AN151" i="7"/>
  <c r="AQ178" i="7"/>
  <c r="BC178" i="7"/>
  <c r="BK178" i="7" s="1"/>
  <c r="AP178" i="7"/>
  <c r="AN178" i="7"/>
  <c r="AQ88" i="7"/>
  <c r="AP88" i="7"/>
  <c r="BC88" i="7"/>
  <c r="BK88" i="7" s="1"/>
  <c r="AN88" i="7"/>
  <c r="BC98" i="7"/>
  <c r="BK98" i="7" s="1"/>
  <c r="AN98" i="7"/>
  <c r="AQ98" i="7"/>
  <c r="AP98" i="7"/>
  <c r="AQ30" i="7"/>
  <c r="BC30" i="7"/>
  <c r="BK30" i="7" s="1"/>
  <c r="AP30" i="7"/>
  <c r="AN30" i="7"/>
  <c r="AS45" i="7"/>
  <c r="AT45" i="7" s="1"/>
  <c r="AU45" i="7" s="1"/>
  <c r="AW45" i="7" s="1"/>
  <c r="AQ63" i="7"/>
  <c r="AP63" i="7"/>
  <c r="BC63" i="7"/>
  <c r="BK63" i="7" s="1"/>
  <c r="AN63" i="7"/>
  <c r="AN165" i="7"/>
  <c r="BC165" i="7"/>
  <c r="BK165" i="7" s="1"/>
  <c r="AQ165" i="7"/>
  <c r="AP165" i="7"/>
  <c r="AP35" i="7"/>
  <c r="AQ35" i="7"/>
  <c r="AN35" i="7"/>
  <c r="BC35" i="7"/>
  <c r="BK35" i="7" s="1"/>
  <c r="AS34" i="7"/>
  <c r="AT34" i="7" s="1"/>
  <c r="AU34" i="7" s="1"/>
  <c r="AW34" i="7" s="1"/>
  <c r="AS74" i="7"/>
  <c r="AT74" i="7" s="1"/>
  <c r="AU74" i="7" s="1"/>
  <c r="AW74" i="7" s="1"/>
  <c r="AS82" i="7"/>
  <c r="AT82" i="7" s="1"/>
  <c r="AU82" i="7" s="1"/>
  <c r="AW82" i="7" s="1"/>
  <c r="AQ31" i="7"/>
  <c r="AP31" i="7"/>
  <c r="AN31" i="7"/>
  <c r="BC31" i="7"/>
  <c r="BK31" i="7" s="1"/>
  <c r="BC36" i="7"/>
  <c r="BK36" i="7" s="1"/>
  <c r="AN36" i="7"/>
  <c r="AQ36" i="7"/>
  <c r="AP36" i="7"/>
  <c r="AS32" i="7"/>
  <c r="AT32" i="7" s="1"/>
  <c r="AU32" i="7" s="1"/>
  <c r="AW32" i="7" s="1"/>
  <c r="BE32" i="7" s="1"/>
  <c r="AS102" i="7"/>
  <c r="AT102" i="7" s="1"/>
  <c r="AU102" i="7" s="1"/>
  <c r="AW102" i="7" s="1"/>
  <c r="BE102" i="7" s="1"/>
  <c r="AS142" i="7"/>
  <c r="AT142" i="7" s="1"/>
  <c r="AU142" i="7" s="1"/>
  <c r="AW142" i="7" s="1"/>
  <c r="BE142" i="7" s="1"/>
  <c r="AS94" i="7"/>
  <c r="AT94" i="7" s="1"/>
  <c r="AU94" i="7" s="1"/>
  <c r="AW94" i="7" s="1"/>
  <c r="BE94" i="7" s="1"/>
  <c r="AT125" i="7"/>
  <c r="AU125" i="7" s="1"/>
  <c r="AW125" i="7" s="1"/>
  <c r="BE125" i="7" s="1"/>
  <c r="AS125" i="7"/>
  <c r="AS57" i="7"/>
  <c r="AT57" i="7" s="1"/>
  <c r="AU57" i="7" s="1"/>
  <c r="AW57" i="7" s="1"/>
  <c r="BE57" i="7" s="1"/>
  <c r="AS117" i="7"/>
  <c r="AT117" i="7" s="1"/>
  <c r="AU117" i="7" s="1"/>
  <c r="AW117" i="7" s="1"/>
  <c r="BE117" i="7" s="1"/>
  <c r="AS134" i="7"/>
  <c r="AT134" i="7" s="1"/>
  <c r="AU134" i="7" s="1"/>
  <c r="AW134" i="7" s="1"/>
  <c r="BE134" i="7" s="1"/>
  <c r="AQ127" i="7"/>
  <c r="AP127" i="7"/>
  <c r="BC127" i="7"/>
  <c r="BK127" i="7" s="1"/>
  <c r="AN127" i="7"/>
  <c r="AP150" i="7"/>
  <c r="BC150" i="7"/>
  <c r="BK150" i="7" s="1"/>
  <c r="AN150" i="7"/>
  <c r="AQ150" i="7"/>
  <c r="AQ129" i="7"/>
  <c r="AN129" i="7"/>
  <c r="BC129" i="7"/>
  <c r="BK129" i="7" s="1"/>
  <c r="AP129" i="7"/>
  <c r="AP162" i="7"/>
  <c r="BC162" i="7"/>
  <c r="BK162" i="7" s="1"/>
  <c r="AQ162" i="7"/>
  <c r="AN162" i="7"/>
  <c r="AP71" i="7"/>
  <c r="AN71" i="7"/>
  <c r="BC71" i="7"/>
  <c r="BK71" i="7" s="1"/>
  <c r="AQ71" i="7"/>
  <c r="AQ60" i="7"/>
  <c r="AP60" i="7"/>
  <c r="AN60" i="7"/>
  <c r="BC60" i="7"/>
  <c r="BK60" i="7" s="1"/>
  <c r="AQ124" i="7"/>
  <c r="AP124" i="7"/>
  <c r="BC124" i="7"/>
  <c r="BK124" i="7" s="1"/>
  <c r="AN124" i="7"/>
  <c r="AQ169" i="7"/>
  <c r="AP169" i="7"/>
  <c r="AN169" i="7"/>
  <c r="BC169" i="7"/>
  <c r="BK169" i="7" s="1"/>
  <c r="AE17" i="7"/>
  <c r="AG27" i="7"/>
  <c r="AL27" i="7" s="1"/>
  <c r="AP46" i="7"/>
  <c r="AN46" i="7"/>
  <c r="BC46" i="7"/>
  <c r="BK46" i="7" s="1"/>
  <c r="AQ46" i="7"/>
  <c r="AQ136" i="7"/>
  <c r="AP136" i="7"/>
  <c r="BC136" i="7"/>
  <c r="BK136" i="7" s="1"/>
  <c r="AN136" i="7"/>
  <c r="AP193" i="7"/>
  <c r="BC193" i="7"/>
  <c r="BK193" i="7" s="1"/>
  <c r="AN193" i="7"/>
  <c r="AQ193" i="7"/>
  <c r="AQ67" i="7"/>
  <c r="AP67" i="7"/>
  <c r="BC67" i="7"/>
  <c r="BK67" i="7" s="1"/>
  <c r="AN67" i="7"/>
  <c r="AQ96" i="7"/>
  <c r="AP96" i="7"/>
  <c r="BC96" i="7"/>
  <c r="BK96" i="7" s="1"/>
  <c r="AN96" i="7"/>
  <c r="BC121" i="7"/>
  <c r="BK121" i="7" s="1"/>
  <c r="AN121" i="7"/>
  <c r="AQ121" i="7"/>
  <c r="AP121" i="7"/>
  <c r="BC138" i="7"/>
  <c r="BK138" i="7" s="1"/>
  <c r="AN138" i="7"/>
  <c r="AQ138" i="7"/>
  <c r="AP138" i="7"/>
  <c r="BC171" i="7"/>
  <c r="BK171" i="7" s="1"/>
  <c r="AN171" i="7"/>
  <c r="AQ171" i="7"/>
  <c r="AP171" i="7"/>
  <c r="BC183" i="7"/>
  <c r="BK183" i="7" s="1"/>
  <c r="AP183" i="7"/>
  <c r="AN183" i="7"/>
  <c r="AQ183" i="7"/>
  <c r="BC61" i="7"/>
  <c r="BK61" i="7" s="1"/>
  <c r="AN61" i="7"/>
  <c r="AQ61" i="7"/>
  <c r="AP61" i="7"/>
  <c r="AQ38" i="7"/>
  <c r="BC38" i="7"/>
  <c r="BK38" i="7" s="1"/>
  <c r="AP38" i="7"/>
  <c r="AN38" i="7"/>
  <c r="AS65" i="7"/>
  <c r="AT65" i="7" s="1"/>
  <c r="AU65" i="7" s="1"/>
  <c r="AW65" i="7" s="1"/>
  <c r="AS104" i="7"/>
  <c r="AT104" i="7" s="1"/>
  <c r="AU104" i="7" s="1"/>
  <c r="AW104" i="7" s="1"/>
  <c r="BC40" i="7"/>
  <c r="BK40" i="7" s="1"/>
  <c r="AN40" i="7"/>
  <c r="AQ40" i="7"/>
  <c r="AP40" i="7"/>
  <c r="AS195" i="7"/>
  <c r="AT195" i="7" s="1"/>
  <c r="AU195" i="7" s="1"/>
  <c r="AW195" i="7" s="1"/>
  <c r="BE195" i="7" s="1"/>
  <c r="AP42" i="7"/>
  <c r="AN42" i="7"/>
  <c r="BC42" i="7"/>
  <c r="BK42" i="7" s="1"/>
  <c r="AQ42" i="7"/>
  <c r="AS133" i="7"/>
  <c r="AT133" i="7" s="1"/>
  <c r="AU133" i="7" s="1"/>
  <c r="AW133" i="7" s="1"/>
  <c r="BE133" i="7" s="1"/>
  <c r="AS166" i="7"/>
  <c r="AT166" i="7" s="1"/>
  <c r="AU166" i="7" s="1"/>
  <c r="AW166" i="7" s="1"/>
  <c r="AS72" i="7"/>
  <c r="AT72" i="7" s="1"/>
  <c r="AU72" i="7" s="1"/>
  <c r="AW72" i="7" s="1"/>
  <c r="AS55" i="7"/>
  <c r="AT55" i="7" s="1"/>
  <c r="AU55" i="7" s="1"/>
  <c r="AW55" i="7" s="1"/>
  <c r="AS43" i="7"/>
  <c r="AT43" i="7" s="1"/>
  <c r="AU43" i="7" s="1"/>
  <c r="AW43" i="7" s="1"/>
  <c r="AS147" i="7"/>
  <c r="AT147" i="7" s="1"/>
  <c r="AU147" i="7" s="1"/>
  <c r="AW147" i="7" s="1"/>
  <c r="AS155" i="7"/>
  <c r="AT155" i="7" s="1"/>
  <c r="AU155" i="7" s="1"/>
  <c r="AW155" i="7" s="1"/>
  <c r="BE155" i="7" l="1"/>
  <c r="AX155" i="7"/>
  <c r="BE76" i="7"/>
  <c r="AX76" i="7"/>
  <c r="BE84" i="7"/>
  <c r="AX84" i="7"/>
  <c r="BE55" i="7"/>
  <c r="AX55" i="7"/>
  <c r="BE166" i="7"/>
  <c r="AX166" i="7"/>
  <c r="BE104" i="7"/>
  <c r="AX104" i="7"/>
  <c r="BE167" i="7"/>
  <c r="AX167" i="7"/>
  <c r="BE141" i="7"/>
  <c r="AX141" i="7"/>
  <c r="BE147" i="7"/>
  <c r="AX147" i="7"/>
  <c r="BE65" i="7"/>
  <c r="AX65" i="7"/>
  <c r="BE34" i="7"/>
  <c r="AX34" i="7"/>
  <c r="BE47" i="7"/>
  <c r="AX47" i="7"/>
  <c r="BE74" i="7"/>
  <c r="AX74" i="7"/>
  <c r="BE43" i="7"/>
  <c r="AX43" i="7"/>
  <c r="BE72" i="7"/>
  <c r="AX72" i="7"/>
  <c r="BE92" i="7"/>
  <c r="AX92" i="7"/>
  <c r="BE100" i="7"/>
  <c r="AX100" i="7"/>
  <c r="BE82" i="7"/>
  <c r="AX82" i="7"/>
  <c r="BE45" i="7"/>
  <c r="AX45" i="7"/>
  <c r="AS38" i="7"/>
  <c r="AT38" i="7" s="1"/>
  <c r="AU38" i="7" s="1"/>
  <c r="AW38" i="7" s="1"/>
  <c r="AS67" i="7"/>
  <c r="AT67" i="7" s="1"/>
  <c r="AU67" i="7" s="1"/>
  <c r="AW67" i="7" s="1"/>
  <c r="BE67" i="7" s="1"/>
  <c r="AX32" i="7"/>
  <c r="AS28" i="7"/>
  <c r="AT28" i="7" s="1"/>
  <c r="AU28" i="7" s="1"/>
  <c r="AW28" i="7" s="1"/>
  <c r="AS192" i="7"/>
  <c r="AT192" i="7" s="1"/>
  <c r="AU192" i="7" s="1"/>
  <c r="AW192" i="7" s="1"/>
  <c r="AS179" i="7"/>
  <c r="AT179" i="7" s="1"/>
  <c r="AU179" i="7" s="1"/>
  <c r="AW179" i="7" s="1"/>
  <c r="AS62" i="7"/>
  <c r="AT62" i="7" s="1"/>
  <c r="AU62" i="7" s="1"/>
  <c r="AW62" i="7" s="1"/>
  <c r="AS180" i="7"/>
  <c r="AT180" i="7" s="1"/>
  <c r="AU180" i="7" s="1"/>
  <c r="AW180" i="7" s="1"/>
  <c r="AS99" i="7"/>
  <c r="AT99" i="7" s="1"/>
  <c r="AU99" i="7" s="1"/>
  <c r="AW99" i="7" s="1"/>
  <c r="AS158" i="7"/>
  <c r="AT158" i="7" s="1"/>
  <c r="AU158" i="7" s="1"/>
  <c r="AW158" i="7" s="1"/>
  <c r="AS131" i="7"/>
  <c r="AT131" i="7" s="1"/>
  <c r="AU131" i="7" s="1"/>
  <c r="AW131" i="7" s="1"/>
  <c r="AS103" i="7"/>
  <c r="AT103" i="7" s="1"/>
  <c r="AU103" i="7" s="1"/>
  <c r="AW103" i="7" s="1"/>
  <c r="AS95" i="7"/>
  <c r="AT95" i="7" s="1"/>
  <c r="AU95" i="7" s="1"/>
  <c r="AW95" i="7" s="1"/>
  <c r="AS139" i="7"/>
  <c r="AT139" i="7" s="1"/>
  <c r="AU139" i="7" s="1"/>
  <c r="AW139" i="7" s="1"/>
  <c r="AS41" i="7"/>
  <c r="AT41" i="7" s="1"/>
  <c r="AU41" i="7" s="1"/>
  <c r="AW41" i="7" s="1"/>
  <c r="AS172" i="7"/>
  <c r="AT172" i="7" s="1"/>
  <c r="AU172" i="7" s="1"/>
  <c r="AW172" i="7" s="1"/>
  <c r="AS111" i="7"/>
  <c r="AT111" i="7" s="1"/>
  <c r="AU111" i="7" s="1"/>
  <c r="AW111" i="7" s="1"/>
  <c r="AS58" i="7"/>
  <c r="AT58" i="7" s="1"/>
  <c r="AU58" i="7" s="1"/>
  <c r="AW58" i="7" s="1"/>
  <c r="AS42" i="7"/>
  <c r="AT42" i="7" s="1"/>
  <c r="AU42" i="7" s="1"/>
  <c r="AW42" i="7" s="1"/>
  <c r="AS183" i="7"/>
  <c r="AT183" i="7" s="1"/>
  <c r="AU183" i="7" s="1"/>
  <c r="AW183" i="7" s="1"/>
  <c r="BE183" i="7" s="1"/>
  <c r="AS193" i="7"/>
  <c r="AT193" i="7" s="1"/>
  <c r="AU193" i="7" s="1"/>
  <c r="AW193" i="7" s="1"/>
  <c r="AS46" i="7"/>
  <c r="AT46" i="7" s="1"/>
  <c r="AU46" i="7" s="1"/>
  <c r="AW46" i="7" s="1"/>
  <c r="AM27" i="7"/>
  <c r="AL17" i="7"/>
  <c r="AS35" i="7"/>
  <c r="AT35" i="7" s="1"/>
  <c r="AU35" i="7" s="1"/>
  <c r="AW35" i="7" s="1"/>
  <c r="AS53" i="7"/>
  <c r="AT53" i="7" s="1"/>
  <c r="AU53" i="7" s="1"/>
  <c r="AW53" i="7" s="1"/>
  <c r="BE53" i="7" s="1"/>
  <c r="AS90" i="7"/>
  <c r="AT90" i="7" s="1"/>
  <c r="AU90" i="7" s="1"/>
  <c r="AW90" i="7" s="1"/>
  <c r="BE90" i="7" s="1"/>
  <c r="AS153" i="7"/>
  <c r="AT153" i="7" s="1"/>
  <c r="AU153" i="7" s="1"/>
  <c r="AW153" i="7" s="1"/>
  <c r="AS175" i="7"/>
  <c r="AT175" i="7" s="1"/>
  <c r="AU175" i="7" s="1"/>
  <c r="AW175" i="7" s="1"/>
  <c r="AS189" i="7"/>
  <c r="AT189" i="7" s="1"/>
  <c r="AU189" i="7" s="1"/>
  <c r="AW189" i="7" s="1"/>
  <c r="BE189" i="7" s="1"/>
  <c r="AS146" i="7"/>
  <c r="AT146" i="7" s="1"/>
  <c r="AU146" i="7" s="1"/>
  <c r="AW146" i="7" s="1"/>
  <c r="AS184" i="7"/>
  <c r="AT184" i="7" s="1"/>
  <c r="AU184" i="7" s="1"/>
  <c r="AW184" i="7" s="1"/>
  <c r="BE184" i="7" s="1"/>
  <c r="AS77" i="7"/>
  <c r="AT77" i="7" s="1"/>
  <c r="AU77" i="7" s="1"/>
  <c r="AW77" i="7" s="1"/>
  <c r="AS78" i="7"/>
  <c r="AT78" i="7" s="1"/>
  <c r="AU78" i="7" s="1"/>
  <c r="AW78" i="7" s="1"/>
  <c r="AS186" i="7"/>
  <c r="AT186" i="7" s="1"/>
  <c r="AU186" i="7" s="1"/>
  <c r="AW186" i="7" s="1"/>
  <c r="AS161" i="7"/>
  <c r="AT161" i="7" s="1"/>
  <c r="AU161" i="7" s="1"/>
  <c r="AW161" i="7" s="1"/>
  <c r="BE161" i="7" s="1"/>
  <c r="AS69" i="7"/>
  <c r="AT69" i="7" s="1"/>
  <c r="AU69" i="7" s="1"/>
  <c r="AW69" i="7" s="1"/>
  <c r="BE69" i="7" s="1"/>
  <c r="AS185" i="7"/>
  <c r="AT185" i="7" s="1"/>
  <c r="AU185" i="7" s="1"/>
  <c r="AW185" i="7" s="1"/>
  <c r="BE185" i="7" s="1"/>
  <c r="AS168" i="7"/>
  <c r="AT168" i="7" s="1"/>
  <c r="AU168" i="7" s="1"/>
  <c r="AW168" i="7" s="1"/>
  <c r="BE168" i="7" s="1"/>
  <c r="AS130" i="7"/>
  <c r="AT130" i="7" s="1"/>
  <c r="AU130" i="7" s="1"/>
  <c r="AW130" i="7" s="1"/>
  <c r="AS81" i="7"/>
  <c r="AT81" i="7" s="1"/>
  <c r="AU81" i="7" s="1"/>
  <c r="AW81" i="7" s="1"/>
  <c r="AS136" i="7"/>
  <c r="AT136" i="7" s="1"/>
  <c r="AU136" i="7" s="1"/>
  <c r="AW136" i="7" s="1"/>
  <c r="AS162" i="7"/>
  <c r="AT162" i="7" s="1"/>
  <c r="AU162" i="7" s="1"/>
  <c r="AW162" i="7" s="1"/>
  <c r="AS165" i="7"/>
  <c r="AT165" i="7" s="1"/>
  <c r="AU165" i="7" s="1"/>
  <c r="AW165" i="7" s="1"/>
  <c r="AS98" i="7"/>
  <c r="AT98" i="7" s="1"/>
  <c r="AU98" i="7" s="1"/>
  <c r="AW98" i="7" s="1"/>
  <c r="BE98" i="7" s="1"/>
  <c r="AS49" i="7"/>
  <c r="AT49" i="7" s="1"/>
  <c r="AU49" i="7" s="1"/>
  <c r="AW49" i="7" s="1"/>
  <c r="BE49" i="7" s="1"/>
  <c r="AS149" i="7"/>
  <c r="AT149" i="7" s="1"/>
  <c r="AU149" i="7" s="1"/>
  <c r="AW149" i="7" s="1"/>
  <c r="AS154" i="7"/>
  <c r="AT154" i="7" s="1"/>
  <c r="AU154" i="7" s="1"/>
  <c r="AW154" i="7" s="1"/>
  <c r="AS50" i="7"/>
  <c r="AT50" i="7" s="1"/>
  <c r="AU50" i="7" s="1"/>
  <c r="AW50" i="7" s="1"/>
  <c r="AS87" i="7"/>
  <c r="AT87" i="7" s="1"/>
  <c r="AU87" i="7" s="1"/>
  <c r="AW87" i="7" s="1"/>
  <c r="AS118" i="7"/>
  <c r="AT118" i="7" s="1"/>
  <c r="AU118" i="7" s="1"/>
  <c r="AW118" i="7" s="1"/>
  <c r="AS91" i="7"/>
  <c r="AT91" i="7" s="1"/>
  <c r="AU91" i="7" s="1"/>
  <c r="AW91" i="7" s="1"/>
  <c r="AS44" i="7"/>
  <c r="AT44" i="7" s="1"/>
  <c r="AU44" i="7" s="1"/>
  <c r="AW44" i="7" s="1"/>
  <c r="AS114" i="7"/>
  <c r="AT114" i="7" s="1"/>
  <c r="AU114" i="7" s="1"/>
  <c r="AW114" i="7" s="1"/>
  <c r="AS54" i="7"/>
  <c r="AT54" i="7" s="1"/>
  <c r="AU54" i="7" s="1"/>
  <c r="AW54" i="7" s="1"/>
  <c r="AS126" i="7"/>
  <c r="AT126" i="7" s="1"/>
  <c r="AU126" i="7" s="1"/>
  <c r="AW126" i="7" s="1"/>
  <c r="AS37" i="7"/>
  <c r="AT37" i="7" s="1"/>
  <c r="AU37" i="7" s="1"/>
  <c r="AW37" i="7" s="1"/>
  <c r="AS61" i="7"/>
  <c r="AT61" i="7" s="1"/>
  <c r="AU61" i="7" s="1"/>
  <c r="AW61" i="7" s="1"/>
  <c r="BE61" i="7" s="1"/>
  <c r="AS171" i="7"/>
  <c r="AT171" i="7" s="1"/>
  <c r="AU171" i="7" s="1"/>
  <c r="AW171" i="7" s="1"/>
  <c r="BE171" i="7" s="1"/>
  <c r="AT121" i="7"/>
  <c r="AU121" i="7" s="1"/>
  <c r="AW121" i="7" s="1"/>
  <c r="BE121" i="7" s="1"/>
  <c r="AS121" i="7"/>
  <c r="AS169" i="7"/>
  <c r="AT169" i="7" s="1"/>
  <c r="AU169" i="7" s="1"/>
  <c r="AW169" i="7" s="1"/>
  <c r="AS124" i="7"/>
  <c r="AT124" i="7" s="1"/>
  <c r="AU124" i="7" s="1"/>
  <c r="AW124" i="7" s="1"/>
  <c r="AS60" i="7"/>
  <c r="AT60" i="7" s="1"/>
  <c r="AU60" i="7" s="1"/>
  <c r="AW60" i="7" s="1"/>
  <c r="AS129" i="7"/>
  <c r="AT129" i="7" s="1"/>
  <c r="AU129" i="7" s="1"/>
  <c r="AW129" i="7" s="1"/>
  <c r="AS127" i="7"/>
  <c r="AT127" i="7" s="1"/>
  <c r="AU127" i="7" s="1"/>
  <c r="AW127" i="7" s="1"/>
  <c r="AS31" i="7"/>
  <c r="AT31" i="7" s="1"/>
  <c r="AU31" i="7" s="1"/>
  <c r="AW31" i="7" s="1"/>
  <c r="AS63" i="7"/>
  <c r="AT63" i="7" s="1"/>
  <c r="AU63" i="7" s="1"/>
  <c r="AW63" i="7" s="1"/>
  <c r="AS30" i="7"/>
  <c r="AT30" i="7" s="1"/>
  <c r="AU30" i="7" s="1"/>
  <c r="AW30" i="7" s="1"/>
  <c r="AS88" i="7"/>
  <c r="AT88" i="7" s="1"/>
  <c r="AU88" i="7" s="1"/>
  <c r="AW88" i="7" s="1"/>
  <c r="AS178" i="7"/>
  <c r="AT178" i="7" s="1"/>
  <c r="AU178" i="7" s="1"/>
  <c r="AW178" i="7" s="1"/>
  <c r="AS151" i="7"/>
  <c r="AT151" i="7" s="1"/>
  <c r="AU151" i="7" s="1"/>
  <c r="AW151" i="7" s="1"/>
  <c r="AS177" i="7"/>
  <c r="AT177" i="7" s="1"/>
  <c r="AU177" i="7" s="1"/>
  <c r="AW177" i="7" s="1"/>
  <c r="AS119" i="7"/>
  <c r="AT119" i="7" s="1"/>
  <c r="AU119" i="7" s="1"/>
  <c r="AW119" i="7" s="1"/>
  <c r="AS48" i="7"/>
  <c r="AT48" i="7" s="1"/>
  <c r="AU48" i="7" s="1"/>
  <c r="AW48" i="7" s="1"/>
  <c r="AS152" i="7"/>
  <c r="AT152" i="7" s="1"/>
  <c r="AU152" i="7" s="1"/>
  <c r="AW152" i="7" s="1"/>
  <c r="AS109" i="7"/>
  <c r="AT109" i="7" s="1"/>
  <c r="AU109" i="7" s="1"/>
  <c r="AW109" i="7" s="1"/>
  <c r="AS51" i="7"/>
  <c r="AT51" i="7" s="1"/>
  <c r="AU51" i="7" s="1"/>
  <c r="AW51" i="7" s="1"/>
  <c r="AS174" i="7"/>
  <c r="AT174" i="7" s="1"/>
  <c r="AU174" i="7" s="1"/>
  <c r="AW174" i="7" s="1"/>
  <c r="AS144" i="7"/>
  <c r="AT144" i="7" s="1"/>
  <c r="AU144" i="7" s="1"/>
  <c r="AW144" i="7" s="1"/>
  <c r="AS160" i="7"/>
  <c r="AT160" i="7" s="1"/>
  <c r="AU160" i="7" s="1"/>
  <c r="AW160" i="7" s="1"/>
  <c r="AS75" i="7"/>
  <c r="AT75" i="7" s="1"/>
  <c r="AU75" i="7" s="1"/>
  <c r="AW75" i="7" s="1"/>
  <c r="BE75" i="7" s="1"/>
  <c r="AS79" i="7"/>
  <c r="AT79" i="7" s="1"/>
  <c r="AU79" i="7" s="1"/>
  <c r="AW79" i="7" s="1"/>
  <c r="BE79" i="7" s="1"/>
  <c r="AS96" i="7"/>
  <c r="AT96" i="7" s="1"/>
  <c r="AU96" i="7" s="1"/>
  <c r="AW96" i="7" s="1"/>
  <c r="AS36" i="7"/>
  <c r="AT36" i="7" s="1"/>
  <c r="AU36" i="7" s="1"/>
  <c r="AW36" i="7" s="1"/>
  <c r="BE36" i="7" s="1"/>
  <c r="AS110" i="7"/>
  <c r="AT110" i="7" s="1"/>
  <c r="AU110" i="7" s="1"/>
  <c r="AW110" i="7" s="1"/>
  <c r="AS181" i="7"/>
  <c r="AT181" i="7" s="1"/>
  <c r="AU181" i="7" s="1"/>
  <c r="AW181" i="7" s="1"/>
  <c r="AS106" i="7"/>
  <c r="AT106" i="7" s="1"/>
  <c r="AU106" i="7" s="1"/>
  <c r="AW106" i="7" s="1"/>
  <c r="BE106" i="7" s="1"/>
  <c r="AS135" i="7"/>
  <c r="AT135" i="7" s="1"/>
  <c r="AU135" i="7" s="1"/>
  <c r="AW135" i="7" s="1"/>
  <c r="AS122" i="7"/>
  <c r="AT122" i="7" s="1"/>
  <c r="AU122" i="7" s="1"/>
  <c r="AW122" i="7" s="1"/>
  <c r="AS107" i="7"/>
  <c r="AT107" i="7" s="1"/>
  <c r="AU107" i="7" s="1"/>
  <c r="AW107" i="7" s="1"/>
  <c r="AS70" i="7"/>
  <c r="AT70" i="7" s="1"/>
  <c r="AU70" i="7" s="1"/>
  <c r="AW70" i="7" s="1"/>
  <c r="AS33" i="7"/>
  <c r="AT33" i="7" s="1"/>
  <c r="AU33" i="7" s="1"/>
  <c r="AW33" i="7" s="1"/>
  <c r="AS143" i="7"/>
  <c r="AT143" i="7" s="1"/>
  <c r="AU143" i="7" s="1"/>
  <c r="AW143" i="7" s="1"/>
  <c r="AS83" i="7"/>
  <c r="AT83" i="7" s="1"/>
  <c r="AU83" i="7" s="1"/>
  <c r="AW83" i="7" s="1"/>
  <c r="AS29" i="7"/>
  <c r="AT29" i="7" s="1"/>
  <c r="AU29" i="7" s="1"/>
  <c r="AW29" i="7" s="1"/>
  <c r="AS66" i="7"/>
  <c r="AT66" i="7" s="1"/>
  <c r="AU66" i="7" s="1"/>
  <c r="AW66" i="7" s="1"/>
  <c r="AS40" i="7"/>
  <c r="AT40" i="7" s="1"/>
  <c r="AU40" i="7" s="1"/>
  <c r="AW40" i="7" s="1"/>
  <c r="AS138" i="7"/>
  <c r="AT138" i="7" s="1"/>
  <c r="AU138" i="7" s="1"/>
  <c r="AW138" i="7" s="1"/>
  <c r="BE138" i="7" s="1"/>
  <c r="AX133" i="7"/>
  <c r="AX195" i="7"/>
  <c r="AS71" i="7"/>
  <c r="AT71" i="7" s="1"/>
  <c r="AU71" i="7" s="1"/>
  <c r="AW71" i="7" s="1"/>
  <c r="AS150" i="7"/>
  <c r="AT150" i="7" s="1"/>
  <c r="AU150" i="7" s="1"/>
  <c r="AW150" i="7" s="1"/>
  <c r="AX134" i="7"/>
  <c r="AX117" i="7"/>
  <c r="AX57" i="7"/>
  <c r="AX125" i="7"/>
  <c r="AX94" i="7"/>
  <c r="AX142" i="7"/>
  <c r="AX113" i="7"/>
  <c r="AX102" i="7"/>
  <c r="AX86" i="7"/>
  <c r="AS176" i="7"/>
  <c r="AT176" i="7" s="1"/>
  <c r="AU176" i="7" s="1"/>
  <c r="AW176" i="7" s="1"/>
  <c r="BE176" i="7" s="1"/>
  <c r="AS157" i="7"/>
  <c r="AT157" i="7" s="1"/>
  <c r="AU157" i="7" s="1"/>
  <c r="AW157" i="7" s="1"/>
  <c r="AS188" i="7"/>
  <c r="AT188" i="7" s="1"/>
  <c r="AU188" i="7" s="1"/>
  <c r="AW188" i="7" s="1"/>
  <c r="BE188" i="7" s="1"/>
  <c r="AS108" i="7"/>
  <c r="AT108" i="7" s="1"/>
  <c r="AU108" i="7" s="1"/>
  <c r="AW108" i="7" s="1"/>
  <c r="AS39" i="7"/>
  <c r="AT39" i="7" s="1"/>
  <c r="AU39" i="7" s="1"/>
  <c r="AW39" i="7" s="1"/>
  <c r="AS148" i="7"/>
  <c r="AT148" i="7" s="1"/>
  <c r="AU148" i="7" s="1"/>
  <c r="AW148" i="7" s="1"/>
  <c r="AS187" i="7"/>
  <c r="AT187" i="7" s="1"/>
  <c r="AU187" i="7" s="1"/>
  <c r="AW187" i="7" s="1"/>
  <c r="AS80" i="7"/>
  <c r="AT80" i="7" s="1"/>
  <c r="AU80" i="7" s="1"/>
  <c r="AW80" i="7" s="1"/>
  <c r="AS164" i="7"/>
  <c r="AT164" i="7"/>
  <c r="AU164" i="7" s="1"/>
  <c r="AW164" i="7" s="1"/>
  <c r="AS194" i="7"/>
  <c r="AT194" i="7" s="1"/>
  <c r="AU194" i="7" s="1"/>
  <c r="AW194" i="7" s="1"/>
  <c r="AS173" i="7"/>
  <c r="AT173" i="7" s="1"/>
  <c r="AU173" i="7" s="1"/>
  <c r="AW173" i="7" s="1"/>
  <c r="AS170" i="7"/>
  <c r="AT170" i="7" s="1"/>
  <c r="AU170" i="7" s="1"/>
  <c r="AW170" i="7" s="1"/>
  <c r="AS145" i="7"/>
  <c r="AT145" i="7" s="1"/>
  <c r="AU145" i="7" s="1"/>
  <c r="AW145" i="7" s="1"/>
  <c r="AS64" i="7"/>
  <c r="AT64" i="7" s="1"/>
  <c r="AU64" i="7" s="1"/>
  <c r="AW64" i="7" s="1"/>
  <c r="AS191" i="7"/>
  <c r="AT191" i="7" s="1"/>
  <c r="AU191" i="7" s="1"/>
  <c r="AW191" i="7" s="1"/>
  <c r="AS137" i="7"/>
  <c r="AT137" i="7" s="1"/>
  <c r="AU137" i="7" s="1"/>
  <c r="AW137" i="7" s="1"/>
  <c r="AS123" i="7"/>
  <c r="AT123" i="7" s="1"/>
  <c r="AU123" i="7" s="1"/>
  <c r="AW123" i="7" s="1"/>
  <c r="AS128" i="7"/>
  <c r="AT128" i="7" s="1"/>
  <c r="AU128" i="7" s="1"/>
  <c r="AW128" i="7" s="1"/>
  <c r="AS112" i="7"/>
  <c r="AT112" i="7" s="1"/>
  <c r="AU112" i="7" s="1"/>
  <c r="AW112" i="7" s="1"/>
  <c r="AS105" i="7"/>
  <c r="AT105" i="7" s="1"/>
  <c r="AU105" i="7" s="1"/>
  <c r="AW105" i="7" s="1"/>
  <c r="AS89" i="7"/>
  <c r="AT89" i="7" s="1"/>
  <c r="AU89" i="7" s="1"/>
  <c r="AW89" i="7" s="1"/>
  <c r="AS120" i="7"/>
  <c r="AT120" i="7" s="1"/>
  <c r="AU120" i="7" s="1"/>
  <c r="AW120" i="7" s="1"/>
  <c r="AS140" i="7"/>
  <c r="AT140" i="7" s="1"/>
  <c r="AU140" i="7" s="1"/>
  <c r="AW140" i="7" s="1"/>
  <c r="AS182" i="7"/>
  <c r="AT182" i="7" s="1"/>
  <c r="AU182" i="7" s="1"/>
  <c r="AW182" i="7" s="1"/>
  <c r="AS156" i="7"/>
  <c r="AT156" i="7" s="1"/>
  <c r="AU156" i="7" s="1"/>
  <c r="AW156" i="7" s="1"/>
  <c r="AS59" i="7"/>
  <c r="AT59" i="7" s="1"/>
  <c r="AU59" i="7" s="1"/>
  <c r="AW59" i="7" s="1"/>
  <c r="AS132" i="7"/>
  <c r="AT132" i="7" s="1"/>
  <c r="AU132" i="7" s="1"/>
  <c r="AW132" i="7" s="1"/>
  <c r="AS101" i="7"/>
  <c r="AT101" i="7" s="1"/>
  <c r="AU101" i="7" s="1"/>
  <c r="AW101" i="7" s="1"/>
  <c r="AS85" i="7"/>
  <c r="AT85" i="7" s="1"/>
  <c r="AU85" i="7" s="1"/>
  <c r="AW85" i="7" s="1"/>
  <c r="AS159" i="7"/>
  <c r="AT159" i="7" s="1"/>
  <c r="AU159" i="7" s="1"/>
  <c r="AW159" i="7" s="1"/>
  <c r="AS115" i="7"/>
  <c r="AT115" i="7" s="1"/>
  <c r="AU115" i="7" s="1"/>
  <c r="AW115" i="7" s="1"/>
  <c r="AS97" i="7"/>
  <c r="AT97" i="7" s="1"/>
  <c r="AU97" i="7" s="1"/>
  <c r="AW97" i="7" s="1"/>
  <c r="AS73" i="7"/>
  <c r="AT73" i="7" s="1"/>
  <c r="AU73" i="7" s="1"/>
  <c r="AW73" i="7" s="1"/>
  <c r="AS56" i="7"/>
  <c r="AT56" i="7" s="1"/>
  <c r="AU56" i="7" s="1"/>
  <c r="AW56" i="7" s="1"/>
  <c r="AS163" i="7"/>
  <c r="AT163" i="7" s="1"/>
  <c r="AU163" i="7" s="1"/>
  <c r="AW163" i="7" s="1"/>
  <c r="AS68" i="7"/>
  <c r="AT68" i="7" s="1"/>
  <c r="AU68" i="7" s="1"/>
  <c r="AW68" i="7" s="1"/>
  <c r="AS190" i="7"/>
  <c r="AT190" i="7" s="1"/>
  <c r="AU190" i="7" s="1"/>
  <c r="AW190" i="7" s="1"/>
  <c r="AS116" i="7"/>
  <c r="AT116" i="7"/>
  <c r="AU116" i="7" s="1"/>
  <c r="AW116" i="7" s="1"/>
  <c r="AS93" i="7"/>
  <c r="AT93" i="7"/>
  <c r="AU93" i="7" s="1"/>
  <c r="AW93" i="7" s="1"/>
  <c r="AS52" i="7"/>
  <c r="AT52" i="7"/>
  <c r="AU52" i="7" s="1"/>
  <c r="AW52" i="7" s="1"/>
  <c r="BE177" i="7" l="1"/>
  <c r="AX177" i="7"/>
  <c r="BF177" i="7" s="1"/>
  <c r="BE158" i="7"/>
  <c r="AX158" i="7"/>
  <c r="BF158" i="7" s="1"/>
  <c r="BE58" i="7"/>
  <c r="AX58" i="7"/>
  <c r="BF58" i="7" s="1"/>
  <c r="BE99" i="7"/>
  <c r="AX99" i="7"/>
  <c r="BF99" i="7" s="1"/>
  <c r="BE95" i="7"/>
  <c r="AX95" i="7"/>
  <c r="BF95" i="7" s="1"/>
  <c r="BE111" i="7"/>
  <c r="AX111" i="7"/>
  <c r="BF111" i="7" s="1"/>
  <c r="BE139" i="7"/>
  <c r="AX139" i="7"/>
  <c r="BF139" i="7" s="1"/>
  <c r="BE103" i="7"/>
  <c r="AX103" i="7"/>
  <c r="BF103" i="7" s="1"/>
  <c r="BE180" i="7"/>
  <c r="AX180" i="7"/>
  <c r="BF180" i="7" s="1"/>
  <c r="BE62" i="7"/>
  <c r="AX62" i="7"/>
  <c r="BF62" i="7" s="1"/>
  <c r="BE93" i="7"/>
  <c r="AX93" i="7"/>
  <c r="BE159" i="7"/>
  <c r="AX159" i="7"/>
  <c r="BE194" i="7"/>
  <c r="AX194" i="7"/>
  <c r="BE33" i="7"/>
  <c r="AX33" i="7"/>
  <c r="BE135" i="7"/>
  <c r="AX135" i="7"/>
  <c r="BE152" i="7"/>
  <c r="AX152" i="7"/>
  <c r="BE44" i="7"/>
  <c r="AX44" i="7"/>
  <c r="BE50" i="7"/>
  <c r="AX50" i="7"/>
  <c r="BE149" i="7"/>
  <c r="AX149" i="7"/>
  <c r="BE165" i="7"/>
  <c r="AX165" i="7"/>
  <c r="BE81" i="7"/>
  <c r="AX81" i="7"/>
  <c r="BE186" i="7"/>
  <c r="AX186" i="7"/>
  <c r="BE175" i="7"/>
  <c r="AX175" i="7"/>
  <c r="BE46" i="7"/>
  <c r="AX46" i="7"/>
  <c r="BE28" i="7"/>
  <c r="AX28" i="7"/>
  <c r="BE68" i="7"/>
  <c r="AX68" i="7"/>
  <c r="BE56" i="7"/>
  <c r="AX56" i="7"/>
  <c r="BE85" i="7"/>
  <c r="AX85" i="7"/>
  <c r="BE132" i="7"/>
  <c r="AX132" i="7"/>
  <c r="BE182" i="7"/>
  <c r="AX182" i="7"/>
  <c r="BE89" i="7"/>
  <c r="AX89" i="7"/>
  <c r="BE123" i="7"/>
  <c r="AX123" i="7"/>
  <c r="BE64" i="7"/>
  <c r="AX64" i="7"/>
  <c r="BE170" i="7"/>
  <c r="AX170" i="7"/>
  <c r="BE80" i="7"/>
  <c r="AX80" i="7"/>
  <c r="BE39" i="7"/>
  <c r="AX39" i="7"/>
  <c r="BE83" i="7"/>
  <c r="AX83" i="7"/>
  <c r="BE181" i="7"/>
  <c r="AX181" i="7"/>
  <c r="BE51" i="7"/>
  <c r="AX51" i="7"/>
  <c r="BE48" i="7"/>
  <c r="AX48" i="7"/>
  <c r="BE88" i="7"/>
  <c r="AX88" i="7"/>
  <c r="BE31" i="7"/>
  <c r="AX31" i="7"/>
  <c r="BE60" i="7"/>
  <c r="AX60" i="7"/>
  <c r="BE37" i="7"/>
  <c r="AX37" i="7"/>
  <c r="BE54" i="7"/>
  <c r="AX54" i="7"/>
  <c r="BE78" i="7"/>
  <c r="AX78" i="7"/>
  <c r="BE35" i="7"/>
  <c r="AX35" i="7"/>
  <c r="BE193" i="7"/>
  <c r="AX193" i="7"/>
  <c r="BE42" i="7"/>
  <c r="AX42" i="7"/>
  <c r="BE131" i="7"/>
  <c r="AX131" i="7"/>
  <c r="BE38" i="7"/>
  <c r="AX38" i="7"/>
  <c r="BE163" i="7"/>
  <c r="AX163" i="7"/>
  <c r="BE191" i="7"/>
  <c r="AX191" i="7"/>
  <c r="BE40" i="7"/>
  <c r="AX40" i="7"/>
  <c r="BE107" i="7"/>
  <c r="AX107" i="7"/>
  <c r="BE178" i="7"/>
  <c r="AX178" i="7"/>
  <c r="BE52" i="7"/>
  <c r="AX52" i="7"/>
  <c r="BE116" i="7"/>
  <c r="AX116" i="7"/>
  <c r="BE73" i="7"/>
  <c r="AX73" i="7"/>
  <c r="BE59" i="7"/>
  <c r="AX59" i="7"/>
  <c r="BE140" i="7"/>
  <c r="AX140" i="7"/>
  <c r="BE112" i="7"/>
  <c r="AX112" i="7"/>
  <c r="BE137" i="7"/>
  <c r="AX137" i="7"/>
  <c r="BE164" i="7"/>
  <c r="AX164" i="7"/>
  <c r="BE71" i="7"/>
  <c r="AX71" i="7"/>
  <c r="BE66" i="7"/>
  <c r="AX66" i="7"/>
  <c r="BE70" i="7"/>
  <c r="AX70" i="7"/>
  <c r="BE122" i="7"/>
  <c r="AX122" i="7"/>
  <c r="BE160" i="7"/>
  <c r="AX160" i="7"/>
  <c r="BE109" i="7"/>
  <c r="AX109" i="7"/>
  <c r="BE119" i="7"/>
  <c r="AX119" i="7"/>
  <c r="BE127" i="7"/>
  <c r="AX127" i="7"/>
  <c r="BE124" i="7"/>
  <c r="AX124" i="7"/>
  <c r="BE91" i="7"/>
  <c r="AX91" i="7"/>
  <c r="BE87" i="7"/>
  <c r="AX87" i="7"/>
  <c r="BE154" i="7"/>
  <c r="AX154" i="7"/>
  <c r="BE162" i="7"/>
  <c r="AX162" i="7"/>
  <c r="BE130" i="7"/>
  <c r="AX130" i="7"/>
  <c r="BE77" i="7"/>
  <c r="AX77" i="7"/>
  <c r="BE153" i="7"/>
  <c r="AX153" i="7"/>
  <c r="BE172" i="7"/>
  <c r="AX172" i="7"/>
  <c r="BE179" i="7"/>
  <c r="AX179" i="7"/>
  <c r="BE190" i="7"/>
  <c r="AX190" i="7"/>
  <c r="BE97" i="7"/>
  <c r="AX97" i="7"/>
  <c r="BE148" i="7"/>
  <c r="AX148" i="7"/>
  <c r="BE150" i="7"/>
  <c r="AX150" i="7"/>
  <c r="BE174" i="7"/>
  <c r="AX174" i="7"/>
  <c r="BE63" i="7"/>
  <c r="AX63" i="7"/>
  <c r="BE118" i="7"/>
  <c r="AX118" i="7"/>
  <c r="BE115" i="7"/>
  <c r="AX115" i="7"/>
  <c r="BE101" i="7"/>
  <c r="AX101" i="7"/>
  <c r="BE156" i="7"/>
  <c r="AX156" i="7"/>
  <c r="BE120" i="7"/>
  <c r="AX120" i="7"/>
  <c r="BE105" i="7"/>
  <c r="AX105" i="7"/>
  <c r="BE128" i="7"/>
  <c r="AX128" i="7"/>
  <c r="BE145" i="7"/>
  <c r="AX145" i="7"/>
  <c r="BE173" i="7"/>
  <c r="AX173" i="7"/>
  <c r="BE187" i="7"/>
  <c r="AX187" i="7"/>
  <c r="BE108" i="7"/>
  <c r="AX108" i="7"/>
  <c r="BE157" i="7"/>
  <c r="AX157" i="7"/>
  <c r="BE29" i="7"/>
  <c r="AX29" i="7"/>
  <c r="BE143" i="7"/>
  <c r="AX143" i="7"/>
  <c r="BE110" i="7"/>
  <c r="AX110" i="7"/>
  <c r="BE96" i="7"/>
  <c r="AX96" i="7"/>
  <c r="BE144" i="7"/>
  <c r="AX144" i="7"/>
  <c r="BE151" i="7"/>
  <c r="AX151" i="7"/>
  <c r="BE30" i="7"/>
  <c r="AX30" i="7"/>
  <c r="BE129" i="7"/>
  <c r="AX129" i="7"/>
  <c r="BE169" i="7"/>
  <c r="AX169" i="7"/>
  <c r="BE126" i="7"/>
  <c r="AX126" i="7"/>
  <c r="BE114" i="7"/>
  <c r="AX114" i="7"/>
  <c r="BE136" i="7"/>
  <c r="AX136" i="7"/>
  <c r="BE146" i="7"/>
  <c r="AX146" i="7"/>
  <c r="BE41" i="7"/>
  <c r="AX41" i="7"/>
  <c r="BE192" i="7"/>
  <c r="AX192" i="7"/>
  <c r="BF134" i="7"/>
  <c r="AY134" i="7"/>
  <c r="BF92" i="7"/>
  <c r="AY92" i="7"/>
  <c r="BF47" i="7"/>
  <c r="AY47" i="7"/>
  <c r="BF141" i="7"/>
  <c r="AY141" i="7"/>
  <c r="BF55" i="7"/>
  <c r="AY55" i="7"/>
  <c r="AX176" i="7"/>
  <c r="BF102" i="7"/>
  <c r="AY102" i="7"/>
  <c r="BF125" i="7"/>
  <c r="AY125" i="7"/>
  <c r="BF195" i="7"/>
  <c r="AY195" i="7"/>
  <c r="AY177" i="7"/>
  <c r="BF32" i="7"/>
  <c r="AY32" i="7"/>
  <c r="BF86" i="7"/>
  <c r="AY86" i="7"/>
  <c r="AX79" i="7"/>
  <c r="AQ27" i="7"/>
  <c r="AP27" i="7"/>
  <c r="AP17" i="7" s="1"/>
  <c r="AN27" i="7"/>
  <c r="AN17" i="7" s="1"/>
  <c r="AM17" i="7"/>
  <c r="BC27" i="7"/>
  <c r="BF104" i="7"/>
  <c r="AY104" i="7"/>
  <c r="AX188" i="7"/>
  <c r="BF113" i="7"/>
  <c r="AY113" i="7"/>
  <c r="BF57" i="7"/>
  <c r="AY57" i="7"/>
  <c r="BF133" i="7"/>
  <c r="AY133" i="7"/>
  <c r="AX168" i="7"/>
  <c r="AX184" i="7"/>
  <c r="AX189" i="7"/>
  <c r="BF45" i="7"/>
  <c r="AY45" i="7"/>
  <c r="BF100" i="7"/>
  <c r="AY100" i="7"/>
  <c r="BF72" i="7"/>
  <c r="AY72" i="7"/>
  <c r="BF74" i="7"/>
  <c r="AY74" i="7"/>
  <c r="BF34" i="7"/>
  <c r="AY34" i="7"/>
  <c r="BF147" i="7"/>
  <c r="AY147" i="7"/>
  <c r="BF167" i="7"/>
  <c r="AY167" i="7"/>
  <c r="BF166" i="7"/>
  <c r="AY166" i="7"/>
  <c r="BF84" i="7"/>
  <c r="AY84" i="7"/>
  <c r="BF155" i="7"/>
  <c r="AY155" i="7"/>
  <c r="BF94" i="7"/>
  <c r="AY94" i="7"/>
  <c r="AX75" i="7"/>
  <c r="AX67" i="7"/>
  <c r="BF82" i="7"/>
  <c r="AY82" i="7"/>
  <c r="BF43" i="7"/>
  <c r="AY43" i="7"/>
  <c r="BF65" i="7"/>
  <c r="AY65" i="7"/>
  <c r="BF76" i="7"/>
  <c r="AY76" i="7"/>
  <c r="BF142" i="7"/>
  <c r="AY142" i="7"/>
  <c r="BF117" i="7"/>
  <c r="AY117" i="7"/>
  <c r="AX138" i="7"/>
  <c r="AX106" i="7"/>
  <c r="AX36" i="7"/>
  <c r="AX121" i="7"/>
  <c r="AX171" i="7"/>
  <c r="AX61" i="7"/>
  <c r="AX49" i="7"/>
  <c r="AX98" i="7"/>
  <c r="AX185" i="7"/>
  <c r="AX69" i="7"/>
  <c r="AX161" i="7"/>
  <c r="AX90" i="7"/>
  <c r="AX53" i="7"/>
  <c r="AX183" i="7"/>
  <c r="AY111" i="7"/>
  <c r="AY95" i="7"/>
  <c r="AY158" i="7"/>
  <c r="AY180" i="7"/>
  <c r="AY62" i="7"/>
  <c r="AY99" i="7" l="1"/>
  <c r="AY103" i="7"/>
  <c r="AY139" i="7"/>
  <c r="AY58" i="7"/>
  <c r="BK27" i="7"/>
  <c r="BK17" i="7" s="1"/>
  <c r="BC17" i="7"/>
  <c r="BG134" i="7"/>
  <c r="AZ134" i="7"/>
  <c r="BF136" i="7"/>
  <c r="AY136" i="7"/>
  <c r="BF96" i="7"/>
  <c r="AY96" i="7"/>
  <c r="BF187" i="7"/>
  <c r="AY187" i="7"/>
  <c r="BF156" i="7"/>
  <c r="AY156" i="7"/>
  <c r="BF63" i="7"/>
  <c r="AY63" i="7"/>
  <c r="BF179" i="7"/>
  <c r="AY179" i="7"/>
  <c r="BF154" i="7"/>
  <c r="AY154" i="7"/>
  <c r="BF109" i="7"/>
  <c r="AY109" i="7"/>
  <c r="BF164" i="7"/>
  <c r="AY164" i="7"/>
  <c r="BF116" i="7"/>
  <c r="AY116" i="7"/>
  <c r="BF163" i="7"/>
  <c r="AY163" i="7"/>
  <c r="BF193" i="7"/>
  <c r="AY193" i="7"/>
  <c r="BF48" i="7"/>
  <c r="AY48" i="7"/>
  <c r="BF170" i="7"/>
  <c r="AY170" i="7"/>
  <c r="BF85" i="7"/>
  <c r="AY85" i="7"/>
  <c r="BF186" i="7"/>
  <c r="AY186" i="7"/>
  <c r="BF50" i="7"/>
  <c r="AY50" i="7"/>
  <c r="BF33" i="7"/>
  <c r="AY33" i="7"/>
  <c r="BG99" i="7"/>
  <c r="AZ99" i="7"/>
  <c r="BG139" i="7"/>
  <c r="AZ139" i="7"/>
  <c r="BF53" i="7"/>
  <c r="AY53" i="7"/>
  <c r="BF185" i="7"/>
  <c r="AY185" i="7"/>
  <c r="BF171" i="7"/>
  <c r="AY171" i="7"/>
  <c r="BF138" i="7"/>
  <c r="AY138" i="7"/>
  <c r="BG133" i="7"/>
  <c r="AZ133" i="7"/>
  <c r="BG113" i="7"/>
  <c r="AZ113" i="7"/>
  <c r="BG195" i="7"/>
  <c r="AZ195" i="7"/>
  <c r="BG102" i="7"/>
  <c r="AZ102" i="7"/>
  <c r="BG95" i="7"/>
  <c r="AZ95" i="7"/>
  <c r="BF69" i="7"/>
  <c r="AY69" i="7"/>
  <c r="BF61" i="7"/>
  <c r="AY61" i="7"/>
  <c r="BG142" i="7"/>
  <c r="AZ142" i="7"/>
  <c r="BG82" i="7"/>
  <c r="AZ82" i="7"/>
  <c r="BG84" i="7"/>
  <c r="AZ84" i="7"/>
  <c r="BG34" i="7"/>
  <c r="AZ34" i="7"/>
  <c r="BG45" i="7"/>
  <c r="AZ45" i="7"/>
  <c r="BG86" i="7"/>
  <c r="AZ86" i="7"/>
  <c r="BG55" i="7"/>
  <c r="AZ55" i="7"/>
  <c r="BF41" i="7"/>
  <c r="AY41" i="7"/>
  <c r="BF129" i="7"/>
  <c r="AY129" i="7"/>
  <c r="BF143" i="7"/>
  <c r="AY143" i="7"/>
  <c r="BF145" i="7"/>
  <c r="AY145" i="7"/>
  <c r="BF115" i="7"/>
  <c r="AY115" i="7"/>
  <c r="BF97" i="7"/>
  <c r="AY97" i="7"/>
  <c r="BF130" i="7"/>
  <c r="AY130" i="7"/>
  <c r="BF127" i="7"/>
  <c r="AY127" i="7"/>
  <c r="BF66" i="7"/>
  <c r="AY66" i="7"/>
  <c r="BF59" i="7"/>
  <c r="AY59" i="7"/>
  <c r="BF40" i="7"/>
  <c r="AY40" i="7"/>
  <c r="BF37" i="7"/>
  <c r="AY37" i="7"/>
  <c r="BF181" i="7"/>
  <c r="AY181" i="7"/>
  <c r="BF123" i="7"/>
  <c r="AY123" i="7"/>
  <c r="BF68" i="7"/>
  <c r="AY68" i="7"/>
  <c r="BF152" i="7"/>
  <c r="AY152" i="7"/>
  <c r="BG158" i="7"/>
  <c r="AZ158" i="7"/>
  <c r="BG111" i="7"/>
  <c r="AZ111" i="7"/>
  <c r="BF90" i="7"/>
  <c r="AY90" i="7"/>
  <c r="BF98" i="7"/>
  <c r="AY98" i="7"/>
  <c r="BF121" i="7"/>
  <c r="AY121" i="7"/>
  <c r="BG117" i="7"/>
  <c r="AZ117" i="7"/>
  <c r="BG76" i="7"/>
  <c r="AZ76" i="7"/>
  <c r="BG43" i="7"/>
  <c r="AZ43" i="7"/>
  <c r="BF67" i="7"/>
  <c r="AY67" i="7"/>
  <c r="BG155" i="7"/>
  <c r="AZ155" i="7"/>
  <c r="BG166" i="7"/>
  <c r="AZ166" i="7"/>
  <c r="BG147" i="7"/>
  <c r="AZ147" i="7"/>
  <c r="BG74" i="7"/>
  <c r="AZ74" i="7"/>
  <c r="BG100" i="7"/>
  <c r="AZ100" i="7"/>
  <c r="BF189" i="7"/>
  <c r="AY189" i="7"/>
  <c r="AS27" i="7"/>
  <c r="AS17" i="7" s="1"/>
  <c r="AT27" i="7"/>
  <c r="BG32" i="7"/>
  <c r="AZ32" i="7"/>
  <c r="BG141" i="7"/>
  <c r="AZ141" i="7"/>
  <c r="BG92" i="7"/>
  <c r="AZ92" i="7"/>
  <c r="BF192" i="7"/>
  <c r="AY192" i="7"/>
  <c r="BF146" i="7"/>
  <c r="AY146" i="7"/>
  <c r="BF114" i="7"/>
  <c r="AY114" i="7"/>
  <c r="BF169" i="7"/>
  <c r="AY169" i="7"/>
  <c r="BF30" i="7"/>
  <c r="AY30" i="7"/>
  <c r="BF144" i="7"/>
  <c r="AY144" i="7"/>
  <c r="BF110" i="7"/>
  <c r="AY110" i="7"/>
  <c r="BF29" i="7"/>
  <c r="AY29" i="7"/>
  <c r="BF108" i="7"/>
  <c r="AY108" i="7"/>
  <c r="BF173" i="7"/>
  <c r="AY173" i="7"/>
  <c r="BF128" i="7"/>
  <c r="AY128" i="7"/>
  <c r="BF120" i="7"/>
  <c r="AY120" i="7"/>
  <c r="BF101" i="7"/>
  <c r="AY101" i="7"/>
  <c r="BF118" i="7"/>
  <c r="AY118" i="7"/>
  <c r="BF174" i="7"/>
  <c r="AY174" i="7"/>
  <c r="BF148" i="7"/>
  <c r="AY148" i="7"/>
  <c r="BF190" i="7"/>
  <c r="AY190" i="7"/>
  <c r="BF172" i="7"/>
  <c r="AY172" i="7"/>
  <c r="BF77" i="7"/>
  <c r="AY77" i="7"/>
  <c r="BF162" i="7"/>
  <c r="AY162" i="7"/>
  <c r="BF87" i="7"/>
  <c r="AY87" i="7"/>
  <c r="BF124" i="7"/>
  <c r="AY124" i="7"/>
  <c r="BF119" i="7"/>
  <c r="AY119" i="7"/>
  <c r="BF160" i="7"/>
  <c r="AY160" i="7"/>
  <c r="BF70" i="7"/>
  <c r="AY70" i="7"/>
  <c r="BF71" i="7"/>
  <c r="AY71" i="7"/>
  <c r="BF137" i="7"/>
  <c r="AY137" i="7"/>
  <c r="BF140" i="7"/>
  <c r="AY140" i="7"/>
  <c r="BF73" i="7"/>
  <c r="AY73" i="7"/>
  <c r="BF52" i="7"/>
  <c r="AY52" i="7"/>
  <c r="BF107" i="7"/>
  <c r="AY107" i="7"/>
  <c r="BF191" i="7"/>
  <c r="AY191" i="7"/>
  <c r="BF38" i="7"/>
  <c r="AY38" i="7"/>
  <c r="BF42" i="7"/>
  <c r="AY42" i="7"/>
  <c r="BF35" i="7"/>
  <c r="AY35" i="7"/>
  <c r="BF54" i="7"/>
  <c r="AY54" i="7"/>
  <c r="BF60" i="7"/>
  <c r="AY60" i="7"/>
  <c r="BF88" i="7"/>
  <c r="AY88" i="7"/>
  <c r="BF51" i="7"/>
  <c r="AY51" i="7"/>
  <c r="BF83" i="7"/>
  <c r="AY83" i="7"/>
  <c r="BF80" i="7"/>
  <c r="AY80" i="7"/>
  <c r="BF64" i="7"/>
  <c r="AY64" i="7"/>
  <c r="BF89" i="7"/>
  <c r="AY89" i="7"/>
  <c r="BF132" i="7"/>
  <c r="AY132" i="7"/>
  <c r="BF56" i="7"/>
  <c r="AY56" i="7"/>
  <c r="BF28" i="7"/>
  <c r="AY28" i="7"/>
  <c r="BF175" i="7"/>
  <c r="AY175" i="7"/>
  <c r="BF81" i="7"/>
  <c r="AY81" i="7"/>
  <c r="BF149" i="7"/>
  <c r="AY149" i="7"/>
  <c r="BF44" i="7"/>
  <c r="AY44" i="7"/>
  <c r="BF135" i="7"/>
  <c r="AY135" i="7"/>
  <c r="BF194" i="7"/>
  <c r="AY194" i="7"/>
  <c r="BF93" i="7"/>
  <c r="AY93" i="7"/>
  <c r="BG180" i="7"/>
  <c r="AZ180" i="7"/>
  <c r="BF183" i="7"/>
  <c r="AY183" i="7"/>
  <c r="BF106" i="7"/>
  <c r="AY106" i="7"/>
  <c r="BG65" i="7"/>
  <c r="AZ65" i="7"/>
  <c r="BG94" i="7"/>
  <c r="AZ94" i="7"/>
  <c r="BG167" i="7"/>
  <c r="AZ167" i="7"/>
  <c r="BG72" i="7"/>
  <c r="AZ72" i="7"/>
  <c r="BF168" i="7"/>
  <c r="AY168" i="7"/>
  <c r="BG104" i="7"/>
  <c r="AZ104" i="7"/>
  <c r="BG177" i="7"/>
  <c r="AZ177" i="7"/>
  <c r="BG47" i="7"/>
  <c r="AZ47" i="7"/>
  <c r="BF126" i="7"/>
  <c r="AY126" i="7"/>
  <c r="BF151" i="7"/>
  <c r="AY151" i="7"/>
  <c r="BF157" i="7"/>
  <c r="AY157" i="7"/>
  <c r="BF105" i="7"/>
  <c r="AY105" i="7"/>
  <c r="BF150" i="7"/>
  <c r="AY150" i="7"/>
  <c r="BF153" i="7"/>
  <c r="AY153" i="7"/>
  <c r="BF91" i="7"/>
  <c r="AY91" i="7"/>
  <c r="BF122" i="7"/>
  <c r="AY122" i="7"/>
  <c r="BF112" i="7"/>
  <c r="AY112" i="7"/>
  <c r="BF178" i="7"/>
  <c r="AY178" i="7"/>
  <c r="BF131" i="7"/>
  <c r="AY131" i="7"/>
  <c r="BF78" i="7"/>
  <c r="AY78" i="7"/>
  <c r="BF31" i="7"/>
  <c r="AY31" i="7"/>
  <c r="BF39" i="7"/>
  <c r="AY39" i="7"/>
  <c r="BF182" i="7"/>
  <c r="AY182" i="7"/>
  <c r="BF46" i="7"/>
  <c r="AY46" i="7"/>
  <c r="BF165" i="7"/>
  <c r="AY165" i="7"/>
  <c r="BF159" i="7"/>
  <c r="AY159" i="7"/>
  <c r="BG62" i="7"/>
  <c r="AZ62" i="7"/>
  <c r="BG103" i="7"/>
  <c r="AZ103" i="7"/>
  <c r="BG58" i="7"/>
  <c r="AZ58" i="7"/>
  <c r="BF161" i="7"/>
  <c r="AY161" i="7"/>
  <c r="BF49" i="7"/>
  <c r="AY49" i="7"/>
  <c r="BF36" i="7"/>
  <c r="AY36" i="7"/>
  <c r="BF75" i="7"/>
  <c r="AY75" i="7"/>
  <c r="BF184" i="7"/>
  <c r="AY184" i="7"/>
  <c r="BG57" i="7"/>
  <c r="AZ57" i="7"/>
  <c r="BF188" i="7"/>
  <c r="AY188" i="7"/>
  <c r="BF79" i="7"/>
  <c r="AY79" i="7"/>
  <c r="BG125" i="7"/>
  <c r="AZ125" i="7"/>
  <c r="BF176" i="7"/>
  <c r="AY176" i="7"/>
  <c r="BG79" i="7" l="1"/>
  <c r="AZ79" i="7"/>
  <c r="BG49" i="7"/>
  <c r="AZ49" i="7"/>
  <c r="BG165" i="7"/>
  <c r="AZ165" i="7"/>
  <c r="BG31" i="7"/>
  <c r="AZ31" i="7"/>
  <c r="BG91" i="7"/>
  <c r="AZ91" i="7"/>
  <c r="BG126" i="7"/>
  <c r="AZ126" i="7"/>
  <c r="BG168" i="7"/>
  <c r="AZ168" i="7"/>
  <c r="BG183" i="7"/>
  <c r="AZ183" i="7"/>
  <c r="BG149" i="7"/>
  <c r="AZ149" i="7"/>
  <c r="BG56" i="7"/>
  <c r="AZ56" i="7"/>
  <c r="BG51" i="7"/>
  <c r="AZ51" i="7"/>
  <c r="BG38" i="7"/>
  <c r="AZ38" i="7"/>
  <c r="BG137" i="7"/>
  <c r="AZ137" i="7"/>
  <c r="BG119" i="7"/>
  <c r="AZ119" i="7"/>
  <c r="BG190" i="7"/>
  <c r="AZ190" i="7"/>
  <c r="BG101" i="7"/>
  <c r="AZ101" i="7"/>
  <c r="BG110" i="7"/>
  <c r="AZ110" i="7"/>
  <c r="BG114" i="7"/>
  <c r="AZ114" i="7"/>
  <c r="BH141" i="7"/>
  <c r="BA141" i="7"/>
  <c r="BG189" i="7"/>
  <c r="AZ189" i="7"/>
  <c r="BH74" i="7"/>
  <c r="BA74" i="7"/>
  <c r="BG67" i="7"/>
  <c r="AZ67" i="7"/>
  <c r="BG121" i="7"/>
  <c r="AZ121" i="7"/>
  <c r="BG68" i="7"/>
  <c r="AZ68" i="7"/>
  <c r="BG40" i="7"/>
  <c r="AZ40" i="7"/>
  <c r="BG130" i="7"/>
  <c r="AZ130" i="7"/>
  <c r="BG143" i="7"/>
  <c r="AZ143" i="7"/>
  <c r="BH86" i="7"/>
  <c r="BA86" i="7"/>
  <c r="BH82" i="7"/>
  <c r="BA82" i="7"/>
  <c r="BH95" i="7"/>
  <c r="BA95" i="7"/>
  <c r="BH133" i="7"/>
  <c r="BA133" i="7"/>
  <c r="BG53" i="7"/>
  <c r="AZ53" i="7"/>
  <c r="BG50" i="7"/>
  <c r="AZ50" i="7"/>
  <c r="BG48" i="7"/>
  <c r="AZ48" i="7"/>
  <c r="BG164" i="7"/>
  <c r="AZ164" i="7"/>
  <c r="BG187" i="7"/>
  <c r="AZ187" i="7"/>
  <c r="BH57" i="7"/>
  <c r="BA57" i="7"/>
  <c r="BH58" i="7"/>
  <c r="BA58" i="7"/>
  <c r="BG131" i="7"/>
  <c r="AZ131" i="7"/>
  <c r="BG157" i="7"/>
  <c r="AZ157" i="7"/>
  <c r="BH167" i="7"/>
  <c r="BA167" i="7"/>
  <c r="BG135" i="7"/>
  <c r="AZ135" i="7"/>
  <c r="BG89" i="7"/>
  <c r="AZ89" i="7"/>
  <c r="BG60" i="7"/>
  <c r="AZ60" i="7"/>
  <c r="BG73" i="7"/>
  <c r="AZ73" i="7"/>
  <c r="BG87" i="7"/>
  <c r="AZ87" i="7"/>
  <c r="BG128" i="7"/>
  <c r="AZ128" i="7"/>
  <c r="AU27" i="7"/>
  <c r="AT17" i="7"/>
  <c r="BH158" i="7"/>
  <c r="BA158" i="7"/>
  <c r="BG136" i="7"/>
  <c r="AZ136" i="7"/>
  <c r="BH125" i="7"/>
  <c r="BA125" i="7"/>
  <c r="BG188" i="7"/>
  <c r="AZ188" i="7"/>
  <c r="BG184" i="7"/>
  <c r="AZ184" i="7"/>
  <c r="BG36" i="7"/>
  <c r="AZ36" i="7"/>
  <c r="BG161" i="7"/>
  <c r="AZ161" i="7"/>
  <c r="BH103" i="7"/>
  <c r="BA103" i="7"/>
  <c r="BG159" i="7"/>
  <c r="AZ159" i="7"/>
  <c r="BG46" i="7"/>
  <c r="AZ46" i="7"/>
  <c r="BG39" i="7"/>
  <c r="AZ39" i="7"/>
  <c r="BG78" i="7"/>
  <c r="AZ78" i="7"/>
  <c r="BG178" i="7"/>
  <c r="AZ178" i="7"/>
  <c r="BG122" i="7"/>
  <c r="AZ122" i="7"/>
  <c r="BG153" i="7"/>
  <c r="AZ153" i="7"/>
  <c r="BG105" i="7"/>
  <c r="AZ105" i="7"/>
  <c r="BG151" i="7"/>
  <c r="AZ151" i="7"/>
  <c r="BH47" i="7"/>
  <c r="BA47" i="7"/>
  <c r="BH104" i="7"/>
  <c r="BA104" i="7"/>
  <c r="BH72" i="7"/>
  <c r="BA72" i="7"/>
  <c r="BH94" i="7"/>
  <c r="BA94" i="7"/>
  <c r="BG106" i="7"/>
  <c r="AZ106" i="7"/>
  <c r="BH180" i="7"/>
  <c r="BA180" i="7"/>
  <c r="BG194" i="7"/>
  <c r="AZ194" i="7"/>
  <c r="BG44" i="7"/>
  <c r="AZ44" i="7"/>
  <c r="BG81" i="7"/>
  <c r="AZ81" i="7"/>
  <c r="BG28" i="7"/>
  <c r="AZ28" i="7"/>
  <c r="BG132" i="7"/>
  <c r="AZ132" i="7"/>
  <c r="BG64" i="7"/>
  <c r="AZ64" i="7"/>
  <c r="BG83" i="7"/>
  <c r="AZ83" i="7"/>
  <c r="BG88" i="7"/>
  <c r="AZ88" i="7"/>
  <c r="BG54" i="7"/>
  <c r="AZ54" i="7"/>
  <c r="BG42" i="7"/>
  <c r="AZ42" i="7"/>
  <c r="BG191" i="7"/>
  <c r="AZ191" i="7"/>
  <c r="BG52" i="7"/>
  <c r="AZ52" i="7"/>
  <c r="BG140" i="7"/>
  <c r="AZ140" i="7"/>
  <c r="BG71" i="7"/>
  <c r="AZ71" i="7"/>
  <c r="BG160" i="7"/>
  <c r="AZ160" i="7"/>
  <c r="BG124" i="7"/>
  <c r="AZ124" i="7"/>
  <c r="BG162" i="7"/>
  <c r="AZ162" i="7"/>
  <c r="BG172" i="7"/>
  <c r="AZ172" i="7"/>
  <c r="BG148" i="7"/>
  <c r="AZ148" i="7"/>
  <c r="BG118" i="7"/>
  <c r="AZ118" i="7"/>
  <c r="BG120" i="7"/>
  <c r="AZ120" i="7"/>
  <c r="BG173" i="7"/>
  <c r="AZ173" i="7"/>
  <c r="BG29" i="7"/>
  <c r="AZ29" i="7"/>
  <c r="BG144" i="7"/>
  <c r="AZ144" i="7"/>
  <c r="BG169" i="7"/>
  <c r="AZ169" i="7"/>
  <c r="BG146" i="7"/>
  <c r="AZ146" i="7"/>
  <c r="BH92" i="7"/>
  <c r="BA92" i="7"/>
  <c r="BH32" i="7"/>
  <c r="BA32" i="7"/>
  <c r="BH100" i="7"/>
  <c r="BA100" i="7"/>
  <c r="BH147" i="7"/>
  <c r="BA147" i="7"/>
  <c r="BH155" i="7"/>
  <c r="BA155" i="7"/>
  <c r="BH43" i="7"/>
  <c r="BA43" i="7"/>
  <c r="BH117" i="7"/>
  <c r="BA117" i="7"/>
  <c r="BG98" i="7"/>
  <c r="AZ98" i="7"/>
  <c r="BH111" i="7"/>
  <c r="BA111" i="7"/>
  <c r="BG152" i="7"/>
  <c r="AZ152" i="7"/>
  <c r="BG123" i="7"/>
  <c r="AZ123" i="7"/>
  <c r="BG37" i="7"/>
  <c r="AZ37" i="7"/>
  <c r="BG59" i="7"/>
  <c r="AZ59" i="7"/>
  <c r="BG127" i="7"/>
  <c r="AZ127" i="7"/>
  <c r="BG97" i="7"/>
  <c r="AZ97" i="7"/>
  <c r="BG145" i="7"/>
  <c r="AZ145" i="7"/>
  <c r="BG129" i="7"/>
  <c r="AZ129" i="7"/>
  <c r="BH55" i="7"/>
  <c r="BA55" i="7"/>
  <c r="BH45" i="7"/>
  <c r="BA45" i="7"/>
  <c r="BH84" i="7"/>
  <c r="BA84" i="7"/>
  <c r="BH142" i="7"/>
  <c r="BA142" i="7"/>
  <c r="BG69" i="7"/>
  <c r="AZ69" i="7"/>
  <c r="BH102" i="7"/>
  <c r="BA102" i="7"/>
  <c r="BH113" i="7"/>
  <c r="BA113" i="7"/>
  <c r="BG138" i="7"/>
  <c r="AZ138" i="7"/>
  <c r="BG185" i="7"/>
  <c r="AZ185" i="7"/>
  <c r="BH139" i="7"/>
  <c r="BA139" i="7"/>
  <c r="BG33" i="7"/>
  <c r="AZ33" i="7"/>
  <c r="BG186" i="7"/>
  <c r="AZ186" i="7"/>
  <c r="BG170" i="7"/>
  <c r="AZ170" i="7"/>
  <c r="BG193" i="7"/>
  <c r="AZ193" i="7"/>
  <c r="BG116" i="7"/>
  <c r="AZ116" i="7"/>
  <c r="BG109" i="7"/>
  <c r="AZ109" i="7"/>
  <c r="BG179" i="7"/>
  <c r="AZ179" i="7"/>
  <c r="BG156" i="7"/>
  <c r="AZ156" i="7"/>
  <c r="BG96" i="7"/>
  <c r="AZ96" i="7"/>
  <c r="BH134" i="7"/>
  <c r="BA134" i="7"/>
  <c r="BG176" i="7"/>
  <c r="AZ176" i="7"/>
  <c r="BG75" i="7"/>
  <c r="AZ75" i="7"/>
  <c r="BH62" i="7"/>
  <c r="BA62" i="7"/>
  <c r="BG182" i="7"/>
  <c r="AZ182" i="7"/>
  <c r="BG112" i="7"/>
  <c r="AZ112" i="7"/>
  <c r="BG150" i="7"/>
  <c r="AZ150" i="7"/>
  <c r="BH177" i="7"/>
  <c r="BA177" i="7"/>
  <c r="BH65" i="7"/>
  <c r="BA65" i="7"/>
  <c r="BG93" i="7"/>
  <c r="AZ93" i="7"/>
  <c r="BG175" i="7"/>
  <c r="AZ175" i="7"/>
  <c r="BG80" i="7"/>
  <c r="AZ80" i="7"/>
  <c r="BG35" i="7"/>
  <c r="AZ35" i="7"/>
  <c r="BG107" i="7"/>
  <c r="AZ107" i="7"/>
  <c r="BG70" i="7"/>
  <c r="AZ70" i="7"/>
  <c r="BG77" i="7"/>
  <c r="AZ77" i="7"/>
  <c r="BG174" i="7"/>
  <c r="AZ174" i="7"/>
  <c r="BG108" i="7"/>
  <c r="AZ108" i="7"/>
  <c r="BG30" i="7"/>
  <c r="AZ30" i="7"/>
  <c r="BG192" i="7"/>
  <c r="AZ192" i="7"/>
  <c r="BH166" i="7"/>
  <c r="BA166" i="7"/>
  <c r="BH76" i="7"/>
  <c r="BA76" i="7"/>
  <c r="BG90" i="7"/>
  <c r="AZ90" i="7"/>
  <c r="BG181" i="7"/>
  <c r="AZ181" i="7"/>
  <c r="BG66" i="7"/>
  <c r="AZ66" i="7"/>
  <c r="BG115" i="7"/>
  <c r="AZ115" i="7"/>
  <c r="BG41" i="7"/>
  <c r="AZ41" i="7"/>
  <c r="BH34" i="7"/>
  <c r="BA34" i="7"/>
  <c r="BG61" i="7"/>
  <c r="AZ61" i="7"/>
  <c r="BH195" i="7"/>
  <c r="BA195" i="7"/>
  <c r="BG171" i="7"/>
  <c r="AZ171" i="7"/>
  <c r="BH99" i="7"/>
  <c r="BA99" i="7"/>
  <c r="BG85" i="7"/>
  <c r="AZ85" i="7"/>
  <c r="BG163" i="7"/>
  <c r="AZ163" i="7"/>
  <c r="BG154" i="7"/>
  <c r="AZ154" i="7"/>
  <c r="BG63" i="7"/>
  <c r="AZ63" i="7"/>
  <c r="BH171" i="7" l="1"/>
  <c r="BA171" i="7"/>
  <c r="BH66" i="7"/>
  <c r="BA66" i="7"/>
  <c r="BH30" i="7"/>
  <c r="BA30" i="7"/>
  <c r="BH70" i="7"/>
  <c r="BA70" i="7"/>
  <c r="BI65" i="7"/>
  <c r="BB65" i="7"/>
  <c r="BJ65" i="7" s="1"/>
  <c r="BH75" i="7"/>
  <c r="BA75" i="7"/>
  <c r="BH109" i="7"/>
  <c r="BA109" i="7"/>
  <c r="BI139" i="7"/>
  <c r="BB139" i="7"/>
  <c r="BJ139" i="7" s="1"/>
  <c r="BI142" i="7"/>
  <c r="BB142" i="7"/>
  <c r="BJ142" i="7" s="1"/>
  <c r="BH129" i="7"/>
  <c r="BA129" i="7"/>
  <c r="BH123" i="7"/>
  <c r="BA123" i="7"/>
  <c r="BI155" i="7"/>
  <c r="BB155" i="7"/>
  <c r="BJ155" i="7" s="1"/>
  <c r="BH169" i="7"/>
  <c r="BA169" i="7"/>
  <c r="BH120" i="7"/>
  <c r="BA120" i="7"/>
  <c r="BH160" i="7"/>
  <c r="BA160" i="7"/>
  <c r="BH54" i="7"/>
  <c r="BA54" i="7"/>
  <c r="BH132" i="7"/>
  <c r="BA132" i="7"/>
  <c r="BH106" i="7"/>
  <c r="BA106" i="7"/>
  <c r="BI72" i="7"/>
  <c r="BB72" i="7"/>
  <c r="BJ72" i="7" s="1"/>
  <c r="BI47" i="7"/>
  <c r="BB47" i="7"/>
  <c r="BJ47" i="7" s="1"/>
  <c r="BH122" i="7"/>
  <c r="BA122" i="7"/>
  <c r="BH78" i="7"/>
  <c r="BA78" i="7"/>
  <c r="BH46" i="7"/>
  <c r="BA46" i="7"/>
  <c r="BI103" i="7"/>
  <c r="BB103" i="7"/>
  <c r="BJ103" i="7" s="1"/>
  <c r="BH36" i="7"/>
  <c r="BA36" i="7"/>
  <c r="BH188" i="7"/>
  <c r="BA188" i="7"/>
  <c r="BH136" i="7"/>
  <c r="BA136" i="7"/>
  <c r="BH87" i="7"/>
  <c r="BA87" i="7"/>
  <c r="BH60" i="7"/>
  <c r="BA60" i="7"/>
  <c r="BH157" i="7"/>
  <c r="BA157" i="7"/>
  <c r="BH187" i="7"/>
  <c r="BA187" i="7"/>
  <c r="BH53" i="7"/>
  <c r="BA53" i="7"/>
  <c r="BI95" i="7"/>
  <c r="BB95" i="7"/>
  <c r="BJ95" i="7" s="1"/>
  <c r="BH130" i="7"/>
  <c r="BA130" i="7"/>
  <c r="BH68" i="7"/>
  <c r="BA68" i="7"/>
  <c r="BH67" i="7"/>
  <c r="BA67" i="7"/>
  <c r="BH189" i="7"/>
  <c r="BA189" i="7"/>
  <c r="BH114" i="7"/>
  <c r="BA114" i="7"/>
  <c r="BH101" i="7"/>
  <c r="BA101" i="7"/>
  <c r="BH38" i="7"/>
  <c r="BA38" i="7"/>
  <c r="BH56" i="7"/>
  <c r="BA56" i="7"/>
  <c r="BH183" i="7"/>
  <c r="BA183" i="7"/>
  <c r="BH126" i="7"/>
  <c r="BA126" i="7"/>
  <c r="BH31" i="7"/>
  <c r="BA31" i="7"/>
  <c r="BH49" i="7"/>
  <c r="BA49" i="7"/>
  <c r="AU17" i="7"/>
  <c r="AW27" i="7"/>
  <c r="AW17" i="7" s="1"/>
  <c r="BH154" i="7"/>
  <c r="BA154" i="7"/>
  <c r="BH61" i="7"/>
  <c r="BA61" i="7"/>
  <c r="BH90" i="7"/>
  <c r="BA90" i="7"/>
  <c r="BH35" i="7"/>
  <c r="BA35" i="7"/>
  <c r="BH150" i="7"/>
  <c r="BA150" i="7"/>
  <c r="BI134" i="7"/>
  <c r="BB134" i="7"/>
  <c r="BJ134" i="7" s="1"/>
  <c r="BH193" i="7"/>
  <c r="BA193" i="7"/>
  <c r="BI102" i="7"/>
  <c r="BB102" i="7"/>
  <c r="BJ102" i="7" s="1"/>
  <c r="BH97" i="7"/>
  <c r="BA97" i="7"/>
  <c r="BI111" i="7"/>
  <c r="BB111" i="7"/>
  <c r="BJ111" i="7" s="1"/>
  <c r="BI92" i="7"/>
  <c r="BB92" i="7"/>
  <c r="BJ92" i="7" s="1"/>
  <c r="BH148" i="7"/>
  <c r="BA148" i="7"/>
  <c r="BH140" i="7"/>
  <c r="BA140" i="7"/>
  <c r="BH83" i="7"/>
  <c r="BA83" i="7"/>
  <c r="BH194" i="7"/>
  <c r="BA194" i="7"/>
  <c r="BH105" i="7"/>
  <c r="BA105" i="7"/>
  <c r="BI86" i="7"/>
  <c r="BB86" i="7"/>
  <c r="BJ86" i="7" s="1"/>
  <c r="BH163" i="7"/>
  <c r="BA163" i="7"/>
  <c r="BI195" i="7"/>
  <c r="BB195" i="7"/>
  <c r="BJ195" i="7" s="1"/>
  <c r="BH115" i="7"/>
  <c r="BA115" i="7"/>
  <c r="BH181" i="7"/>
  <c r="BA181" i="7"/>
  <c r="BI76" i="7"/>
  <c r="BB76" i="7"/>
  <c r="BJ76" i="7" s="1"/>
  <c r="BH192" i="7"/>
  <c r="BA192" i="7"/>
  <c r="BH108" i="7"/>
  <c r="BA108" i="7"/>
  <c r="BH77" i="7"/>
  <c r="BA77" i="7"/>
  <c r="BH80" i="7"/>
  <c r="BA80" i="7"/>
  <c r="BH93" i="7"/>
  <c r="BA93" i="7"/>
  <c r="BI177" i="7"/>
  <c r="BB177" i="7"/>
  <c r="BJ177" i="7" s="1"/>
  <c r="BH112" i="7"/>
  <c r="BA112" i="7"/>
  <c r="BI62" i="7"/>
  <c r="BB62" i="7"/>
  <c r="BJ62" i="7" s="1"/>
  <c r="BH176" i="7"/>
  <c r="BA176" i="7"/>
  <c r="BH96" i="7"/>
  <c r="BA96" i="7"/>
  <c r="BH179" i="7"/>
  <c r="BA179" i="7"/>
  <c r="BH116" i="7"/>
  <c r="BA116" i="7"/>
  <c r="BH170" i="7"/>
  <c r="BA170" i="7"/>
  <c r="BH33" i="7"/>
  <c r="BA33" i="7"/>
  <c r="BH185" i="7"/>
  <c r="BA185" i="7"/>
  <c r="BI113" i="7"/>
  <c r="BB113" i="7"/>
  <c r="BJ113" i="7" s="1"/>
  <c r="BH69" i="7"/>
  <c r="BA69" i="7"/>
  <c r="BI84" i="7"/>
  <c r="BB84" i="7"/>
  <c r="BJ84" i="7" s="1"/>
  <c r="BI55" i="7"/>
  <c r="BB55" i="7"/>
  <c r="BJ55" i="7" s="1"/>
  <c r="BH145" i="7"/>
  <c r="BA145" i="7"/>
  <c r="BH127" i="7"/>
  <c r="BA127" i="7"/>
  <c r="BH37" i="7"/>
  <c r="BA37" i="7"/>
  <c r="BH152" i="7"/>
  <c r="BA152" i="7"/>
  <c r="BH98" i="7"/>
  <c r="BA98" i="7"/>
  <c r="BI43" i="7"/>
  <c r="BB43" i="7"/>
  <c r="BJ43" i="7" s="1"/>
  <c r="BI147" i="7"/>
  <c r="BB147" i="7"/>
  <c r="BJ147" i="7" s="1"/>
  <c r="BI32" i="7"/>
  <c r="BB32" i="7"/>
  <c r="BJ32" i="7" s="1"/>
  <c r="BH146" i="7"/>
  <c r="BA146" i="7"/>
  <c r="BH144" i="7"/>
  <c r="BA144" i="7"/>
  <c r="BH173" i="7"/>
  <c r="BA173" i="7"/>
  <c r="BH118" i="7"/>
  <c r="BA118" i="7"/>
  <c r="BH172" i="7"/>
  <c r="BA172" i="7"/>
  <c r="BH124" i="7"/>
  <c r="BA124" i="7"/>
  <c r="BH71" i="7"/>
  <c r="BA71" i="7"/>
  <c r="BH52" i="7"/>
  <c r="BA52" i="7"/>
  <c r="BH42" i="7"/>
  <c r="BA42" i="7"/>
  <c r="BH88" i="7"/>
  <c r="BA88" i="7"/>
  <c r="BH64" i="7"/>
  <c r="BA64" i="7"/>
  <c r="BH28" i="7"/>
  <c r="BA28" i="7"/>
  <c r="BH44" i="7"/>
  <c r="BA44" i="7"/>
  <c r="BI180" i="7"/>
  <c r="BB180" i="7"/>
  <c r="BJ180" i="7" s="1"/>
  <c r="BI94" i="7"/>
  <c r="BB94" i="7"/>
  <c r="BJ94" i="7" s="1"/>
  <c r="BI104" i="7"/>
  <c r="BB104" i="7"/>
  <c r="BJ104" i="7" s="1"/>
  <c r="BH151" i="7"/>
  <c r="BA151" i="7"/>
  <c r="BH153" i="7"/>
  <c r="BA153" i="7"/>
  <c r="BH178" i="7"/>
  <c r="BA178" i="7"/>
  <c r="BH39" i="7"/>
  <c r="BA39" i="7"/>
  <c r="BH159" i="7"/>
  <c r="BA159" i="7"/>
  <c r="BH161" i="7"/>
  <c r="BA161" i="7"/>
  <c r="BH184" i="7"/>
  <c r="BA184" i="7"/>
  <c r="BI125" i="7"/>
  <c r="BB125" i="7"/>
  <c r="BJ125" i="7" s="1"/>
  <c r="BI158" i="7"/>
  <c r="BB158" i="7"/>
  <c r="BJ158" i="7" s="1"/>
  <c r="BH128" i="7"/>
  <c r="BA128" i="7"/>
  <c r="BH73" i="7"/>
  <c r="BA73" i="7"/>
  <c r="BH89" i="7"/>
  <c r="BA89" i="7"/>
  <c r="BI167" i="7"/>
  <c r="BB167" i="7"/>
  <c r="BJ167" i="7" s="1"/>
  <c r="BH131" i="7"/>
  <c r="BA131" i="7"/>
  <c r="BI57" i="7"/>
  <c r="BB57" i="7"/>
  <c r="BJ57" i="7" s="1"/>
  <c r="BH164" i="7"/>
  <c r="BA164" i="7"/>
  <c r="BH50" i="7"/>
  <c r="BA50" i="7"/>
  <c r="BI133" i="7"/>
  <c r="BB133" i="7"/>
  <c r="BJ133" i="7" s="1"/>
  <c r="BI82" i="7"/>
  <c r="BB82" i="7"/>
  <c r="BJ82" i="7" s="1"/>
  <c r="BH143" i="7"/>
  <c r="BA143" i="7"/>
  <c r="BH40" i="7"/>
  <c r="BA40" i="7"/>
  <c r="BH121" i="7"/>
  <c r="BA121" i="7"/>
  <c r="BI74" i="7"/>
  <c r="BB74" i="7"/>
  <c r="BJ74" i="7" s="1"/>
  <c r="BI141" i="7"/>
  <c r="BB141" i="7"/>
  <c r="BJ141" i="7" s="1"/>
  <c r="BH110" i="7"/>
  <c r="BA110" i="7"/>
  <c r="BH190" i="7"/>
  <c r="BA190" i="7"/>
  <c r="BH137" i="7"/>
  <c r="BA137" i="7"/>
  <c r="BH51" i="7"/>
  <c r="BA51" i="7"/>
  <c r="BH149" i="7"/>
  <c r="BA149" i="7"/>
  <c r="BH168" i="7"/>
  <c r="BA168" i="7"/>
  <c r="BH91" i="7"/>
  <c r="BA91" i="7"/>
  <c r="BH165" i="7"/>
  <c r="BA165" i="7"/>
  <c r="BH79" i="7"/>
  <c r="BA79" i="7"/>
  <c r="BH85" i="7"/>
  <c r="BA85" i="7"/>
  <c r="BH41" i="7"/>
  <c r="BA41" i="7"/>
  <c r="BI166" i="7"/>
  <c r="BB166" i="7"/>
  <c r="BJ166" i="7" s="1"/>
  <c r="BH174" i="7"/>
  <c r="BA174" i="7"/>
  <c r="BH175" i="7"/>
  <c r="BA175" i="7"/>
  <c r="BH182" i="7"/>
  <c r="BA182" i="7"/>
  <c r="BH156" i="7"/>
  <c r="BA156" i="7"/>
  <c r="BH186" i="7"/>
  <c r="BA186" i="7"/>
  <c r="BH138" i="7"/>
  <c r="BA138" i="7"/>
  <c r="BI45" i="7"/>
  <c r="BB45" i="7"/>
  <c r="BJ45" i="7" s="1"/>
  <c r="BH59" i="7"/>
  <c r="BA59" i="7"/>
  <c r="BI117" i="7"/>
  <c r="BB117" i="7"/>
  <c r="BJ117" i="7" s="1"/>
  <c r="BI100" i="7"/>
  <c r="BB100" i="7"/>
  <c r="BJ100" i="7" s="1"/>
  <c r="BH29" i="7"/>
  <c r="BA29" i="7"/>
  <c r="BH162" i="7"/>
  <c r="BA162" i="7"/>
  <c r="BH191" i="7"/>
  <c r="BA191" i="7"/>
  <c r="BH81" i="7"/>
  <c r="BA81" i="7"/>
  <c r="BH135" i="7"/>
  <c r="BA135" i="7"/>
  <c r="BI58" i="7"/>
  <c r="BB58" i="7"/>
  <c r="BJ58" i="7" s="1"/>
  <c r="BH48" i="7"/>
  <c r="BA48" i="7"/>
  <c r="BH119" i="7"/>
  <c r="BA119" i="7"/>
  <c r="BH63" i="7"/>
  <c r="BA63" i="7"/>
  <c r="BI99" i="7"/>
  <c r="BB99" i="7"/>
  <c r="BJ99" i="7" s="1"/>
  <c r="BI34" i="7"/>
  <c r="BB34" i="7"/>
  <c r="BJ34" i="7" s="1"/>
  <c r="BH107" i="7"/>
  <c r="BA107" i="7"/>
  <c r="BI48" i="7" l="1"/>
  <c r="BB48" i="7"/>
  <c r="BJ48" i="7" s="1"/>
  <c r="BI191" i="7"/>
  <c r="BB191" i="7"/>
  <c r="BJ191" i="7" s="1"/>
  <c r="BI182" i="7"/>
  <c r="BB182" i="7"/>
  <c r="BJ182" i="7" s="1"/>
  <c r="BI41" i="7"/>
  <c r="BB41" i="7"/>
  <c r="BJ41" i="7" s="1"/>
  <c r="BI91" i="7"/>
  <c r="BB91" i="7"/>
  <c r="BJ91" i="7" s="1"/>
  <c r="BI137" i="7"/>
  <c r="BB137" i="7"/>
  <c r="BJ137" i="7" s="1"/>
  <c r="BI110" i="7"/>
  <c r="BB110" i="7"/>
  <c r="BJ110" i="7" s="1"/>
  <c r="BI40" i="7"/>
  <c r="BB40" i="7"/>
  <c r="BJ40" i="7" s="1"/>
  <c r="BI50" i="7"/>
  <c r="BB50" i="7"/>
  <c r="BJ50" i="7" s="1"/>
  <c r="BI73" i="7"/>
  <c r="BB73" i="7"/>
  <c r="BJ73" i="7" s="1"/>
  <c r="BI184" i="7"/>
  <c r="BB184" i="7"/>
  <c r="BJ184" i="7" s="1"/>
  <c r="BI178" i="7"/>
  <c r="BB178" i="7"/>
  <c r="BJ178" i="7" s="1"/>
  <c r="BI151" i="7"/>
  <c r="BB151" i="7"/>
  <c r="BJ151" i="7" s="1"/>
  <c r="BI44" i="7"/>
  <c r="BB44" i="7"/>
  <c r="BJ44" i="7" s="1"/>
  <c r="BI71" i="7"/>
  <c r="BB71" i="7"/>
  <c r="BJ71" i="7" s="1"/>
  <c r="BI145" i="7"/>
  <c r="BB145" i="7"/>
  <c r="BJ145" i="7" s="1"/>
  <c r="BI116" i="7"/>
  <c r="BB116" i="7"/>
  <c r="BJ116" i="7" s="1"/>
  <c r="BI80" i="7"/>
  <c r="BB80" i="7"/>
  <c r="BJ80" i="7" s="1"/>
  <c r="BI108" i="7"/>
  <c r="BB108" i="7"/>
  <c r="BJ108" i="7" s="1"/>
  <c r="BI163" i="7"/>
  <c r="BB163" i="7"/>
  <c r="BJ163" i="7" s="1"/>
  <c r="BI83" i="7"/>
  <c r="BB83" i="7"/>
  <c r="BJ83" i="7" s="1"/>
  <c r="BI148" i="7"/>
  <c r="BB148" i="7"/>
  <c r="BJ148" i="7" s="1"/>
  <c r="BI35" i="7"/>
  <c r="BB35" i="7"/>
  <c r="BJ35" i="7" s="1"/>
  <c r="BE27" i="7"/>
  <c r="BE17" i="7" s="1"/>
  <c r="AX27" i="7"/>
  <c r="AX17" i="7" s="1"/>
  <c r="BI183" i="7"/>
  <c r="BB183" i="7"/>
  <c r="BJ183" i="7" s="1"/>
  <c r="BI114" i="7"/>
  <c r="BB114" i="7"/>
  <c r="BJ114" i="7" s="1"/>
  <c r="BI130" i="7"/>
  <c r="BB130" i="7"/>
  <c r="BJ130" i="7" s="1"/>
  <c r="BI157" i="7"/>
  <c r="BB157" i="7"/>
  <c r="BJ157" i="7" s="1"/>
  <c r="BI87" i="7"/>
  <c r="BB87" i="7"/>
  <c r="BJ87" i="7" s="1"/>
  <c r="BI78" i="7"/>
  <c r="BB78" i="7"/>
  <c r="BJ78" i="7" s="1"/>
  <c r="BI106" i="7"/>
  <c r="BB106" i="7"/>
  <c r="BJ106" i="7" s="1"/>
  <c r="BI120" i="7"/>
  <c r="BB120" i="7"/>
  <c r="BJ120" i="7" s="1"/>
  <c r="BI129" i="7"/>
  <c r="BB129" i="7"/>
  <c r="BJ129" i="7" s="1"/>
  <c r="BI75" i="7"/>
  <c r="BB75" i="7"/>
  <c r="BJ75" i="7" s="1"/>
  <c r="BI70" i="7"/>
  <c r="BB70" i="7"/>
  <c r="BJ70" i="7" s="1"/>
  <c r="BI66" i="7"/>
  <c r="BB66" i="7"/>
  <c r="BJ66" i="7" s="1"/>
  <c r="BI42" i="7"/>
  <c r="BB42" i="7"/>
  <c r="BJ42" i="7" s="1"/>
  <c r="BI173" i="7"/>
  <c r="BB173" i="7"/>
  <c r="BJ173" i="7" s="1"/>
  <c r="BI37" i="7"/>
  <c r="BB37" i="7"/>
  <c r="BJ37" i="7" s="1"/>
  <c r="BI96" i="7"/>
  <c r="BB96" i="7"/>
  <c r="BJ96" i="7" s="1"/>
  <c r="BI188" i="7"/>
  <c r="BB188" i="7"/>
  <c r="BJ188" i="7" s="1"/>
  <c r="BI119" i="7"/>
  <c r="BB119" i="7"/>
  <c r="BJ119" i="7" s="1"/>
  <c r="BI81" i="7"/>
  <c r="BB81" i="7"/>
  <c r="BJ81" i="7" s="1"/>
  <c r="BI59" i="7"/>
  <c r="BB59" i="7"/>
  <c r="BJ59" i="7" s="1"/>
  <c r="BI138" i="7"/>
  <c r="BB138" i="7"/>
  <c r="BJ138" i="7" s="1"/>
  <c r="BI156" i="7"/>
  <c r="BB156" i="7"/>
  <c r="BJ156" i="7" s="1"/>
  <c r="BI85" i="7"/>
  <c r="BB85" i="7"/>
  <c r="BJ85" i="7" s="1"/>
  <c r="BI165" i="7"/>
  <c r="BB165" i="7"/>
  <c r="BJ165" i="7" s="1"/>
  <c r="BI168" i="7"/>
  <c r="BB168" i="7"/>
  <c r="BJ168" i="7" s="1"/>
  <c r="BI51" i="7"/>
  <c r="BB51" i="7"/>
  <c r="BJ51" i="7" s="1"/>
  <c r="BI190" i="7"/>
  <c r="BB190" i="7"/>
  <c r="BJ190" i="7" s="1"/>
  <c r="BI121" i="7"/>
  <c r="BB121" i="7"/>
  <c r="BJ121" i="7" s="1"/>
  <c r="BI143" i="7"/>
  <c r="BB143" i="7"/>
  <c r="BJ143" i="7" s="1"/>
  <c r="BI164" i="7"/>
  <c r="BB164" i="7"/>
  <c r="BJ164" i="7" s="1"/>
  <c r="BI131" i="7"/>
  <c r="BB131" i="7"/>
  <c r="BJ131" i="7" s="1"/>
  <c r="BI89" i="7"/>
  <c r="BB89" i="7"/>
  <c r="BJ89" i="7" s="1"/>
  <c r="BI128" i="7"/>
  <c r="BB128" i="7"/>
  <c r="BJ128" i="7" s="1"/>
  <c r="BI161" i="7"/>
  <c r="BB161" i="7"/>
  <c r="BJ161" i="7" s="1"/>
  <c r="BI39" i="7"/>
  <c r="BB39" i="7"/>
  <c r="BJ39" i="7" s="1"/>
  <c r="BI153" i="7"/>
  <c r="BB153" i="7"/>
  <c r="BJ153" i="7" s="1"/>
  <c r="BI28" i="7"/>
  <c r="BB28" i="7"/>
  <c r="BJ28" i="7" s="1"/>
  <c r="BI88" i="7"/>
  <c r="BB88" i="7"/>
  <c r="BJ88" i="7" s="1"/>
  <c r="BI52" i="7"/>
  <c r="BB52" i="7"/>
  <c r="BJ52" i="7" s="1"/>
  <c r="BI124" i="7"/>
  <c r="BB124" i="7"/>
  <c r="BJ124" i="7" s="1"/>
  <c r="BI118" i="7"/>
  <c r="BB118" i="7"/>
  <c r="BJ118" i="7" s="1"/>
  <c r="BI144" i="7"/>
  <c r="BB144" i="7"/>
  <c r="BJ144" i="7" s="1"/>
  <c r="BI152" i="7"/>
  <c r="BB152" i="7"/>
  <c r="BJ152" i="7" s="1"/>
  <c r="BI127" i="7"/>
  <c r="BB127" i="7"/>
  <c r="BJ127" i="7" s="1"/>
  <c r="BI69" i="7"/>
  <c r="BB69" i="7"/>
  <c r="BJ69" i="7" s="1"/>
  <c r="BI185" i="7"/>
  <c r="BB185" i="7"/>
  <c r="BJ185" i="7" s="1"/>
  <c r="BI170" i="7"/>
  <c r="BB170" i="7"/>
  <c r="BJ170" i="7" s="1"/>
  <c r="BI179" i="7"/>
  <c r="BB179" i="7"/>
  <c r="BJ179" i="7" s="1"/>
  <c r="BI176" i="7"/>
  <c r="BB176" i="7"/>
  <c r="BJ176" i="7" s="1"/>
  <c r="BI112" i="7"/>
  <c r="BB112" i="7"/>
  <c r="BJ112" i="7" s="1"/>
  <c r="BI93" i="7"/>
  <c r="BB93" i="7"/>
  <c r="BJ93" i="7" s="1"/>
  <c r="BI77" i="7"/>
  <c r="BB77" i="7"/>
  <c r="BJ77" i="7" s="1"/>
  <c r="BI192" i="7"/>
  <c r="BB192" i="7"/>
  <c r="BJ192" i="7" s="1"/>
  <c r="BI181" i="7"/>
  <c r="BB181" i="7"/>
  <c r="BJ181" i="7" s="1"/>
  <c r="BI194" i="7"/>
  <c r="BB194" i="7"/>
  <c r="BJ194" i="7" s="1"/>
  <c r="BI140" i="7"/>
  <c r="BB140" i="7"/>
  <c r="BJ140" i="7" s="1"/>
  <c r="BI97" i="7"/>
  <c r="BB97" i="7"/>
  <c r="BJ97" i="7" s="1"/>
  <c r="BI193" i="7"/>
  <c r="BB193" i="7"/>
  <c r="BJ193" i="7" s="1"/>
  <c r="BI150" i="7"/>
  <c r="BB150" i="7"/>
  <c r="BJ150" i="7" s="1"/>
  <c r="BI90" i="7"/>
  <c r="BB90" i="7"/>
  <c r="BJ90" i="7" s="1"/>
  <c r="BI154" i="7"/>
  <c r="BB154" i="7"/>
  <c r="BJ154" i="7" s="1"/>
  <c r="BI49" i="7"/>
  <c r="BB49" i="7"/>
  <c r="BJ49" i="7" s="1"/>
  <c r="BI126" i="7"/>
  <c r="BB126" i="7"/>
  <c r="BJ126" i="7" s="1"/>
  <c r="BI56" i="7"/>
  <c r="BB56" i="7"/>
  <c r="BJ56" i="7" s="1"/>
  <c r="BI101" i="7"/>
  <c r="BB101" i="7"/>
  <c r="BJ101" i="7" s="1"/>
  <c r="BI189" i="7"/>
  <c r="BB189" i="7"/>
  <c r="BJ189" i="7" s="1"/>
  <c r="BI68" i="7"/>
  <c r="BB68" i="7"/>
  <c r="BJ68" i="7" s="1"/>
  <c r="BI187" i="7"/>
  <c r="BB187" i="7"/>
  <c r="BJ187" i="7" s="1"/>
  <c r="BI60" i="7"/>
  <c r="BB60" i="7"/>
  <c r="BJ60" i="7" s="1"/>
  <c r="BI136" i="7"/>
  <c r="BB136" i="7"/>
  <c r="BJ136" i="7" s="1"/>
  <c r="BI36" i="7"/>
  <c r="BB36" i="7"/>
  <c r="BJ36" i="7" s="1"/>
  <c r="BI46" i="7"/>
  <c r="BB46" i="7"/>
  <c r="BJ46" i="7" s="1"/>
  <c r="BI122" i="7"/>
  <c r="BB122" i="7"/>
  <c r="BJ122" i="7" s="1"/>
  <c r="BI132" i="7"/>
  <c r="BB132" i="7"/>
  <c r="BJ132" i="7" s="1"/>
  <c r="BI160" i="7"/>
  <c r="BB160" i="7"/>
  <c r="BJ160" i="7" s="1"/>
  <c r="BI169" i="7"/>
  <c r="BB169" i="7"/>
  <c r="BJ169" i="7" s="1"/>
  <c r="BI123" i="7"/>
  <c r="BB123" i="7"/>
  <c r="BJ123" i="7" s="1"/>
  <c r="BI109" i="7"/>
  <c r="BB109" i="7"/>
  <c r="BJ109" i="7" s="1"/>
  <c r="BI30" i="7"/>
  <c r="BB30" i="7"/>
  <c r="BJ30" i="7" s="1"/>
  <c r="BI171" i="7"/>
  <c r="BB171" i="7"/>
  <c r="BJ171" i="7" s="1"/>
  <c r="BI63" i="7"/>
  <c r="BB63" i="7"/>
  <c r="BJ63" i="7" s="1"/>
  <c r="BI135" i="7"/>
  <c r="BB135" i="7"/>
  <c r="BJ135" i="7" s="1"/>
  <c r="BI29" i="7"/>
  <c r="BB29" i="7"/>
  <c r="BJ29" i="7" s="1"/>
  <c r="BI186" i="7"/>
  <c r="BB186" i="7"/>
  <c r="BJ186" i="7" s="1"/>
  <c r="BI174" i="7"/>
  <c r="BB174" i="7"/>
  <c r="BJ174" i="7" s="1"/>
  <c r="BI79" i="7"/>
  <c r="BB79" i="7"/>
  <c r="BJ79" i="7" s="1"/>
  <c r="BI149" i="7"/>
  <c r="BB149" i="7"/>
  <c r="BJ149" i="7" s="1"/>
  <c r="BI159" i="7"/>
  <c r="BB159" i="7"/>
  <c r="BJ159" i="7" s="1"/>
  <c r="BI64" i="7"/>
  <c r="BB64" i="7"/>
  <c r="BJ64" i="7" s="1"/>
  <c r="BI172" i="7"/>
  <c r="BB172" i="7"/>
  <c r="BJ172" i="7" s="1"/>
  <c r="BI146" i="7"/>
  <c r="BB146" i="7"/>
  <c r="BJ146" i="7" s="1"/>
  <c r="BI98" i="7"/>
  <c r="BB98" i="7"/>
  <c r="BJ98" i="7" s="1"/>
  <c r="BI33" i="7"/>
  <c r="BB33" i="7"/>
  <c r="BJ33" i="7" s="1"/>
  <c r="BI115" i="7"/>
  <c r="BB115" i="7"/>
  <c r="BJ115" i="7" s="1"/>
  <c r="BI105" i="7"/>
  <c r="BB105" i="7"/>
  <c r="BJ105" i="7" s="1"/>
  <c r="BI61" i="7"/>
  <c r="BB61" i="7"/>
  <c r="BJ61" i="7" s="1"/>
  <c r="BI31" i="7"/>
  <c r="BB31" i="7"/>
  <c r="BJ31" i="7" s="1"/>
  <c r="BI38" i="7"/>
  <c r="BB38" i="7"/>
  <c r="BJ38" i="7" s="1"/>
  <c r="BI67" i="7"/>
  <c r="BB67" i="7"/>
  <c r="BJ67" i="7" s="1"/>
  <c r="BI53" i="7"/>
  <c r="BB53" i="7"/>
  <c r="BJ53" i="7" s="1"/>
  <c r="BI54" i="7"/>
  <c r="BB54" i="7"/>
  <c r="BJ54" i="7" s="1"/>
  <c r="BI107" i="7"/>
  <c r="BB107" i="7"/>
  <c r="BJ107" i="7" s="1"/>
  <c r="BI162" i="7"/>
  <c r="BB162" i="7"/>
  <c r="BJ162" i="7" s="1"/>
  <c r="BI175" i="7"/>
  <c r="BB175" i="7"/>
  <c r="BJ175" i="7" s="1"/>
  <c r="BF27" i="7" l="1"/>
  <c r="BF17" i="7" s="1"/>
  <c r="AY27" i="7"/>
  <c r="AY17" i="7" s="1"/>
  <c r="BG27" i="7" l="1"/>
  <c r="BG17" i="7" s="1"/>
  <c r="AZ27" i="7"/>
  <c r="AZ17" i="7" s="1"/>
  <c r="BH27" i="7" l="1"/>
  <c r="BH17" i="7" s="1"/>
  <c r="BA27" i="7"/>
  <c r="BA17" i="7" s="1"/>
  <c r="BI27" i="7" l="1"/>
  <c r="BI17" i="7" s="1"/>
  <c r="BB27" i="7"/>
  <c r="BJ27" i="7" l="1"/>
  <c r="BJ17" i="7" s="1"/>
  <c r="BB17" i="7"/>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7" i="2" l="1"/>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C11" i="6"/>
  <c r="D11" i="6" s="1"/>
  <c r="E11" i="6" s="1"/>
  <c r="F11" i="6" s="1"/>
  <c r="G11" i="6" s="1"/>
  <c r="H11" i="6" s="1"/>
  <c r="I11" i="6" s="1"/>
  <c r="J11" i="6" s="1"/>
  <c r="K11" i="6" s="1"/>
  <c r="L11" i="6" s="1"/>
  <c r="M11" i="6" s="1"/>
  <c r="N11" i="6" s="1"/>
  <c r="O11" i="6" s="1"/>
  <c r="P11" i="6" s="1"/>
  <c r="Q11" i="6" s="1"/>
  <c r="R11" i="6" s="1"/>
  <c r="S11" i="6" s="1"/>
  <c r="T11" i="6" s="1"/>
  <c r="U11" i="6" s="1"/>
  <c r="V11" i="6" s="1"/>
  <c r="W11" i="6" s="1"/>
  <c r="X11" i="6" s="1"/>
  <c r="Y11" i="6" s="1"/>
  <c r="Z11" i="6" s="1"/>
  <c r="AA11" i="6" s="1"/>
  <c r="AB11" i="6" s="1"/>
  <c r="AC11" i="6" s="1"/>
  <c r="AD11" i="6" s="1"/>
  <c r="AE11" i="6" s="1"/>
  <c r="AF11" i="6" s="1"/>
  <c r="AG11" i="6" s="1"/>
  <c r="AH11" i="6" s="1"/>
  <c r="AI11" i="6" s="1"/>
  <c r="AJ11" i="6" s="1"/>
  <c r="AK11" i="6" s="1"/>
  <c r="AL11" i="6" s="1"/>
  <c r="AM11" i="6" s="1"/>
  <c r="AN11" i="6" s="1"/>
  <c r="AO11" i="6" s="1"/>
  <c r="AP11" i="6" s="1"/>
  <c r="AQ11" i="6" s="1"/>
  <c r="AR11" i="6" s="1"/>
  <c r="AS11" i="6" s="1"/>
  <c r="AT11" i="6" s="1"/>
  <c r="AU11" i="6" s="1"/>
  <c r="AV11" i="6" s="1"/>
  <c r="C240" i="4"/>
  <c r="D240" i="4" s="1"/>
  <c r="C239" i="4"/>
  <c r="D239" i="4" s="1"/>
  <c r="C238" i="4"/>
  <c r="D238" i="4" s="1"/>
  <c r="C237" i="4"/>
  <c r="D237" i="4" s="1"/>
  <c r="C236" i="4"/>
  <c r="D236" i="4" s="1"/>
  <c r="C235" i="4"/>
  <c r="D235" i="4" s="1"/>
  <c r="C234" i="4"/>
  <c r="D234" i="4" s="1"/>
  <c r="C233" i="4"/>
  <c r="D233" i="4" s="1"/>
  <c r="C232" i="4"/>
  <c r="D232" i="4" s="1"/>
  <c r="C231" i="4"/>
  <c r="D231" i="4" s="1"/>
  <c r="C230" i="4"/>
  <c r="D230" i="4" s="1"/>
  <c r="C229" i="4"/>
  <c r="D229" i="4" s="1"/>
  <c r="C228" i="4"/>
  <c r="D228" i="4" s="1"/>
  <c r="C227" i="4"/>
  <c r="D227" i="4" s="1"/>
  <c r="C226" i="4"/>
  <c r="D226" i="4" s="1"/>
  <c r="C225" i="4"/>
  <c r="D225" i="4" s="1"/>
  <c r="C224" i="4"/>
  <c r="D224" i="4" s="1"/>
  <c r="C223" i="4"/>
  <c r="D223" i="4" s="1"/>
  <c r="C222" i="4"/>
  <c r="D222" i="4" s="1"/>
  <c r="C221" i="4"/>
  <c r="D221" i="4" s="1"/>
  <c r="C220" i="4"/>
  <c r="D220" i="4" s="1"/>
  <c r="C219" i="4"/>
  <c r="D219" i="4" s="1"/>
  <c r="C218" i="4"/>
  <c r="D218" i="4" s="1"/>
  <c r="C217" i="4"/>
  <c r="D217" i="4" s="1"/>
  <c r="C216" i="4"/>
  <c r="D216" i="4" s="1"/>
  <c r="C215" i="4"/>
  <c r="D215" i="4" s="1"/>
  <c r="C214" i="4"/>
  <c r="D214" i="4" s="1"/>
  <c r="C213" i="4"/>
  <c r="D213" i="4" s="1"/>
  <c r="C212" i="4"/>
  <c r="D212" i="4" s="1"/>
  <c r="C211" i="4"/>
  <c r="D211" i="4" s="1"/>
  <c r="C210" i="4"/>
  <c r="D210" i="4" s="1"/>
  <c r="C209" i="4"/>
  <c r="D209" i="4" s="1"/>
  <c r="C208" i="4"/>
  <c r="D208" i="4" s="1"/>
  <c r="C207" i="4"/>
  <c r="D207" i="4" s="1"/>
  <c r="C206" i="4"/>
  <c r="D206" i="4" s="1"/>
  <c r="C205" i="4"/>
  <c r="D205" i="4" s="1"/>
  <c r="C204" i="4"/>
  <c r="D204" i="4" s="1"/>
  <c r="C203" i="4"/>
  <c r="D203" i="4" s="1"/>
  <c r="C202" i="4"/>
  <c r="D202" i="4" s="1"/>
  <c r="C201" i="4"/>
  <c r="D201" i="4" s="1"/>
  <c r="C200" i="4"/>
  <c r="D200" i="4" s="1"/>
  <c r="C199" i="4"/>
  <c r="D199" i="4" s="1"/>
  <c r="C198" i="4"/>
  <c r="D198" i="4" s="1"/>
  <c r="C197" i="4"/>
  <c r="D197" i="4" s="1"/>
  <c r="C196" i="4"/>
  <c r="D196" i="4" s="1"/>
  <c r="C195" i="4"/>
  <c r="D195" i="4" s="1"/>
  <c r="C194" i="4"/>
  <c r="D194" i="4" s="1"/>
  <c r="C193" i="4"/>
  <c r="D193" i="4" s="1"/>
  <c r="C192" i="4"/>
  <c r="D192" i="4" s="1"/>
  <c r="C191" i="4"/>
  <c r="D191" i="4" s="1"/>
  <c r="C190" i="4"/>
  <c r="D190" i="4" s="1"/>
  <c r="C189" i="4"/>
  <c r="D189" i="4" s="1"/>
  <c r="C188" i="4"/>
  <c r="D188" i="4" s="1"/>
  <c r="C187" i="4"/>
  <c r="D187" i="4" s="1"/>
  <c r="C186" i="4"/>
  <c r="D186" i="4" s="1"/>
  <c r="C185" i="4"/>
  <c r="D185" i="4" s="1"/>
  <c r="C184" i="4"/>
  <c r="D184" i="4" s="1"/>
  <c r="C183" i="4"/>
  <c r="D183" i="4" s="1"/>
  <c r="C182" i="4"/>
  <c r="D182" i="4" s="1"/>
  <c r="C181" i="4"/>
  <c r="D181" i="4" s="1"/>
  <c r="C180" i="4"/>
  <c r="D180" i="4" s="1"/>
  <c r="C179" i="4"/>
  <c r="D179" i="4" s="1"/>
  <c r="C178" i="4"/>
  <c r="D178" i="4" s="1"/>
  <c r="C177" i="4"/>
  <c r="D177" i="4" s="1"/>
  <c r="C176" i="4"/>
  <c r="D176" i="4" s="1"/>
  <c r="C175" i="4"/>
  <c r="D175" i="4" s="1"/>
  <c r="C174" i="4"/>
  <c r="D174" i="4" s="1"/>
  <c r="C173" i="4"/>
  <c r="D173" i="4" s="1"/>
  <c r="C172" i="4"/>
  <c r="D172" i="4" s="1"/>
  <c r="C171" i="4"/>
  <c r="D171" i="4" s="1"/>
  <c r="C170" i="4"/>
  <c r="D170" i="4" s="1"/>
  <c r="C169" i="4"/>
  <c r="D169" i="4" s="1"/>
  <c r="C168" i="4"/>
  <c r="D168" i="4" s="1"/>
  <c r="C167" i="4"/>
  <c r="D167" i="4" s="1"/>
  <c r="C166" i="4"/>
  <c r="D166" i="4" s="1"/>
  <c r="C165" i="4"/>
  <c r="D165" i="4" s="1"/>
  <c r="C164" i="4"/>
  <c r="D164" i="4" s="1"/>
  <c r="C163" i="4"/>
  <c r="D163" i="4" s="1"/>
  <c r="C162" i="4"/>
  <c r="D162" i="4" s="1"/>
  <c r="C161" i="4"/>
  <c r="D161" i="4" s="1"/>
  <c r="C160" i="4"/>
  <c r="D160" i="4" s="1"/>
  <c r="C159" i="4"/>
  <c r="D159" i="4" s="1"/>
  <c r="C158" i="4"/>
  <c r="D158" i="4" s="1"/>
  <c r="C157" i="4"/>
  <c r="D157" i="4" s="1"/>
  <c r="C156" i="4"/>
  <c r="D156" i="4" s="1"/>
  <c r="C155" i="4"/>
  <c r="D155" i="4" s="1"/>
  <c r="C154" i="4"/>
  <c r="D154" i="4" s="1"/>
  <c r="C153" i="4"/>
  <c r="D153" i="4" s="1"/>
  <c r="C152" i="4"/>
  <c r="D152" i="4" s="1"/>
  <c r="C151" i="4"/>
  <c r="D151" i="4" s="1"/>
  <c r="C150" i="4"/>
  <c r="D150" i="4" s="1"/>
  <c r="C149" i="4"/>
  <c r="D149" i="4" s="1"/>
  <c r="C148" i="4"/>
  <c r="D148" i="4" s="1"/>
  <c r="C147" i="4"/>
  <c r="D147" i="4" s="1"/>
  <c r="C146" i="4"/>
  <c r="D146" i="4" s="1"/>
  <c r="C145" i="4"/>
  <c r="D145" i="4" s="1"/>
  <c r="C144" i="4"/>
  <c r="D144" i="4" s="1"/>
  <c r="C143" i="4"/>
  <c r="D143" i="4" s="1"/>
  <c r="C142" i="4"/>
  <c r="D142" i="4" s="1"/>
  <c r="C141" i="4"/>
  <c r="D141" i="4" s="1"/>
  <c r="C140" i="4"/>
  <c r="D140" i="4" s="1"/>
  <c r="C139" i="4"/>
  <c r="D139" i="4" s="1"/>
  <c r="C138" i="4"/>
  <c r="D138" i="4" s="1"/>
  <c r="C137" i="4"/>
  <c r="D137" i="4" s="1"/>
  <c r="C136" i="4"/>
  <c r="D136" i="4" s="1"/>
  <c r="C135" i="4"/>
  <c r="D135" i="4" s="1"/>
  <c r="C134" i="4"/>
  <c r="D134" i="4" s="1"/>
  <c r="C133" i="4"/>
  <c r="D133" i="4" s="1"/>
  <c r="C132" i="4"/>
  <c r="D132" i="4" s="1"/>
  <c r="C131" i="4"/>
  <c r="D131" i="4" s="1"/>
  <c r="C130" i="4"/>
  <c r="D130" i="4" s="1"/>
  <c r="C129" i="4"/>
  <c r="D129" i="4" s="1"/>
  <c r="C128" i="4"/>
  <c r="D128" i="4" s="1"/>
  <c r="C127" i="4"/>
  <c r="D127" i="4" s="1"/>
  <c r="C126" i="4"/>
  <c r="D126" i="4" s="1"/>
  <c r="C125" i="4"/>
  <c r="D125" i="4" s="1"/>
  <c r="C124" i="4"/>
  <c r="D124" i="4" s="1"/>
  <c r="C123" i="4"/>
  <c r="D123" i="4" s="1"/>
  <c r="C122" i="4"/>
  <c r="D122" i="4" s="1"/>
  <c r="C121" i="4"/>
  <c r="D121" i="4" s="1"/>
  <c r="C120" i="4"/>
  <c r="D120" i="4" s="1"/>
  <c r="C119" i="4"/>
  <c r="D119" i="4" s="1"/>
  <c r="C118" i="4"/>
  <c r="D118" i="4" s="1"/>
  <c r="C117" i="4"/>
  <c r="D117" i="4" s="1"/>
  <c r="C116" i="4"/>
  <c r="D116" i="4" s="1"/>
  <c r="C115" i="4"/>
  <c r="D115" i="4" s="1"/>
  <c r="C114" i="4"/>
  <c r="D114" i="4" s="1"/>
  <c r="C113" i="4"/>
  <c r="D113" i="4" s="1"/>
  <c r="C112" i="4"/>
  <c r="D112" i="4" s="1"/>
  <c r="C111" i="4"/>
  <c r="D111" i="4" s="1"/>
  <c r="C110" i="4"/>
  <c r="D110" i="4" s="1"/>
  <c r="C109" i="4"/>
  <c r="D109" i="4" s="1"/>
  <c r="C108" i="4"/>
  <c r="D108" i="4" s="1"/>
  <c r="C107" i="4"/>
  <c r="D107" i="4" s="1"/>
  <c r="C106" i="4"/>
  <c r="D106" i="4" s="1"/>
  <c r="C105" i="4"/>
  <c r="D105" i="4" s="1"/>
  <c r="C104" i="4"/>
  <c r="D104" i="4" s="1"/>
  <c r="C103" i="4"/>
  <c r="D103" i="4" s="1"/>
  <c r="C102" i="4"/>
  <c r="D102" i="4" s="1"/>
  <c r="C101" i="4"/>
  <c r="D101" i="4" s="1"/>
  <c r="C100" i="4"/>
  <c r="D100" i="4" s="1"/>
  <c r="C99" i="4"/>
  <c r="D99" i="4" s="1"/>
  <c r="C98" i="4"/>
  <c r="D98" i="4" s="1"/>
  <c r="C97" i="4"/>
  <c r="D97" i="4" s="1"/>
  <c r="C96" i="4"/>
  <c r="D96" i="4" s="1"/>
  <c r="C95" i="4"/>
  <c r="D95" i="4" s="1"/>
  <c r="C94" i="4"/>
  <c r="D94" i="4" s="1"/>
  <c r="C93" i="4"/>
  <c r="D93" i="4" s="1"/>
  <c r="C92" i="4"/>
  <c r="D92" i="4" s="1"/>
  <c r="C91" i="4"/>
  <c r="D91" i="4" s="1"/>
  <c r="C90" i="4"/>
  <c r="D90" i="4" s="1"/>
  <c r="C89" i="4"/>
  <c r="D89" i="4" s="1"/>
  <c r="C88" i="4"/>
  <c r="D88" i="4" s="1"/>
  <c r="C87" i="4"/>
  <c r="D87" i="4" s="1"/>
  <c r="C86" i="4"/>
  <c r="D86" i="4" s="1"/>
  <c r="C85" i="4"/>
  <c r="D85" i="4" s="1"/>
  <c r="C84" i="4"/>
  <c r="D84" i="4" s="1"/>
  <c r="C83" i="4"/>
  <c r="D83" i="4" s="1"/>
  <c r="C82" i="4"/>
  <c r="D82" i="4" s="1"/>
  <c r="C81" i="4"/>
  <c r="D81" i="4" s="1"/>
  <c r="C80" i="4"/>
  <c r="D80" i="4" s="1"/>
  <c r="C79" i="4"/>
  <c r="D79" i="4" s="1"/>
  <c r="C78" i="4"/>
  <c r="D78" i="4" s="1"/>
  <c r="C77" i="4"/>
  <c r="D77" i="4" s="1"/>
  <c r="C76" i="4"/>
  <c r="D76" i="4" s="1"/>
  <c r="C75" i="4"/>
  <c r="D75" i="4" s="1"/>
  <c r="C74" i="4"/>
  <c r="D74" i="4" s="1"/>
  <c r="C73" i="4"/>
  <c r="D73" i="4" s="1"/>
  <c r="C72" i="4"/>
  <c r="D72" i="4" s="1"/>
  <c r="C65" i="4"/>
  <c r="D65" i="4" s="1"/>
  <c r="E65" i="4" s="1"/>
  <c r="F65" i="4" s="1"/>
  <c r="G65" i="4" s="1"/>
  <c r="H65" i="4" s="1"/>
  <c r="I65" i="4" s="1"/>
  <c r="J65" i="4" s="1"/>
  <c r="K65" i="4" s="1"/>
  <c r="L65" i="4" s="1"/>
  <c r="M65" i="4" s="1"/>
  <c r="N65" i="4" s="1"/>
  <c r="O65" i="4" s="1"/>
  <c r="P65" i="4" s="1"/>
  <c r="Q65" i="4" s="1"/>
  <c r="R65" i="4" s="1"/>
  <c r="S65" i="4" s="1"/>
  <c r="T65" i="4" s="1"/>
  <c r="U65" i="4" s="1"/>
  <c r="V65" i="4" s="1"/>
  <c r="W65" i="4" s="1"/>
  <c r="X65" i="4" s="1"/>
  <c r="Y65" i="4" s="1"/>
  <c r="Z65" i="4" s="1"/>
  <c r="AA65" i="4" s="1"/>
  <c r="AB65" i="4" s="1"/>
  <c r="AC65" i="4" s="1"/>
  <c r="AD65" i="4" s="1"/>
  <c r="AE65" i="4" s="1"/>
  <c r="AF65" i="4" s="1"/>
  <c r="AG65" i="4" s="1"/>
  <c r="AH65" i="4" s="1"/>
  <c r="AI65" i="4" s="1"/>
  <c r="AJ65" i="4" s="1"/>
  <c r="AK65" i="4" s="1"/>
  <c r="AL65" i="4" s="1"/>
  <c r="AM65" i="4" s="1"/>
  <c r="AN65" i="4" s="1"/>
  <c r="AO65" i="4" s="1"/>
  <c r="AP65" i="4" s="1"/>
  <c r="AQ65" i="4" s="1"/>
  <c r="AR65" i="4" s="1"/>
  <c r="AS65" i="4" s="1"/>
  <c r="AT65" i="4" s="1"/>
  <c r="F61" i="4"/>
  <c r="E61" i="4"/>
  <c r="E62" i="4" s="1"/>
  <c r="D61" i="4"/>
  <c r="K34" i="4"/>
  <c r="L34" i="4" s="1"/>
  <c r="M34" i="4" s="1"/>
  <c r="N34" i="4" s="1"/>
  <c r="O34" i="4" s="1"/>
  <c r="P34" i="4" s="1"/>
  <c r="Q34" i="4" s="1"/>
  <c r="R34" i="4" s="1"/>
  <c r="S34" i="4" s="1"/>
  <c r="E34" i="4"/>
  <c r="K33" i="4"/>
  <c r="L33" i="4" s="1"/>
  <c r="M33" i="4" s="1"/>
  <c r="N33" i="4" s="1"/>
  <c r="O33" i="4" s="1"/>
  <c r="P33" i="4" s="1"/>
  <c r="Q33" i="4" s="1"/>
  <c r="R33" i="4" s="1"/>
  <c r="S33" i="4" s="1"/>
  <c r="S27" i="4"/>
  <c r="R27" i="4"/>
  <c r="Q27" i="4"/>
  <c r="P27" i="4"/>
  <c r="O27" i="4"/>
  <c r="N27" i="4"/>
  <c r="M27" i="4"/>
  <c r="L27" i="4"/>
  <c r="K27" i="4"/>
  <c r="S23" i="4"/>
  <c r="R23" i="4"/>
  <c r="Q23" i="4"/>
  <c r="P23" i="4"/>
  <c r="O23" i="4"/>
  <c r="N23" i="4"/>
  <c r="M23" i="4"/>
  <c r="L23" i="4"/>
  <c r="K23" i="4"/>
  <c r="K26" i="4" s="1"/>
  <c r="F62" i="4" l="1"/>
  <c r="D62" i="4"/>
  <c r="S26" i="4"/>
  <c r="M26" i="4"/>
  <c r="Q26" i="4"/>
  <c r="O26" i="4"/>
  <c r="L26" i="4"/>
  <c r="P26" i="4"/>
  <c r="N26" i="4"/>
  <c r="R26" i="4"/>
  <c r="I123" i="1"/>
  <c r="H123" i="1"/>
  <c r="G123" i="1"/>
  <c r="F123" i="1"/>
  <c r="E123" i="1"/>
  <c r="D123" i="1"/>
  <c r="C123" i="1"/>
  <c r="I91" i="1" l="1"/>
  <c r="H91" i="1"/>
  <c r="G91" i="1"/>
  <c r="F91" i="1"/>
  <c r="E91" i="1"/>
  <c r="D91" i="1"/>
  <c r="C91" i="1"/>
  <c r="M170" i="3" l="1"/>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M2" i="3"/>
  <c r="X183" i="2" l="1"/>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E33" i="4" l="1"/>
  <c r="E32" i="1"/>
  <c r="Y183" i="2" s="1"/>
  <c r="E33" i="1"/>
  <c r="Z183" i="2" s="1"/>
  <c r="V183" i="2"/>
  <c r="L183" i="2"/>
  <c r="M183" i="2" s="1"/>
  <c r="V182" i="2"/>
  <c r="L182" i="2"/>
  <c r="M182" i="2" s="1"/>
  <c r="V181" i="2"/>
  <c r="L181" i="2"/>
  <c r="M181" i="2" s="1"/>
  <c r="V180" i="2"/>
  <c r="L180" i="2"/>
  <c r="M180" i="2" s="1"/>
  <c r="V179" i="2"/>
  <c r="L179" i="2"/>
  <c r="M179" i="2" s="1"/>
  <c r="V178" i="2"/>
  <c r="L178" i="2"/>
  <c r="M178" i="2" s="1"/>
  <c r="V177" i="2"/>
  <c r="L177" i="2"/>
  <c r="M177" i="2" s="1"/>
  <c r="V176" i="2"/>
  <c r="L176" i="2"/>
  <c r="M176" i="2" s="1"/>
  <c r="V175" i="2"/>
  <c r="L175" i="2"/>
  <c r="M175" i="2" s="1"/>
  <c r="V174" i="2"/>
  <c r="L174" i="2"/>
  <c r="M174" i="2" s="1"/>
  <c r="V173" i="2"/>
  <c r="L173" i="2"/>
  <c r="M173" i="2" s="1"/>
  <c r="V172" i="2"/>
  <c r="L172" i="2"/>
  <c r="M172" i="2" s="1"/>
  <c r="V171" i="2"/>
  <c r="L171" i="2"/>
  <c r="M171" i="2" s="1"/>
  <c r="V170" i="2"/>
  <c r="L170" i="2"/>
  <c r="M170" i="2" s="1"/>
  <c r="V169" i="2"/>
  <c r="L169" i="2"/>
  <c r="M169" i="2" s="1"/>
  <c r="V168" i="2"/>
  <c r="L168" i="2"/>
  <c r="M168" i="2" s="1"/>
  <c r="V167" i="2"/>
  <c r="L167" i="2"/>
  <c r="M167" i="2" s="1"/>
  <c r="V166" i="2"/>
  <c r="L166" i="2"/>
  <c r="M166" i="2" s="1"/>
  <c r="V165" i="2"/>
  <c r="L165" i="2"/>
  <c r="M165" i="2" s="1"/>
  <c r="V164" i="2"/>
  <c r="L164" i="2"/>
  <c r="M164" i="2" s="1"/>
  <c r="V163" i="2"/>
  <c r="L163" i="2"/>
  <c r="M163" i="2" s="1"/>
  <c r="V162" i="2"/>
  <c r="L162" i="2"/>
  <c r="M162" i="2" s="1"/>
  <c r="V161" i="2"/>
  <c r="L161" i="2"/>
  <c r="M161" i="2" s="1"/>
  <c r="V160" i="2"/>
  <c r="L160" i="2"/>
  <c r="M160" i="2" s="1"/>
  <c r="V159" i="2"/>
  <c r="L159" i="2"/>
  <c r="M159" i="2" s="1"/>
  <c r="V158" i="2"/>
  <c r="L158" i="2"/>
  <c r="M158" i="2" s="1"/>
  <c r="V157" i="2"/>
  <c r="L157" i="2"/>
  <c r="M157" i="2" s="1"/>
  <c r="V156" i="2"/>
  <c r="L156" i="2"/>
  <c r="M156" i="2" s="1"/>
  <c r="V155" i="2"/>
  <c r="L155" i="2"/>
  <c r="M155" i="2" s="1"/>
  <c r="V154" i="2"/>
  <c r="L154" i="2"/>
  <c r="M154" i="2" s="1"/>
  <c r="V153" i="2"/>
  <c r="L153" i="2"/>
  <c r="M153" i="2" s="1"/>
  <c r="V152" i="2"/>
  <c r="L152" i="2"/>
  <c r="M152" i="2" s="1"/>
  <c r="V151" i="2"/>
  <c r="L151" i="2"/>
  <c r="M151" i="2" s="1"/>
  <c r="V150" i="2"/>
  <c r="L150" i="2"/>
  <c r="M150" i="2" s="1"/>
  <c r="V149" i="2"/>
  <c r="L149" i="2"/>
  <c r="M149" i="2" s="1"/>
  <c r="V148" i="2"/>
  <c r="L148" i="2"/>
  <c r="M148" i="2" s="1"/>
  <c r="V147" i="2"/>
  <c r="L147" i="2"/>
  <c r="M147" i="2" s="1"/>
  <c r="V146" i="2"/>
  <c r="L146" i="2"/>
  <c r="M146" i="2" s="1"/>
  <c r="V145" i="2"/>
  <c r="L145" i="2"/>
  <c r="M145" i="2" s="1"/>
  <c r="V144" i="2"/>
  <c r="L144" i="2"/>
  <c r="M144" i="2" s="1"/>
  <c r="V143" i="2"/>
  <c r="L143" i="2"/>
  <c r="M143" i="2" s="1"/>
  <c r="V142" i="2"/>
  <c r="L142" i="2"/>
  <c r="M142" i="2" s="1"/>
  <c r="V141" i="2"/>
  <c r="L141" i="2"/>
  <c r="M141" i="2" s="1"/>
  <c r="V140" i="2"/>
  <c r="L140" i="2"/>
  <c r="M140" i="2" s="1"/>
  <c r="V139" i="2"/>
  <c r="L139" i="2"/>
  <c r="M139" i="2" s="1"/>
  <c r="V138" i="2"/>
  <c r="L138" i="2"/>
  <c r="M138" i="2" s="1"/>
  <c r="V137" i="2"/>
  <c r="L137" i="2"/>
  <c r="M137" i="2" s="1"/>
  <c r="V136" i="2"/>
  <c r="L136" i="2"/>
  <c r="M136" i="2" s="1"/>
  <c r="V135" i="2"/>
  <c r="L135" i="2"/>
  <c r="M135" i="2" s="1"/>
  <c r="V134" i="2"/>
  <c r="L134" i="2"/>
  <c r="M134" i="2" s="1"/>
  <c r="V133" i="2"/>
  <c r="L133" i="2"/>
  <c r="M133" i="2" s="1"/>
  <c r="V132" i="2"/>
  <c r="L132" i="2"/>
  <c r="M132" i="2" s="1"/>
  <c r="V131" i="2"/>
  <c r="L131" i="2"/>
  <c r="M131" i="2" s="1"/>
  <c r="V130" i="2"/>
  <c r="L130" i="2"/>
  <c r="M130" i="2" s="1"/>
  <c r="V129" i="2"/>
  <c r="L129" i="2"/>
  <c r="M129" i="2" s="1"/>
  <c r="V128" i="2"/>
  <c r="L128" i="2"/>
  <c r="M128" i="2" s="1"/>
  <c r="V127" i="2"/>
  <c r="L127" i="2"/>
  <c r="M127" i="2" s="1"/>
  <c r="V126" i="2"/>
  <c r="L126" i="2"/>
  <c r="M126" i="2" s="1"/>
  <c r="V125" i="2"/>
  <c r="L125" i="2"/>
  <c r="M125" i="2" s="1"/>
  <c r="V124" i="2"/>
  <c r="L124" i="2"/>
  <c r="M124" i="2" s="1"/>
  <c r="V123" i="2"/>
  <c r="L123" i="2"/>
  <c r="M123" i="2" s="1"/>
  <c r="V122" i="2"/>
  <c r="L122" i="2"/>
  <c r="M122" i="2" s="1"/>
  <c r="V121" i="2"/>
  <c r="L121" i="2"/>
  <c r="M121" i="2" s="1"/>
  <c r="V120" i="2"/>
  <c r="L120" i="2"/>
  <c r="M120" i="2" s="1"/>
  <c r="V119" i="2"/>
  <c r="L119" i="2"/>
  <c r="M119" i="2" s="1"/>
  <c r="V118" i="2"/>
  <c r="L118" i="2"/>
  <c r="M118" i="2" s="1"/>
  <c r="V117" i="2"/>
  <c r="L117" i="2"/>
  <c r="M117" i="2" s="1"/>
  <c r="V116" i="2"/>
  <c r="L116" i="2"/>
  <c r="M116" i="2" s="1"/>
  <c r="V115" i="2"/>
  <c r="L115" i="2"/>
  <c r="M115" i="2" s="1"/>
  <c r="V114" i="2"/>
  <c r="L114" i="2"/>
  <c r="M114" i="2" s="1"/>
  <c r="V113" i="2"/>
  <c r="L113" i="2"/>
  <c r="M113" i="2" s="1"/>
  <c r="V112" i="2"/>
  <c r="L112" i="2"/>
  <c r="M112" i="2" s="1"/>
  <c r="V111" i="2"/>
  <c r="L111" i="2"/>
  <c r="M111" i="2" s="1"/>
  <c r="V110" i="2"/>
  <c r="L110" i="2"/>
  <c r="M110" i="2" s="1"/>
  <c r="V109" i="2"/>
  <c r="L109" i="2"/>
  <c r="M109" i="2" s="1"/>
  <c r="V108" i="2"/>
  <c r="L108" i="2"/>
  <c r="M108" i="2" s="1"/>
  <c r="V107" i="2"/>
  <c r="L107" i="2"/>
  <c r="M107" i="2" s="1"/>
  <c r="V106" i="2"/>
  <c r="L106" i="2"/>
  <c r="M106" i="2" s="1"/>
  <c r="V105" i="2"/>
  <c r="L105" i="2"/>
  <c r="M105" i="2" s="1"/>
  <c r="V104" i="2"/>
  <c r="L104" i="2"/>
  <c r="M104" i="2" s="1"/>
  <c r="V103" i="2"/>
  <c r="L103" i="2"/>
  <c r="M103" i="2" s="1"/>
  <c r="V102" i="2"/>
  <c r="L102" i="2"/>
  <c r="M102" i="2" s="1"/>
  <c r="V101" i="2"/>
  <c r="L101" i="2"/>
  <c r="M101" i="2" s="1"/>
  <c r="V100" i="2"/>
  <c r="L100" i="2"/>
  <c r="M100" i="2" s="1"/>
  <c r="V99" i="2"/>
  <c r="L99" i="2"/>
  <c r="M99" i="2" s="1"/>
  <c r="V98" i="2"/>
  <c r="L98" i="2"/>
  <c r="M98" i="2" s="1"/>
  <c r="V97" i="2"/>
  <c r="L97" i="2"/>
  <c r="M97" i="2" s="1"/>
  <c r="V96" i="2"/>
  <c r="L96" i="2"/>
  <c r="M96" i="2" s="1"/>
  <c r="V95" i="2"/>
  <c r="L95" i="2"/>
  <c r="M95" i="2" s="1"/>
  <c r="V94" i="2"/>
  <c r="L94" i="2"/>
  <c r="M94" i="2" s="1"/>
  <c r="V93" i="2"/>
  <c r="L93" i="2"/>
  <c r="M93" i="2" s="1"/>
  <c r="V92" i="2"/>
  <c r="L92" i="2"/>
  <c r="M92" i="2" s="1"/>
  <c r="V91" i="2"/>
  <c r="L91" i="2"/>
  <c r="M91" i="2" s="1"/>
  <c r="V90" i="2"/>
  <c r="L90" i="2"/>
  <c r="M90" i="2" s="1"/>
  <c r="V89" i="2"/>
  <c r="L89" i="2"/>
  <c r="M89" i="2" s="1"/>
  <c r="V88" i="2"/>
  <c r="L88" i="2"/>
  <c r="M88" i="2" s="1"/>
  <c r="V87" i="2"/>
  <c r="L87" i="2"/>
  <c r="M87" i="2" s="1"/>
  <c r="V86" i="2"/>
  <c r="L86" i="2"/>
  <c r="M86" i="2" s="1"/>
  <c r="V85" i="2"/>
  <c r="L85" i="2"/>
  <c r="M85" i="2" s="1"/>
  <c r="V84" i="2"/>
  <c r="L84" i="2"/>
  <c r="M84" i="2" s="1"/>
  <c r="V83" i="2"/>
  <c r="L83" i="2"/>
  <c r="M83" i="2" s="1"/>
  <c r="V82" i="2"/>
  <c r="L82" i="2"/>
  <c r="M82" i="2" s="1"/>
  <c r="V81" i="2"/>
  <c r="L81" i="2"/>
  <c r="M81" i="2" s="1"/>
  <c r="V80" i="2"/>
  <c r="L80" i="2"/>
  <c r="M80" i="2" s="1"/>
  <c r="V79" i="2"/>
  <c r="L79" i="2"/>
  <c r="M79" i="2" s="1"/>
  <c r="V78" i="2"/>
  <c r="L78" i="2"/>
  <c r="M78" i="2" s="1"/>
  <c r="V77" i="2"/>
  <c r="L77" i="2"/>
  <c r="M77" i="2" s="1"/>
  <c r="V76" i="2"/>
  <c r="L76" i="2"/>
  <c r="M76" i="2" s="1"/>
  <c r="V75" i="2"/>
  <c r="L75" i="2"/>
  <c r="M75" i="2" s="1"/>
  <c r="V74" i="2"/>
  <c r="L74" i="2"/>
  <c r="M74" i="2" s="1"/>
  <c r="V73" i="2"/>
  <c r="L73" i="2"/>
  <c r="M73" i="2" s="1"/>
  <c r="V72" i="2"/>
  <c r="L72" i="2"/>
  <c r="M72" i="2" s="1"/>
  <c r="V71" i="2"/>
  <c r="L71" i="2"/>
  <c r="M71" i="2" s="1"/>
  <c r="V70" i="2"/>
  <c r="L70" i="2"/>
  <c r="M70" i="2" s="1"/>
  <c r="V69" i="2"/>
  <c r="L69" i="2"/>
  <c r="M69" i="2" s="1"/>
  <c r="V68" i="2"/>
  <c r="L68" i="2"/>
  <c r="M68" i="2" s="1"/>
  <c r="V67" i="2"/>
  <c r="L67" i="2"/>
  <c r="M67" i="2" s="1"/>
  <c r="V66" i="2"/>
  <c r="L66" i="2"/>
  <c r="M66" i="2" s="1"/>
  <c r="V65" i="2"/>
  <c r="L65" i="2"/>
  <c r="M65" i="2" s="1"/>
  <c r="V64" i="2"/>
  <c r="L64" i="2"/>
  <c r="M64" i="2" s="1"/>
  <c r="V63" i="2"/>
  <c r="L63" i="2"/>
  <c r="M63" i="2" s="1"/>
  <c r="V62" i="2"/>
  <c r="L62" i="2"/>
  <c r="M62" i="2" s="1"/>
  <c r="V61" i="2"/>
  <c r="L61" i="2"/>
  <c r="M61" i="2" s="1"/>
  <c r="V60" i="2"/>
  <c r="L60" i="2"/>
  <c r="M60" i="2" s="1"/>
  <c r="V59" i="2"/>
  <c r="L59" i="2"/>
  <c r="M59" i="2" s="1"/>
  <c r="V58" i="2"/>
  <c r="L58" i="2"/>
  <c r="M58" i="2" s="1"/>
  <c r="V57" i="2"/>
  <c r="L57" i="2"/>
  <c r="M57" i="2" s="1"/>
  <c r="V56" i="2"/>
  <c r="L56" i="2"/>
  <c r="M56" i="2" s="1"/>
  <c r="V55" i="2"/>
  <c r="L55" i="2"/>
  <c r="M55" i="2" s="1"/>
  <c r="V54" i="2"/>
  <c r="L54" i="2"/>
  <c r="M54" i="2" s="1"/>
  <c r="V53" i="2"/>
  <c r="L53" i="2"/>
  <c r="M53" i="2" s="1"/>
  <c r="V52" i="2"/>
  <c r="L52" i="2"/>
  <c r="M52" i="2" s="1"/>
  <c r="V51" i="2"/>
  <c r="L51" i="2"/>
  <c r="M51" i="2" s="1"/>
  <c r="V50" i="2"/>
  <c r="L50" i="2"/>
  <c r="M50" i="2" s="1"/>
  <c r="V49" i="2"/>
  <c r="L49" i="2"/>
  <c r="M49" i="2" s="1"/>
  <c r="V48" i="2"/>
  <c r="L48" i="2"/>
  <c r="M48" i="2" s="1"/>
  <c r="V47" i="2"/>
  <c r="L47" i="2"/>
  <c r="M47" i="2" s="1"/>
  <c r="V46" i="2"/>
  <c r="L46" i="2"/>
  <c r="M46" i="2" s="1"/>
  <c r="V45" i="2"/>
  <c r="L45" i="2"/>
  <c r="M45" i="2" s="1"/>
  <c r="V44" i="2"/>
  <c r="L44" i="2"/>
  <c r="M44" i="2" s="1"/>
  <c r="V43" i="2"/>
  <c r="L43" i="2"/>
  <c r="M43" i="2" s="1"/>
  <c r="V42" i="2"/>
  <c r="L42" i="2"/>
  <c r="M42" i="2" s="1"/>
  <c r="V41" i="2"/>
  <c r="L41" i="2"/>
  <c r="M41" i="2" s="1"/>
  <c r="V40" i="2"/>
  <c r="L40" i="2"/>
  <c r="M40" i="2" s="1"/>
  <c r="V39" i="2"/>
  <c r="L39" i="2"/>
  <c r="M39" i="2" s="1"/>
  <c r="V38" i="2"/>
  <c r="L38" i="2"/>
  <c r="M38" i="2" s="1"/>
  <c r="V37" i="2"/>
  <c r="L37" i="2"/>
  <c r="M37" i="2" s="1"/>
  <c r="V36" i="2"/>
  <c r="L36" i="2"/>
  <c r="M36" i="2" s="1"/>
  <c r="V35" i="2"/>
  <c r="L35" i="2"/>
  <c r="M35" i="2" s="1"/>
  <c r="V34" i="2"/>
  <c r="L34" i="2"/>
  <c r="M34" i="2" s="1"/>
  <c r="V33" i="2"/>
  <c r="L33" i="2"/>
  <c r="M33" i="2" s="1"/>
  <c r="V32" i="2"/>
  <c r="L32" i="2"/>
  <c r="M32" i="2" s="1"/>
  <c r="V31" i="2"/>
  <c r="L31" i="2"/>
  <c r="M31" i="2" s="1"/>
  <c r="V30" i="2"/>
  <c r="L30" i="2"/>
  <c r="M30" i="2" s="1"/>
  <c r="V29" i="2"/>
  <c r="L29" i="2"/>
  <c r="M29" i="2" s="1"/>
  <c r="V28" i="2"/>
  <c r="L28" i="2"/>
  <c r="M28" i="2" s="1"/>
  <c r="V27" i="2"/>
  <c r="L27" i="2"/>
  <c r="M27" i="2" s="1"/>
  <c r="V26" i="2"/>
  <c r="L26" i="2"/>
  <c r="M26" i="2" s="1"/>
  <c r="V25" i="2"/>
  <c r="L25" i="2"/>
  <c r="M25" i="2" s="1"/>
  <c r="V24" i="2"/>
  <c r="L24" i="2"/>
  <c r="M24" i="2" s="1"/>
  <c r="V23" i="2"/>
  <c r="L23" i="2"/>
  <c r="M23" i="2" s="1"/>
  <c r="V22" i="2"/>
  <c r="L22" i="2"/>
  <c r="M22" i="2" s="1"/>
  <c r="V21" i="2"/>
  <c r="L21" i="2"/>
  <c r="M21" i="2" s="1"/>
  <c r="V20" i="2"/>
  <c r="L20" i="2"/>
  <c r="M20" i="2" s="1"/>
  <c r="V19" i="2"/>
  <c r="L19" i="2"/>
  <c r="M19" i="2" s="1"/>
  <c r="V18" i="2"/>
  <c r="L18" i="2"/>
  <c r="M18" i="2" s="1"/>
  <c r="V17" i="2"/>
  <c r="L17" i="2"/>
  <c r="M17" i="2" s="1"/>
  <c r="V16" i="2"/>
  <c r="L16" i="2"/>
  <c r="M16" i="2" s="1"/>
  <c r="V15" i="2"/>
  <c r="L15" i="2"/>
  <c r="M15" i="2" s="1"/>
  <c r="E60" i="1"/>
  <c r="F60" i="1" s="1"/>
  <c r="G60" i="1" s="1"/>
  <c r="H60" i="1" s="1"/>
  <c r="I60" i="1" s="1"/>
  <c r="J60" i="1" s="1"/>
  <c r="K60" i="1" s="1"/>
  <c r="L60" i="1" s="1"/>
  <c r="D81" i="1"/>
  <c r="Z35" i="2" l="1"/>
  <c r="Z36" i="2"/>
  <c r="Z27" i="2"/>
  <c r="Z28" i="2"/>
  <c r="Z42" i="2"/>
  <c r="Z43" i="2"/>
  <c r="Z44" i="2"/>
  <c r="Z45" i="2"/>
  <c r="Z53" i="2"/>
  <c r="Z61" i="2"/>
  <c r="Z62" i="2"/>
  <c r="Z63" i="2"/>
  <c r="Z64" i="2"/>
  <c r="Z65" i="2"/>
  <c r="Z74" i="2"/>
  <c r="Z98" i="2"/>
  <c r="Z99" i="2"/>
  <c r="Z114" i="2"/>
  <c r="Z115" i="2"/>
  <c r="Z116" i="2"/>
  <c r="Z15" i="2"/>
  <c r="Z16" i="2"/>
  <c r="Z17" i="2"/>
  <c r="Z18" i="2"/>
  <c r="Z19" i="2"/>
  <c r="Z20" i="2"/>
  <c r="Z21" i="2"/>
  <c r="Z29" i="2"/>
  <c r="Z37" i="2"/>
  <c r="Z46" i="2"/>
  <c r="Z54" i="2"/>
  <c r="Z55" i="2"/>
  <c r="Z56" i="2"/>
  <c r="Z57" i="2"/>
  <c r="Z58" i="2"/>
  <c r="Z66" i="2"/>
  <c r="Z67" i="2"/>
  <c r="Z68" i="2"/>
  <c r="Z75" i="2"/>
  <c r="Z78" i="2"/>
  <c r="Z79" i="2"/>
  <c r="Z80" i="2"/>
  <c r="Z81" i="2"/>
  <c r="Z82" i="2"/>
  <c r="Z105" i="2"/>
  <c r="Z106" i="2"/>
  <c r="Z107" i="2"/>
  <c r="Z110" i="2"/>
  <c r="Z152" i="2"/>
  <c r="Y21" i="2"/>
  <c r="Z30" i="2"/>
  <c r="Z31" i="2"/>
  <c r="Z32" i="2"/>
  <c r="Z33" i="2"/>
  <c r="Z38" i="2"/>
  <c r="Z39" i="2"/>
  <c r="Z40" i="2"/>
  <c r="Z41" i="2"/>
  <c r="Y46" i="2"/>
  <c r="Z47" i="2"/>
  <c r="Z48" i="2"/>
  <c r="Z49" i="2"/>
  <c r="Z50" i="2"/>
  <c r="Z59" i="2"/>
  <c r="Z69" i="2"/>
  <c r="Z70" i="2"/>
  <c r="Z71" i="2"/>
  <c r="Z22" i="2"/>
  <c r="Z23" i="2"/>
  <c r="Z24" i="2"/>
  <c r="Z25" i="2"/>
  <c r="Z26" i="2"/>
  <c r="Z34" i="2"/>
  <c r="Y41" i="2"/>
  <c r="AA41" i="2" s="1"/>
  <c r="B46" i="6" s="1"/>
  <c r="Z51" i="2"/>
  <c r="Z52" i="2"/>
  <c r="Z60" i="2"/>
  <c r="Z72" i="2"/>
  <c r="Z73" i="2"/>
  <c r="Z87" i="2"/>
  <c r="Z88" i="2"/>
  <c r="Z89" i="2"/>
  <c r="Z92" i="2"/>
  <c r="Y35" i="2"/>
  <c r="Y30" i="2"/>
  <c r="Y61" i="2"/>
  <c r="AA61" i="2" s="1"/>
  <c r="B66" i="6" s="1"/>
  <c r="D82" i="1"/>
  <c r="Z147" i="2"/>
  <c r="Y78" i="2"/>
  <c r="Z143" i="2"/>
  <c r="Z157" i="2"/>
  <c r="E82" i="1"/>
  <c r="W120" i="2"/>
  <c r="W27" i="2"/>
  <c r="W35" i="2"/>
  <c r="W43" i="2"/>
  <c r="Z161" i="2"/>
  <c r="Z163" i="2"/>
  <c r="Y75" i="2"/>
  <c r="W65" i="2"/>
  <c r="Y174" i="2"/>
  <c r="W30" i="2"/>
  <c r="W46" i="2"/>
  <c r="W74" i="2"/>
  <c r="Y82" i="2"/>
  <c r="W92" i="2"/>
  <c r="Z93" i="2"/>
  <c r="W97" i="2"/>
  <c r="Z111" i="2"/>
  <c r="Z112" i="2"/>
  <c r="W116" i="2"/>
  <c r="W117" i="2"/>
  <c r="Z118" i="2"/>
  <c r="Z119" i="2"/>
  <c r="W131" i="2"/>
  <c r="W133" i="2"/>
  <c r="W135" i="2"/>
  <c r="Z137" i="2"/>
  <c r="Z141" i="2"/>
  <c r="Z144" i="2"/>
  <c r="Z148" i="2"/>
  <c r="W149" i="2"/>
  <c r="Z164" i="2"/>
  <c r="W19" i="2"/>
  <c r="Z77" i="2"/>
  <c r="Z83" i="2"/>
  <c r="Z86" i="2"/>
  <c r="W90" i="2"/>
  <c r="Z102" i="2"/>
  <c r="Z103" i="2"/>
  <c r="Z104" i="2"/>
  <c r="Y137" i="2"/>
  <c r="Y138" i="2"/>
  <c r="Z139" i="2"/>
  <c r="Y148" i="2"/>
  <c r="Y149" i="2"/>
  <c r="Z151" i="2"/>
  <c r="Z155" i="2"/>
  <c r="Y164" i="2"/>
  <c r="AA164" i="2" s="1"/>
  <c r="B169" i="6" s="1"/>
  <c r="Z165" i="2"/>
  <c r="Z166" i="2"/>
  <c r="Z167" i="2"/>
  <c r="W33" i="2"/>
  <c r="W45" i="2"/>
  <c r="W47" i="2"/>
  <c r="W61" i="2"/>
  <c r="W69" i="2"/>
  <c r="W82" i="2"/>
  <c r="W89" i="2"/>
  <c r="W91" i="2"/>
  <c r="W96" i="2"/>
  <c r="W99" i="2"/>
  <c r="W108" i="2"/>
  <c r="W109" i="2"/>
  <c r="Y168" i="2"/>
  <c r="Y169" i="2"/>
  <c r="W22" i="2"/>
  <c r="W53" i="2"/>
  <c r="W54" i="2"/>
  <c r="W55" i="2"/>
  <c r="W66" i="2"/>
  <c r="W113" i="2"/>
  <c r="Y121" i="2"/>
  <c r="W15" i="2"/>
  <c r="W23" i="2"/>
  <c r="W84" i="2"/>
  <c r="W85" i="2"/>
  <c r="W98" i="2"/>
  <c r="Y117" i="2"/>
  <c r="W119" i="2"/>
  <c r="Y129" i="2"/>
  <c r="W18" i="2"/>
  <c r="W183" i="2"/>
  <c r="W21" i="2"/>
  <c r="W28" i="2"/>
  <c r="W38" i="2"/>
  <c r="W50" i="2"/>
  <c r="W51" i="2"/>
  <c r="W77" i="2"/>
  <c r="W121" i="2"/>
  <c r="W25" i="2"/>
  <c r="W29" i="2"/>
  <c r="W36" i="2"/>
  <c r="W37" i="2"/>
  <c r="W52" i="2"/>
  <c r="W64" i="2"/>
  <c r="W70" i="2"/>
  <c r="W71" i="2"/>
  <c r="W83" i="2"/>
  <c r="W88" i="2"/>
  <c r="W93" i="2"/>
  <c r="W100" i="2"/>
  <c r="W101" i="2"/>
  <c r="W106" i="2"/>
  <c r="W107" i="2"/>
  <c r="W123" i="2"/>
  <c r="W125" i="2"/>
  <c r="W127" i="2"/>
  <c r="W129" i="2"/>
  <c r="W175" i="2"/>
  <c r="Y49" i="2"/>
  <c r="Y57" i="2"/>
  <c r="Y64" i="2"/>
  <c r="Y89" i="2"/>
  <c r="Y114" i="2"/>
  <c r="Y130" i="2"/>
  <c r="Y140" i="2"/>
  <c r="Y161" i="2"/>
  <c r="Y165" i="2"/>
  <c r="Y180" i="2"/>
  <c r="Y19" i="2"/>
  <c r="Y27" i="2"/>
  <c r="AA27" i="2" s="1"/>
  <c r="B32" i="6" s="1"/>
  <c r="Y32" i="2"/>
  <c r="Y36" i="2"/>
  <c r="AA36" i="2" s="1"/>
  <c r="B41" i="6" s="1"/>
  <c r="Y42" i="2"/>
  <c r="AA42" i="2" s="1"/>
  <c r="B47" i="6" s="1"/>
  <c r="Y47" i="2"/>
  <c r="Y55" i="2"/>
  <c r="Y62" i="2"/>
  <c r="Y67" i="2"/>
  <c r="Y72" i="2"/>
  <c r="Y80" i="2"/>
  <c r="Y94" i="2"/>
  <c r="Y95" i="2"/>
  <c r="Y113" i="2"/>
  <c r="Y115" i="2"/>
  <c r="Y125" i="2"/>
  <c r="Y133" i="2"/>
  <c r="Y144" i="2"/>
  <c r="Y145" i="2"/>
  <c r="Y152" i="2"/>
  <c r="Y153" i="2"/>
  <c r="Y158" i="2"/>
  <c r="Y171" i="2"/>
  <c r="Y15" i="2"/>
  <c r="AA19" i="2"/>
  <c r="B24" i="6" s="1"/>
  <c r="Y24" i="2"/>
  <c r="Y39" i="2"/>
  <c r="Y45" i="2"/>
  <c r="Y86" i="2"/>
  <c r="Y106" i="2"/>
  <c r="Y122" i="2"/>
  <c r="Y139" i="2"/>
  <c r="Y162" i="2"/>
  <c r="Y175" i="2"/>
  <c r="Y181" i="2"/>
  <c r="Y17" i="2"/>
  <c r="Y22" i="2"/>
  <c r="Y26" i="2"/>
  <c r="Y43" i="2"/>
  <c r="Y63" i="2"/>
  <c r="Y71" i="2"/>
  <c r="Y84" i="2"/>
  <c r="Y96" i="2"/>
  <c r="Y99" i="2"/>
  <c r="Y108" i="2"/>
  <c r="Y111" i="2"/>
  <c r="Y126" i="2"/>
  <c r="Y134" i="2"/>
  <c r="Y156" i="2"/>
  <c r="Y159" i="2"/>
  <c r="Y167" i="2"/>
  <c r="Y178" i="2"/>
  <c r="Y16" i="2"/>
  <c r="Y20" i="2"/>
  <c r="Y23" i="2"/>
  <c r="Y29" i="2"/>
  <c r="Y34" i="2"/>
  <c r="AA34" i="2" s="1"/>
  <c r="B39" i="6" s="1"/>
  <c r="Y38" i="2"/>
  <c r="Y51" i="2"/>
  <c r="Y53" i="2"/>
  <c r="Y54" i="2"/>
  <c r="Y56" i="2"/>
  <c r="Y59" i="2"/>
  <c r="Y60" i="2"/>
  <c r="Y65" i="2"/>
  <c r="Y70" i="2"/>
  <c r="Y73" i="2"/>
  <c r="Y74" i="2"/>
  <c r="Y76" i="2"/>
  <c r="Y77" i="2"/>
  <c r="Y79" i="2"/>
  <c r="Y85" i="2"/>
  <c r="Y88" i="2"/>
  <c r="Y90" i="2"/>
  <c r="Y93" i="2"/>
  <c r="Y97" i="2"/>
  <c r="Y98" i="2"/>
  <c r="Y103" i="2"/>
  <c r="Y105" i="2"/>
  <c r="Y109" i="2"/>
  <c r="Y110" i="2"/>
  <c r="Y119" i="2"/>
  <c r="Y123" i="2"/>
  <c r="Y127" i="2"/>
  <c r="Y131" i="2"/>
  <c r="Y135" i="2"/>
  <c r="Y141" i="2"/>
  <c r="Y142" i="2"/>
  <c r="Y146" i="2"/>
  <c r="Y150" i="2"/>
  <c r="Y154" i="2"/>
  <c r="Y157" i="2"/>
  <c r="Y160" i="2"/>
  <c r="Y163" i="2"/>
  <c r="Y172" i="2"/>
  <c r="Y173" i="2"/>
  <c r="Y176" i="2"/>
  <c r="Y179" i="2"/>
  <c r="Y182" i="2"/>
  <c r="Y18" i="2"/>
  <c r="Y25" i="2"/>
  <c r="Y28" i="2"/>
  <c r="Y31" i="2"/>
  <c r="Y33" i="2"/>
  <c r="Y37" i="2"/>
  <c r="Y40" i="2"/>
  <c r="Y44" i="2"/>
  <c r="Y48" i="2"/>
  <c r="Y50" i="2"/>
  <c r="Y52" i="2"/>
  <c r="Y58" i="2"/>
  <c r="Y66" i="2"/>
  <c r="Y68" i="2"/>
  <c r="Y69" i="2"/>
  <c r="Y81" i="2"/>
  <c r="Y83" i="2"/>
  <c r="Y87" i="2"/>
  <c r="Y91" i="2"/>
  <c r="Y92" i="2"/>
  <c r="Y100" i="2"/>
  <c r="Y101" i="2"/>
  <c r="Y102" i="2"/>
  <c r="Y104" i="2"/>
  <c r="Y107" i="2"/>
  <c r="Y112" i="2"/>
  <c r="Y116" i="2"/>
  <c r="Y118" i="2"/>
  <c r="Y120" i="2"/>
  <c r="Y124" i="2"/>
  <c r="Y128" i="2"/>
  <c r="Y132" i="2"/>
  <c r="Y136" i="2"/>
  <c r="Y143" i="2"/>
  <c r="Y147" i="2"/>
  <c r="Y151" i="2"/>
  <c r="Y155" i="2"/>
  <c r="Y166" i="2"/>
  <c r="Y170" i="2"/>
  <c r="Y177" i="2"/>
  <c r="AA183" i="2"/>
  <c r="B188" i="6" s="1"/>
  <c r="Z84" i="2"/>
  <c r="Z85" i="2"/>
  <c r="Z94" i="2"/>
  <c r="Z95" i="2"/>
  <c r="Z96" i="2"/>
  <c r="Z97" i="2"/>
  <c r="Z108" i="2"/>
  <c r="Z109" i="2"/>
  <c r="Z117" i="2"/>
  <c r="Z120" i="2"/>
  <c r="Z122" i="2"/>
  <c r="Z124" i="2"/>
  <c r="Z126" i="2"/>
  <c r="Z128" i="2"/>
  <c r="Z130" i="2"/>
  <c r="Z132" i="2"/>
  <c r="Z134" i="2"/>
  <c r="Z136" i="2"/>
  <c r="Z140" i="2"/>
  <c r="Z146" i="2"/>
  <c r="Z149" i="2"/>
  <c r="Z154" i="2"/>
  <c r="Z156" i="2"/>
  <c r="Z159" i="2"/>
  <c r="Z160" i="2"/>
  <c r="Z162" i="2"/>
  <c r="Z76" i="2"/>
  <c r="Z90" i="2"/>
  <c r="Z91" i="2"/>
  <c r="Z100" i="2"/>
  <c r="Z101" i="2"/>
  <c r="Z113" i="2"/>
  <c r="Z121" i="2"/>
  <c r="Z123" i="2"/>
  <c r="Z125" i="2"/>
  <c r="Z127" i="2"/>
  <c r="Z129" i="2"/>
  <c r="Z131" i="2"/>
  <c r="Z133" i="2"/>
  <c r="Z135" i="2"/>
  <c r="Z138" i="2"/>
  <c r="Z142" i="2"/>
  <c r="Z145" i="2"/>
  <c r="Z150" i="2"/>
  <c r="Z153" i="2"/>
  <c r="Z158" i="2"/>
  <c r="Z168" i="2"/>
  <c r="W147" i="2"/>
  <c r="W155" i="2"/>
  <c r="W173" i="2"/>
  <c r="W181" i="2"/>
  <c r="W26" i="2"/>
  <c r="W57" i="2"/>
  <c r="W58" i="2"/>
  <c r="W104" i="2"/>
  <c r="W105" i="2"/>
  <c r="W31" i="2"/>
  <c r="W34" i="2"/>
  <c r="W41" i="2"/>
  <c r="W44" i="2"/>
  <c r="W76" i="2"/>
  <c r="W115" i="2"/>
  <c r="W145" i="2"/>
  <c r="W153" i="2"/>
  <c r="W171" i="2"/>
  <c r="W179" i="2"/>
  <c r="W17" i="2"/>
  <c r="W20" i="2"/>
  <c r="W39" i="2"/>
  <c r="W42" i="2"/>
  <c r="W49" i="2"/>
  <c r="W60" i="2"/>
  <c r="W67" i="2"/>
  <c r="W68" i="2"/>
  <c r="W80" i="2"/>
  <c r="W81" i="2"/>
  <c r="W112" i="2"/>
  <c r="W151" i="2"/>
  <c r="W169" i="2"/>
  <c r="W177" i="2"/>
  <c r="W59" i="2"/>
  <c r="W72" i="2"/>
  <c r="W75" i="2"/>
  <c r="W86" i="2"/>
  <c r="W94" i="2"/>
  <c r="W102" i="2"/>
  <c r="W110" i="2"/>
  <c r="W114" i="2"/>
  <c r="W118" i="2"/>
  <c r="W141" i="2"/>
  <c r="W161" i="2"/>
  <c r="W16" i="2"/>
  <c r="W24" i="2"/>
  <c r="W32" i="2"/>
  <c r="W40" i="2"/>
  <c r="W48" i="2"/>
  <c r="W56" i="2"/>
  <c r="W62" i="2"/>
  <c r="W63" i="2"/>
  <c r="W73" i="2"/>
  <c r="W78" i="2"/>
  <c r="W79" i="2"/>
  <c r="W87" i="2"/>
  <c r="W95" i="2"/>
  <c r="W103" i="2"/>
  <c r="W111" i="2"/>
  <c r="W143" i="2"/>
  <c r="W139" i="2"/>
  <c r="W137" i="2"/>
  <c r="W122" i="2"/>
  <c r="W124" i="2"/>
  <c r="W126" i="2"/>
  <c r="W128" i="2"/>
  <c r="W130" i="2"/>
  <c r="W132" i="2"/>
  <c r="W134" i="2"/>
  <c r="W136" i="2"/>
  <c r="W138" i="2"/>
  <c r="W140" i="2"/>
  <c r="W142" i="2"/>
  <c r="W144" i="2"/>
  <c r="W146" i="2"/>
  <c r="W148" i="2"/>
  <c r="W150" i="2"/>
  <c r="W152" i="2"/>
  <c r="W154" i="2"/>
  <c r="W157" i="2"/>
  <c r="W158" i="2"/>
  <c r="W170" i="2"/>
  <c r="W172" i="2"/>
  <c r="W174" i="2"/>
  <c r="W176" i="2"/>
  <c r="W178" i="2"/>
  <c r="W180" i="2"/>
  <c r="W182" i="2"/>
  <c r="W162" i="2"/>
  <c r="W165" i="2"/>
  <c r="W166" i="2"/>
  <c r="W159" i="2"/>
  <c r="W163" i="2"/>
  <c r="W167" i="2"/>
  <c r="W156" i="2"/>
  <c r="W160" i="2"/>
  <c r="W164" i="2"/>
  <c r="W168" i="2"/>
  <c r="Z169" i="2"/>
  <c r="Z170" i="2"/>
  <c r="Z171" i="2"/>
  <c r="Z172" i="2"/>
  <c r="Z173" i="2"/>
  <c r="Z174" i="2"/>
  <c r="Z175" i="2"/>
  <c r="Z176" i="2"/>
  <c r="Z177" i="2"/>
  <c r="Z178" i="2"/>
  <c r="Z179" i="2"/>
  <c r="Z180" i="2"/>
  <c r="Z181" i="2"/>
  <c r="Z182" i="2"/>
  <c r="AA37" i="2" l="1"/>
  <c r="B42" i="6" s="1"/>
  <c r="G42" i="6" s="1"/>
  <c r="AA67" i="2"/>
  <c r="B72" i="6" s="1"/>
  <c r="G72" i="6" s="1"/>
  <c r="AA64" i="2"/>
  <c r="B69" i="6" s="1"/>
  <c r="AA144" i="2"/>
  <c r="B149" i="6" s="1"/>
  <c r="AA106" i="2"/>
  <c r="B111" i="6" s="1"/>
  <c r="G111" i="6" s="1"/>
  <c r="AA24" i="2"/>
  <c r="B29" i="6" s="1"/>
  <c r="G29" i="6" s="1"/>
  <c r="AA72" i="2"/>
  <c r="B77" i="6" s="1"/>
  <c r="G77" i="6" s="1"/>
  <c r="AA89" i="2"/>
  <c r="B94" i="6" s="1"/>
  <c r="G94" i="6" s="1"/>
  <c r="G169" i="6"/>
  <c r="G47" i="6"/>
  <c r="G39" i="6"/>
  <c r="G149" i="6"/>
  <c r="G66" i="6"/>
  <c r="G46" i="6"/>
  <c r="G69" i="6"/>
  <c r="G32" i="6"/>
  <c r="G188" i="6"/>
  <c r="G24" i="6"/>
  <c r="G41" i="6"/>
  <c r="B94" i="4"/>
  <c r="E94" i="4" s="1"/>
  <c r="F94" i="4" s="1"/>
  <c r="B91" i="4"/>
  <c r="E91" i="4" s="1"/>
  <c r="F91" i="4" s="1"/>
  <c r="B124" i="4"/>
  <c r="E124" i="4" s="1"/>
  <c r="F124" i="4" s="1"/>
  <c r="B121" i="4"/>
  <c r="E121" i="4" s="1"/>
  <c r="F121" i="4" s="1"/>
  <c r="B76" i="4"/>
  <c r="E76" i="4" s="1"/>
  <c r="F76" i="4" s="1"/>
  <c r="B99" i="4"/>
  <c r="E99" i="4" s="1"/>
  <c r="F99" i="4" s="1"/>
  <c r="B221" i="4"/>
  <c r="E221" i="4" s="1"/>
  <c r="F221" i="4" s="1"/>
  <c r="B240" i="4"/>
  <c r="E240" i="4" s="1"/>
  <c r="F240" i="4" s="1"/>
  <c r="B93" i="4"/>
  <c r="E93" i="4" s="1"/>
  <c r="F93" i="4" s="1"/>
  <c r="B201" i="4"/>
  <c r="E201" i="4" s="1"/>
  <c r="F201" i="4" s="1"/>
  <c r="B84" i="4"/>
  <c r="E84" i="4" s="1"/>
  <c r="F84" i="4" s="1"/>
  <c r="B118" i="4"/>
  <c r="E118" i="4" s="1"/>
  <c r="F118" i="4" s="1"/>
  <c r="B98" i="4"/>
  <c r="E98" i="4" s="1"/>
  <c r="F98" i="4" s="1"/>
  <c r="AA35" i="2"/>
  <c r="B40" i="6" s="1"/>
  <c r="G40" i="6" s="1"/>
  <c r="AA40" i="2"/>
  <c r="B45" i="6" s="1"/>
  <c r="G45" i="6" s="1"/>
  <c r="AA56" i="2"/>
  <c r="B61" i="6" s="1"/>
  <c r="G61" i="6" s="1"/>
  <c r="AA116" i="2"/>
  <c r="B121" i="6" s="1"/>
  <c r="G121" i="6" s="1"/>
  <c r="AA48" i="2"/>
  <c r="B53" i="6" s="1"/>
  <c r="G53" i="6" s="1"/>
  <c r="AA60" i="2"/>
  <c r="B65" i="6" s="1"/>
  <c r="G65" i="6" s="1"/>
  <c r="AA53" i="2"/>
  <c r="B58" i="6" s="1"/>
  <c r="G58" i="6" s="1"/>
  <c r="AA99" i="2"/>
  <c r="B104" i="6" s="1"/>
  <c r="G104" i="6" s="1"/>
  <c r="AA15" i="2"/>
  <c r="B20" i="6" s="1"/>
  <c r="G20" i="6" s="1"/>
  <c r="AA152" i="2"/>
  <c r="B157" i="6" s="1"/>
  <c r="G157" i="6" s="1"/>
  <c r="AA69" i="2"/>
  <c r="B74" i="6" s="1"/>
  <c r="G74" i="6" s="1"/>
  <c r="AA105" i="2"/>
  <c r="B110" i="6" s="1"/>
  <c r="G110" i="6" s="1"/>
  <c r="AA79" i="2"/>
  <c r="B84" i="6" s="1"/>
  <c r="G84" i="6" s="1"/>
  <c r="AA23" i="2"/>
  <c r="B28" i="6" s="1"/>
  <c r="G28" i="6" s="1"/>
  <c r="AA32" i="2"/>
  <c r="B37" i="6" s="1"/>
  <c r="G37" i="6" s="1"/>
  <c r="AA43" i="2"/>
  <c r="B48" i="6" s="1"/>
  <c r="G48" i="6" s="1"/>
  <c r="AA33" i="2"/>
  <c r="B38" i="6" s="1"/>
  <c r="G38" i="6" s="1"/>
  <c r="AA68" i="2"/>
  <c r="B73" i="6" s="1"/>
  <c r="G73" i="6" s="1"/>
  <c r="AA70" i="2"/>
  <c r="B75" i="6" s="1"/>
  <c r="G75" i="6" s="1"/>
  <c r="AA20" i="2"/>
  <c r="B25" i="6" s="1"/>
  <c r="G25" i="6" s="1"/>
  <c r="AA57" i="2"/>
  <c r="B62" i="6" s="1"/>
  <c r="G62" i="6" s="1"/>
  <c r="AA65" i="2"/>
  <c r="B70" i="6" s="1"/>
  <c r="G70" i="6" s="1"/>
  <c r="AA16" i="2"/>
  <c r="B21" i="6" s="1"/>
  <c r="G21" i="6" s="1"/>
  <c r="AA80" i="2"/>
  <c r="B85" i="6" s="1"/>
  <c r="G85" i="6" s="1"/>
  <c r="AA114" i="2"/>
  <c r="B119" i="6" s="1"/>
  <c r="G119" i="6" s="1"/>
  <c r="AA49" i="2"/>
  <c r="B54" i="6" s="1"/>
  <c r="G54" i="6" s="1"/>
  <c r="AA46" i="2"/>
  <c r="B51" i="6" s="1"/>
  <c r="G51" i="6" s="1"/>
  <c r="AA21" i="2"/>
  <c r="B26" i="6" s="1"/>
  <c r="G26" i="6" s="1"/>
  <c r="AA161" i="2"/>
  <c r="B166" i="6" s="1"/>
  <c r="G166" i="6" s="1"/>
  <c r="AA58" i="2"/>
  <c r="B63" i="6" s="1"/>
  <c r="G63" i="6" s="1"/>
  <c r="AA44" i="2"/>
  <c r="B49" i="6" s="1"/>
  <c r="G49" i="6" s="1"/>
  <c r="AA73" i="2"/>
  <c r="B78" i="6" s="1"/>
  <c r="G78" i="6" s="1"/>
  <c r="AA51" i="2"/>
  <c r="B56" i="6" s="1"/>
  <c r="G56" i="6" s="1"/>
  <c r="AA107" i="2"/>
  <c r="B112" i="6" s="1"/>
  <c r="G112" i="6" s="1"/>
  <c r="AA28" i="2"/>
  <c r="B33" i="6" s="1"/>
  <c r="G33" i="6" s="1"/>
  <c r="AA38" i="2"/>
  <c r="B43" i="6" s="1"/>
  <c r="G43" i="6" s="1"/>
  <c r="AA81" i="2"/>
  <c r="B86" i="6" s="1"/>
  <c r="G86" i="6" s="1"/>
  <c r="AA50" i="2"/>
  <c r="B55" i="6" s="1"/>
  <c r="G55" i="6" s="1"/>
  <c r="AA25" i="2"/>
  <c r="B30" i="6" s="1"/>
  <c r="G30" i="6" s="1"/>
  <c r="AA54" i="2"/>
  <c r="B59" i="6" s="1"/>
  <c r="G59" i="6" s="1"/>
  <c r="AA111" i="2"/>
  <c r="B116" i="6" s="1"/>
  <c r="G116" i="6" s="1"/>
  <c r="AA17" i="2"/>
  <c r="B22" i="6" s="1"/>
  <c r="G22" i="6" s="1"/>
  <c r="AA62" i="2"/>
  <c r="B67" i="6" s="1"/>
  <c r="G67" i="6" s="1"/>
  <c r="AA75" i="2"/>
  <c r="B80" i="6" s="1"/>
  <c r="G80" i="6" s="1"/>
  <c r="AA157" i="2"/>
  <c r="B162" i="6" s="1"/>
  <c r="G162" i="6" s="1"/>
  <c r="AA74" i="2"/>
  <c r="B79" i="6" s="1"/>
  <c r="G79" i="6" s="1"/>
  <c r="AA71" i="2"/>
  <c r="B76" i="6" s="1"/>
  <c r="G76" i="6" s="1"/>
  <c r="AA115" i="2"/>
  <c r="B120" i="6" s="1"/>
  <c r="G120" i="6" s="1"/>
  <c r="AA30" i="2"/>
  <c r="B35" i="6" s="1"/>
  <c r="G35" i="6" s="1"/>
  <c r="AA87" i="2"/>
  <c r="B92" i="6" s="1"/>
  <c r="G92" i="6" s="1"/>
  <c r="AA52" i="2"/>
  <c r="B57" i="6" s="1"/>
  <c r="G57" i="6" s="1"/>
  <c r="AA26" i="2"/>
  <c r="B31" i="6" s="1"/>
  <c r="G31" i="6" s="1"/>
  <c r="AA167" i="2"/>
  <c r="B172" i="6" s="1"/>
  <c r="G172" i="6" s="1"/>
  <c r="AA18" i="2"/>
  <c r="B23" i="6" s="1"/>
  <c r="G23" i="6" s="1"/>
  <c r="AA29" i="2"/>
  <c r="B34" i="6" s="1"/>
  <c r="G34" i="6" s="1"/>
  <c r="AA45" i="2"/>
  <c r="B50" i="6" s="1"/>
  <c r="G50" i="6" s="1"/>
  <c r="AA78" i="2"/>
  <c r="B83" i="6" s="1"/>
  <c r="G83" i="6" s="1"/>
  <c r="AA66" i="2"/>
  <c r="B71" i="6" s="1"/>
  <c r="G71" i="6" s="1"/>
  <c r="AA110" i="2"/>
  <c r="B115" i="6" s="1"/>
  <c r="G115" i="6" s="1"/>
  <c r="AA98" i="2"/>
  <c r="B103" i="6" s="1"/>
  <c r="G103" i="6" s="1"/>
  <c r="AA88" i="2"/>
  <c r="B93" i="6" s="1"/>
  <c r="G93" i="6" s="1"/>
  <c r="AA63" i="2"/>
  <c r="B68" i="6" s="1"/>
  <c r="G68" i="6" s="1"/>
  <c r="AA39" i="2"/>
  <c r="B44" i="6" s="1"/>
  <c r="G44" i="6" s="1"/>
  <c r="AA55" i="2"/>
  <c r="B60" i="6" s="1"/>
  <c r="G60" i="6" s="1"/>
  <c r="AA82" i="2"/>
  <c r="B87" i="6" s="1"/>
  <c r="G87" i="6" s="1"/>
  <c r="AA136" i="2"/>
  <c r="B141" i="6" s="1"/>
  <c r="G141" i="6" s="1"/>
  <c r="AA47" i="2"/>
  <c r="B52" i="6" s="1"/>
  <c r="G52" i="6" s="1"/>
  <c r="AA31" i="2"/>
  <c r="B36" i="6" s="1"/>
  <c r="G36" i="6" s="1"/>
  <c r="AA59" i="2"/>
  <c r="B64" i="6" s="1"/>
  <c r="G64" i="6" s="1"/>
  <c r="AA22" i="2"/>
  <c r="B27" i="6" s="1"/>
  <c r="G27" i="6" s="1"/>
  <c r="AA95" i="2"/>
  <c r="B100" i="6" s="1"/>
  <c r="G100" i="6" s="1"/>
  <c r="AA169" i="2"/>
  <c r="B174" i="6" s="1"/>
  <c r="G174" i="6" s="1"/>
  <c r="AA158" i="2"/>
  <c r="B163" i="6" s="1"/>
  <c r="G163" i="6" s="1"/>
  <c r="AA123" i="2"/>
  <c r="B128" i="6" s="1"/>
  <c r="G128" i="6" s="1"/>
  <c r="AA92" i="2"/>
  <c r="B97" i="6" s="1"/>
  <c r="G97" i="6" s="1"/>
  <c r="AA112" i="2"/>
  <c r="B117" i="6" s="1"/>
  <c r="G117" i="6" s="1"/>
  <c r="AA138" i="2"/>
  <c r="B143" i="6" s="1"/>
  <c r="G143" i="6" s="1"/>
  <c r="AA126" i="2"/>
  <c r="B131" i="6" s="1"/>
  <c r="G131" i="6" s="1"/>
  <c r="AA117" i="2"/>
  <c r="B122" i="6" s="1"/>
  <c r="G122" i="6" s="1"/>
  <c r="AA96" i="2"/>
  <c r="B101" i="6" s="1"/>
  <c r="G101" i="6" s="1"/>
  <c r="AA151" i="2"/>
  <c r="B156" i="6" s="1"/>
  <c r="G156" i="6" s="1"/>
  <c r="AA118" i="2"/>
  <c r="B123" i="6" s="1"/>
  <c r="G123" i="6" s="1"/>
  <c r="AA137" i="2"/>
  <c r="B142" i="6" s="1"/>
  <c r="G142" i="6" s="1"/>
  <c r="AA113" i="2"/>
  <c r="B118" i="6" s="1"/>
  <c r="G118" i="6" s="1"/>
  <c r="AA166" i="2"/>
  <c r="B171" i="6" s="1"/>
  <c r="G171" i="6" s="1"/>
  <c r="AA147" i="2"/>
  <c r="B152" i="6" s="1"/>
  <c r="G152" i="6" s="1"/>
  <c r="AA102" i="2"/>
  <c r="B107" i="6" s="1"/>
  <c r="G107" i="6" s="1"/>
  <c r="AA77" i="2"/>
  <c r="B82" i="6" s="1"/>
  <c r="G82" i="6" s="1"/>
  <c r="AA140" i="2"/>
  <c r="B145" i="6" s="1"/>
  <c r="G145" i="6" s="1"/>
  <c r="AA153" i="2"/>
  <c r="B158" i="6" s="1"/>
  <c r="G158" i="6" s="1"/>
  <c r="AA162" i="2"/>
  <c r="B167" i="6" s="1"/>
  <c r="G167" i="6" s="1"/>
  <c r="AA143" i="2"/>
  <c r="B148" i="6" s="1"/>
  <c r="G148" i="6" s="1"/>
  <c r="AA124" i="2"/>
  <c r="B129" i="6" s="1"/>
  <c r="G129" i="6" s="1"/>
  <c r="AA133" i="2"/>
  <c r="B138" i="6" s="1"/>
  <c r="G138" i="6" s="1"/>
  <c r="AA156" i="2"/>
  <c r="B161" i="6" s="1"/>
  <c r="G161" i="6" s="1"/>
  <c r="AA108" i="2"/>
  <c r="B113" i="6" s="1"/>
  <c r="G113" i="6" s="1"/>
  <c r="AA150" i="2"/>
  <c r="B155" i="6" s="1"/>
  <c r="G155" i="6" s="1"/>
  <c r="AA149" i="2"/>
  <c r="B154" i="6" s="1"/>
  <c r="G154" i="6" s="1"/>
  <c r="AA155" i="2"/>
  <c r="B160" i="6" s="1"/>
  <c r="G160" i="6" s="1"/>
  <c r="AA83" i="2"/>
  <c r="B88" i="6" s="1"/>
  <c r="G88" i="6" s="1"/>
  <c r="AA97" i="2"/>
  <c r="B102" i="6" s="1"/>
  <c r="G102" i="6" s="1"/>
  <c r="AA85" i="2"/>
  <c r="B90" i="6" s="1"/>
  <c r="G90" i="6" s="1"/>
  <c r="AA139" i="2"/>
  <c r="B144" i="6" s="1"/>
  <c r="G144" i="6" s="1"/>
  <c r="AA148" i="2"/>
  <c r="B153" i="6" s="1"/>
  <c r="G153" i="6" s="1"/>
  <c r="AA122" i="2"/>
  <c r="B127" i="6" s="1"/>
  <c r="G127" i="6" s="1"/>
  <c r="AA120" i="2"/>
  <c r="B125" i="6" s="1"/>
  <c r="G125" i="6" s="1"/>
  <c r="AA146" i="2"/>
  <c r="B151" i="6" s="1"/>
  <c r="G151" i="6" s="1"/>
  <c r="AA131" i="2"/>
  <c r="B136" i="6" s="1"/>
  <c r="G136" i="6" s="1"/>
  <c r="AA134" i="2"/>
  <c r="B139" i="6" s="1"/>
  <c r="G139" i="6" s="1"/>
  <c r="AA130" i="2"/>
  <c r="B135" i="6" s="1"/>
  <c r="G135" i="6" s="1"/>
  <c r="AA86" i="2"/>
  <c r="B91" i="6" s="1"/>
  <c r="G91" i="6" s="1"/>
  <c r="AA174" i="2"/>
  <c r="B179" i="6" s="1"/>
  <c r="G179" i="6" s="1"/>
  <c r="AA170" i="2"/>
  <c r="B175" i="6" s="1"/>
  <c r="G175" i="6" s="1"/>
  <c r="AA127" i="2"/>
  <c r="B132" i="6" s="1"/>
  <c r="G132" i="6" s="1"/>
  <c r="AA109" i="2"/>
  <c r="B114" i="6" s="1"/>
  <c r="G114" i="6" s="1"/>
  <c r="AA181" i="2"/>
  <c r="B186" i="6" s="1"/>
  <c r="G186" i="6" s="1"/>
  <c r="AA177" i="2"/>
  <c r="B182" i="6" s="1"/>
  <c r="G182" i="6" s="1"/>
  <c r="AA173" i="2"/>
  <c r="B178" i="6" s="1"/>
  <c r="G178" i="6" s="1"/>
  <c r="AA142" i="2"/>
  <c r="B147" i="6" s="1"/>
  <c r="G147" i="6" s="1"/>
  <c r="AA125" i="2"/>
  <c r="B130" i="6" s="1"/>
  <c r="G130" i="6" s="1"/>
  <c r="AA101" i="2"/>
  <c r="B106" i="6" s="1"/>
  <c r="G106" i="6" s="1"/>
  <c r="AA76" i="2"/>
  <c r="B81" i="6" s="1"/>
  <c r="G81" i="6" s="1"/>
  <c r="AA163" i="2"/>
  <c r="B168" i="6" s="1"/>
  <c r="G168" i="6" s="1"/>
  <c r="AA119" i="2"/>
  <c r="B124" i="6" s="1"/>
  <c r="G124" i="6" s="1"/>
  <c r="AA103" i="2"/>
  <c r="B108" i="6" s="1"/>
  <c r="G108" i="6" s="1"/>
  <c r="AA180" i="2"/>
  <c r="B185" i="6" s="1"/>
  <c r="G185" i="6" s="1"/>
  <c r="AA129" i="2"/>
  <c r="B134" i="6" s="1"/>
  <c r="G134" i="6" s="1"/>
  <c r="AA121" i="2"/>
  <c r="B126" i="6" s="1"/>
  <c r="G126" i="6" s="1"/>
  <c r="AA91" i="2"/>
  <c r="B96" i="6" s="1"/>
  <c r="G96" i="6" s="1"/>
  <c r="AA94" i="2"/>
  <c r="B99" i="6" s="1"/>
  <c r="G99" i="6" s="1"/>
  <c r="AA141" i="2"/>
  <c r="B146" i="6" s="1"/>
  <c r="G146" i="6" s="1"/>
  <c r="AA93" i="2"/>
  <c r="B98" i="6" s="1"/>
  <c r="G98" i="6" s="1"/>
  <c r="AA178" i="2"/>
  <c r="B183" i="6" s="1"/>
  <c r="G183" i="6" s="1"/>
  <c r="AA168" i="2"/>
  <c r="B173" i="6" s="1"/>
  <c r="G173" i="6" s="1"/>
  <c r="AA104" i="2"/>
  <c r="B109" i="6" s="1"/>
  <c r="G109" i="6" s="1"/>
  <c r="AA165" i="2"/>
  <c r="B170" i="6" s="1"/>
  <c r="G170" i="6" s="1"/>
  <c r="AA132" i="2"/>
  <c r="B137" i="6" s="1"/>
  <c r="G137" i="6" s="1"/>
  <c r="AA159" i="2"/>
  <c r="B164" i="6" s="1"/>
  <c r="G164" i="6" s="1"/>
  <c r="AA135" i="2"/>
  <c r="B140" i="6" s="1"/>
  <c r="G140" i="6" s="1"/>
  <c r="AA175" i="2"/>
  <c r="B180" i="6" s="1"/>
  <c r="G180" i="6" s="1"/>
  <c r="AA171" i="2"/>
  <c r="B176" i="6" s="1"/>
  <c r="G176" i="6" s="1"/>
  <c r="AA179" i="2"/>
  <c r="B184" i="6" s="1"/>
  <c r="G184" i="6" s="1"/>
  <c r="AA145" i="2"/>
  <c r="B150" i="6" s="1"/>
  <c r="G150" i="6" s="1"/>
  <c r="AA100" i="2"/>
  <c r="B105" i="6" s="1"/>
  <c r="G105" i="6" s="1"/>
  <c r="AA154" i="2"/>
  <c r="B159" i="6" s="1"/>
  <c r="G159" i="6" s="1"/>
  <c r="AA176" i="2"/>
  <c r="B181" i="6" s="1"/>
  <c r="G181" i="6" s="1"/>
  <c r="AA160" i="2"/>
  <c r="B165" i="6" s="1"/>
  <c r="G165" i="6" s="1"/>
  <c r="AA84" i="2"/>
  <c r="B89" i="6" s="1"/>
  <c r="G89" i="6" s="1"/>
  <c r="AA182" i="2"/>
  <c r="B187" i="6" s="1"/>
  <c r="G187" i="6" s="1"/>
  <c r="AA128" i="2"/>
  <c r="B133" i="6" s="1"/>
  <c r="G133" i="6" s="1"/>
  <c r="AA172" i="2"/>
  <c r="B177" i="6" s="1"/>
  <c r="G177" i="6" s="1"/>
  <c r="AA90" i="2"/>
  <c r="B95" i="6" s="1"/>
  <c r="G95" i="6" s="1"/>
  <c r="AN67" i="2" l="1"/>
  <c r="BL67" i="2" s="1"/>
  <c r="H72" i="6"/>
  <c r="L72" i="6" s="1"/>
  <c r="B163" i="4"/>
  <c r="E163" i="4" s="1"/>
  <c r="F163" i="4" s="1"/>
  <c r="G15" i="6"/>
  <c r="H184" i="6"/>
  <c r="AN179" i="2"/>
  <c r="BL179" i="2" s="1"/>
  <c r="H173" i="6"/>
  <c r="L173" i="6" s="1"/>
  <c r="AN168" i="2"/>
  <c r="BL168" i="2" s="1"/>
  <c r="H185" i="6"/>
  <c r="L185" i="6" s="1"/>
  <c r="AN180" i="2"/>
  <c r="BL180" i="2" s="1"/>
  <c r="AN173" i="2"/>
  <c r="BL173" i="2" s="1"/>
  <c r="H178" i="6"/>
  <c r="AM173" i="2" s="1"/>
  <c r="H135" i="6"/>
  <c r="AN130" i="2"/>
  <c r="BL130" i="2" s="1"/>
  <c r="AN85" i="2"/>
  <c r="BL85" i="2" s="1"/>
  <c r="H90" i="6"/>
  <c r="L90" i="6" s="1"/>
  <c r="AN133" i="2"/>
  <c r="BL133" i="2" s="1"/>
  <c r="H138" i="6"/>
  <c r="L138" i="6" s="1"/>
  <c r="H152" i="6"/>
  <c r="L152" i="6" s="1"/>
  <c r="AN147" i="2"/>
  <c r="BL147" i="2" s="1"/>
  <c r="H131" i="6"/>
  <c r="AM126" i="2" s="1"/>
  <c r="AN126" i="2"/>
  <c r="BL126" i="2" s="1"/>
  <c r="H27" i="6"/>
  <c r="L27" i="6" s="1"/>
  <c r="AN22" i="2"/>
  <c r="BL22" i="2" s="1"/>
  <c r="H68" i="6"/>
  <c r="L68" i="6" s="1"/>
  <c r="AN63" i="2"/>
  <c r="BL63" i="2" s="1"/>
  <c r="H23" i="6"/>
  <c r="L23" i="6" s="1"/>
  <c r="AN18" i="2"/>
  <c r="BL18" i="2" s="1"/>
  <c r="H22" i="6"/>
  <c r="AN17" i="2"/>
  <c r="BL17" i="2" s="1"/>
  <c r="H112" i="6"/>
  <c r="L112" i="6" s="1"/>
  <c r="AN107" i="2"/>
  <c r="BL107" i="2" s="1"/>
  <c r="AN49" i="2"/>
  <c r="BL49" i="2" s="1"/>
  <c r="H54" i="6"/>
  <c r="L54" i="6" s="1"/>
  <c r="H73" i="6"/>
  <c r="L73" i="6" s="1"/>
  <c r="AN68" i="2"/>
  <c r="BL68" i="2" s="1"/>
  <c r="H157" i="6"/>
  <c r="AN152" i="2"/>
  <c r="BL152" i="2" s="1"/>
  <c r="H45" i="6"/>
  <c r="L45" i="6" s="1"/>
  <c r="AN40" i="2"/>
  <c r="BL40" i="2" s="1"/>
  <c r="H29" i="6"/>
  <c r="L29" i="6" s="1"/>
  <c r="AN24" i="2"/>
  <c r="BL24" i="2" s="1"/>
  <c r="H187" i="6"/>
  <c r="L187" i="6" s="1"/>
  <c r="AN182" i="2"/>
  <c r="H159" i="6"/>
  <c r="AN154" i="2"/>
  <c r="BL154" i="2" s="1"/>
  <c r="H176" i="6"/>
  <c r="L176" i="6" s="1"/>
  <c r="AN171" i="2"/>
  <c r="BL171" i="2" s="1"/>
  <c r="H137" i="6"/>
  <c r="AN132" i="2"/>
  <c r="BL132" i="2" s="1"/>
  <c r="H183" i="6"/>
  <c r="L183" i="6" s="1"/>
  <c r="AN178" i="2"/>
  <c r="BL178" i="2" s="1"/>
  <c r="H96" i="6"/>
  <c r="L96" i="6" s="1"/>
  <c r="AN91" i="2"/>
  <c r="BL91" i="2" s="1"/>
  <c r="H108" i="6"/>
  <c r="L108" i="6" s="1"/>
  <c r="AN103" i="2"/>
  <c r="AN101" i="2"/>
  <c r="BL101" i="2" s="1"/>
  <c r="H106" i="6"/>
  <c r="L106" i="6" s="1"/>
  <c r="AN177" i="2"/>
  <c r="H182" i="6"/>
  <c r="L182" i="6" s="1"/>
  <c r="H175" i="6"/>
  <c r="AN170" i="2"/>
  <c r="BL170" i="2" s="1"/>
  <c r="H139" i="6"/>
  <c r="L139" i="6" s="1"/>
  <c r="AN134" i="2"/>
  <c r="BL134" i="2" s="1"/>
  <c r="H127" i="6"/>
  <c r="AN122" i="2"/>
  <c r="BL122" i="2" s="1"/>
  <c r="AN97" i="2"/>
  <c r="BL97" i="2" s="1"/>
  <c r="H102" i="6"/>
  <c r="L102" i="6" s="1"/>
  <c r="H155" i="6"/>
  <c r="AN150" i="2"/>
  <c r="BL150" i="2" s="1"/>
  <c r="H129" i="6"/>
  <c r="AM124" i="2" s="1"/>
  <c r="AN124" i="2"/>
  <c r="H145" i="6"/>
  <c r="L145" i="6" s="1"/>
  <c r="AN140" i="2"/>
  <c r="BL140" i="2" s="1"/>
  <c r="H171" i="6"/>
  <c r="L171" i="6" s="1"/>
  <c r="AN166" i="2"/>
  <c r="BL166" i="2" s="1"/>
  <c r="H156" i="6"/>
  <c r="AN151" i="2"/>
  <c r="BL151" i="2" s="1"/>
  <c r="H143" i="6"/>
  <c r="L143" i="6" s="1"/>
  <c r="AN138" i="2"/>
  <c r="BL138" i="2" s="1"/>
  <c r="H163" i="6"/>
  <c r="AN158" i="2"/>
  <c r="BL158" i="2" s="1"/>
  <c r="H64" i="6"/>
  <c r="L64" i="6" s="1"/>
  <c r="AN59" i="2"/>
  <c r="BL59" i="2" s="1"/>
  <c r="H87" i="6"/>
  <c r="AN82" i="2"/>
  <c r="BL82" i="2" s="1"/>
  <c r="H93" i="6"/>
  <c r="L93" i="6" s="1"/>
  <c r="AN88" i="2"/>
  <c r="BL88" i="2" s="1"/>
  <c r="H83" i="6"/>
  <c r="L83" i="6" s="1"/>
  <c r="AN78" i="2"/>
  <c r="BL78" i="2" s="1"/>
  <c r="H172" i="6"/>
  <c r="L172" i="6" s="1"/>
  <c r="AN167" i="2"/>
  <c r="BL167" i="2" s="1"/>
  <c r="H35" i="6"/>
  <c r="AN30" i="2"/>
  <c r="AN157" i="2"/>
  <c r="H162" i="6"/>
  <c r="L162" i="6" s="1"/>
  <c r="H116" i="6"/>
  <c r="AN111" i="2"/>
  <c r="BL111" i="2" s="1"/>
  <c r="AN81" i="2"/>
  <c r="BL81" i="2" s="1"/>
  <c r="H86" i="6"/>
  <c r="L86" i="6" s="1"/>
  <c r="H56" i="6"/>
  <c r="AN51" i="2"/>
  <c r="AN161" i="2"/>
  <c r="BL161" i="2" s="1"/>
  <c r="H166" i="6"/>
  <c r="L166" i="6" s="1"/>
  <c r="H119" i="6"/>
  <c r="L119" i="6" s="1"/>
  <c r="AN114" i="2"/>
  <c r="BL114" i="2" s="1"/>
  <c r="AN57" i="2"/>
  <c r="H62" i="6"/>
  <c r="L62" i="6" s="1"/>
  <c r="AN33" i="2"/>
  <c r="BL33" i="2" s="1"/>
  <c r="H38" i="6"/>
  <c r="L38" i="6" s="1"/>
  <c r="H84" i="6"/>
  <c r="L84" i="6" s="1"/>
  <c r="AN79" i="2"/>
  <c r="BL79" i="2" s="1"/>
  <c r="H20" i="6"/>
  <c r="L20" i="6" s="1"/>
  <c r="AN15" i="2"/>
  <c r="BL15" i="2" s="1"/>
  <c r="H53" i="6"/>
  <c r="L53" i="6" s="1"/>
  <c r="AN48" i="2"/>
  <c r="H40" i="6"/>
  <c r="AN35" i="2"/>
  <c r="BL35" i="2" s="1"/>
  <c r="H188" i="6"/>
  <c r="L188" i="6" s="1"/>
  <c r="AN183" i="2"/>
  <c r="BL183" i="2" s="1"/>
  <c r="AN61" i="2"/>
  <c r="BL61" i="2" s="1"/>
  <c r="H66" i="6"/>
  <c r="L66" i="6" s="1"/>
  <c r="H169" i="6"/>
  <c r="L169" i="6" s="1"/>
  <c r="AN164" i="2"/>
  <c r="H111" i="6"/>
  <c r="AN106" i="2"/>
  <c r="BL106" i="2" s="1"/>
  <c r="H133" i="6"/>
  <c r="L133" i="6" s="1"/>
  <c r="AN128" i="2"/>
  <c r="BL128" i="2" s="1"/>
  <c r="H164" i="6"/>
  <c r="AN159" i="2"/>
  <c r="BL159" i="2" s="1"/>
  <c r="H99" i="6"/>
  <c r="L99" i="6" s="1"/>
  <c r="AN94" i="2"/>
  <c r="H81" i="6"/>
  <c r="AN76" i="2"/>
  <c r="BL76" i="2" s="1"/>
  <c r="H132" i="6"/>
  <c r="L132" i="6" s="1"/>
  <c r="AN127" i="2"/>
  <c r="BL127" i="2" s="1"/>
  <c r="H125" i="6"/>
  <c r="L125" i="6" s="1"/>
  <c r="AN120" i="2"/>
  <c r="BL120" i="2" s="1"/>
  <c r="AN149" i="2"/>
  <c r="H154" i="6"/>
  <c r="L154" i="6" s="1"/>
  <c r="AN153" i="2"/>
  <c r="BL153" i="2" s="1"/>
  <c r="H158" i="6"/>
  <c r="L158" i="6" s="1"/>
  <c r="H123" i="6"/>
  <c r="L123" i="6" s="1"/>
  <c r="AN118" i="2"/>
  <c r="BL118" i="2" s="1"/>
  <c r="H128" i="6"/>
  <c r="AN123" i="2"/>
  <c r="BL123" i="2" s="1"/>
  <c r="H141" i="6"/>
  <c r="L141" i="6" s="1"/>
  <c r="AN136" i="2"/>
  <c r="BL136" i="2" s="1"/>
  <c r="H71" i="6"/>
  <c r="AN66" i="2"/>
  <c r="BL66" i="2" s="1"/>
  <c r="H92" i="6"/>
  <c r="L92" i="6" s="1"/>
  <c r="AN87" i="2"/>
  <c r="BL87" i="2" s="1"/>
  <c r="H79" i="6"/>
  <c r="AN74" i="2"/>
  <c r="BL74" i="2" s="1"/>
  <c r="H55" i="6"/>
  <c r="L55" i="6" s="1"/>
  <c r="AN50" i="2"/>
  <c r="H63" i="6"/>
  <c r="L63" i="6" s="1"/>
  <c r="AN58" i="2"/>
  <c r="BL58" i="2" s="1"/>
  <c r="AN65" i="2"/>
  <c r="BL65" i="2" s="1"/>
  <c r="H70" i="6"/>
  <c r="L70" i="6" s="1"/>
  <c r="H28" i="6"/>
  <c r="AN23" i="2"/>
  <c r="BL23" i="2" s="1"/>
  <c r="H65" i="6"/>
  <c r="L65" i="6" s="1"/>
  <c r="AN60" i="2"/>
  <c r="BL60" i="2" s="1"/>
  <c r="H41" i="6"/>
  <c r="AN36" i="2"/>
  <c r="BL36" i="2" s="1"/>
  <c r="AN41" i="2"/>
  <c r="BL41" i="2" s="1"/>
  <c r="H46" i="6"/>
  <c r="L46" i="6" s="1"/>
  <c r="H47" i="6"/>
  <c r="L47" i="6" s="1"/>
  <c r="AN42" i="2"/>
  <c r="BL42" i="2" s="1"/>
  <c r="H95" i="6"/>
  <c r="L95" i="6" s="1"/>
  <c r="AN90" i="2"/>
  <c r="BL90" i="2" s="1"/>
  <c r="H89" i="6"/>
  <c r="AN84" i="2"/>
  <c r="BL84" i="2" s="1"/>
  <c r="H105" i="6"/>
  <c r="L105" i="6" s="1"/>
  <c r="AN100" i="2"/>
  <c r="BL100" i="2" s="1"/>
  <c r="H180" i="6"/>
  <c r="AN175" i="2"/>
  <c r="BL175" i="2" s="1"/>
  <c r="AN165" i="2"/>
  <c r="H170" i="6"/>
  <c r="L170" i="6" s="1"/>
  <c r="AN93" i="2"/>
  <c r="BL93" i="2" s="1"/>
  <c r="H98" i="6"/>
  <c r="L98" i="6" s="1"/>
  <c r="AN121" i="2"/>
  <c r="BL121" i="2" s="1"/>
  <c r="H126" i="6"/>
  <c r="L126" i="6" s="1"/>
  <c r="H124" i="6"/>
  <c r="L124" i="6" s="1"/>
  <c r="AN119" i="2"/>
  <c r="BL119" i="2" s="1"/>
  <c r="AN125" i="2"/>
  <c r="BL125" i="2" s="1"/>
  <c r="H130" i="6"/>
  <c r="L130" i="6" s="1"/>
  <c r="AN181" i="2"/>
  <c r="BL181" i="2" s="1"/>
  <c r="H186" i="6"/>
  <c r="L186" i="6" s="1"/>
  <c r="H179" i="6"/>
  <c r="L179" i="6" s="1"/>
  <c r="AN174" i="2"/>
  <c r="BL174" i="2" s="1"/>
  <c r="H136" i="6"/>
  <c r="AN131" i="2"/>
  <c r="BL131" i="2" s="1"/>
  <c r="H153" i="6"/>
  <c r="L153" i="6" s="1"/>
  <c r="AN148" i="2"/>
  <c r="BL148" i="2" s="1"/>
  <c r="H88" i="6"/>
  <c r="AN83" i="2"/>
  <c r="BL83" i="2" s="1"/>
  <c r="H113" i="6"/>
  <c r="L113" i="6" s="1"/>
  <c r="AN108" i="2"/>
  <c r="H148" i="6"/>
  <c r="L148" i="6" s="1"/>
  <c r="AN143" i="2"/>
  <c r="BL143" i="2" s="1"/>
  <c r="AN77" i="2"/>
  <c r="BL77" i="2" s="1"/>
  <c r="H82" i="6"/>
  <c r="L82" i="6" s="1"/>
  <c r="AN113" i="2"/>
  <c r="BL113" i="2" s="1"/>
  <c r="H118" i="6"/>
  <c r="L118" i="6" s="1"/>
  <c r="H101" i="6"/>
  <c r="L101" i="6" s="1"/>
  <c r="AN96" i="2"/>
  <c r="H117" i="6"/>
  <c r="L117" i="6" s="1"/>
  <c r="AN112" i="2"/>
  <c r="BL112" i="2" s="1"/>
  <c r="AN169" i="2"/>
  <c r="BL169" i="2" s="1"/>
  <c r="H174" i="6"/>
  <c r="L174" i="6" s="1"/>
  <c r="H36" i="6"/>
  <c r="AN31" i="2"/>
  <c r="BL31" i="2" s="1"/>
  <c r="H60" i="6"/>
  <c r="L60" i="6" s="1"/>
  <c r="AN55" i="2"/>
  <c r="BL55" i="2" s="1"/>
  <c r="H103" i="6"/>
  <c r="L103" i="6" s="1"/>
  <c r="AN98" i="2"/>
  <c r="BL98" i="2" s="1"/>
  <c r="AN45" i="2"/>
  <c r="H50" i="6"/>
  <c r="L50" i="6" s="1"/>
  <c r="H31" i="6"/>
  <c r="L31" i="6" s="1"/>
  <c r="AN26" i="2"/>
  <c r="BL26" i="2" s="1"/>
  <c r="H120" i="6"/>
  <c r="L120" i="6" s="1"/>
  <c r="AN115" i="2"/>
  <c r="BL115" i="2" s="1"/>
  <c r="H80" i="6"/>
  <c r="L80" i="6" s="1"/>
  <c r="AN75" i="2"/>
  <c r="BL75" i="2" s="1"/>
  <c r="H59" i="6"/>
  <c r="L59" i="6" s="1"/>
  <c r="AN54" i="2"/>
  <c r="H43" i="6"/>
  <c r="L43" i="6" s="1"/>
  <c r="AN38" i="2"/>
  <c r="BL38" i="2" s="1"/>
  <c r="AN73" i="2"/>
  <c r="BL73" i="2" s="1"/>
  <c r="H78" i="6"/>
  <c r="L78" i="6" s="1"/>
  <c r="H26" i="6"/>
  <c r="AN21" i="2"/>
  <c r="BL21" i="2" s="1"/>
  <c r="H85" i="6"/>
  <c r="L85" i="6" s="1"/>
  <c r="AN80" i="2"/>
  <c r="BL80" i="2" s="1"/>
  <c r="H25" i="6"/>
  <c r="L25" i="6" s="1"/>
  <c r="AN20" i="2"/>
  <c r="BL20" i="2" s="1"/>
  <c r="H48" i="6"/>
  <c r="L48" i="6" s="1"/>
  <c r="AN43" i="2"/>
  <c r="BL43" i="2" s="1"/>
  <c r="AN105" i="2"/>
  <c r="BL105" i="2" s="1"/>
  <c r="H110" i="6"/>
  <c r="L110" i="6" s="1"/>
  <c r="H104" i="6"/>
  <c r="L104" i="6" s="1"/>
  <c r="AN99" i="2"/>
  <c r="BL99" i="2" s="1"/>
  <c r="H121" i="6"/>
  <c r="L121" i="6" s="1"/>
  <c r="AN116" i="2"/>
  <c r="BL116" i="2" s="1"/>
  <c r="H24" i="6"/>
  <c r="L24" i="6" s="1"/>
  <c r="AN19" i="2"/>
  <c r="BL19" i="2" s="1"/>
  <c r="H32" i="6"/>
  <c r="L32" i="6" s="1"/>
  <c r="AN27" i="2"/>
  <c r="BL27" i="2" s="1"/>
  <c r="H149" i="6"/>
  <c r="L149" i="6" s="1"/>
  <c r="AN144" i="2"/>
  <c r="AN89" i="2"/>
  <c r="BL89" i="2" s="1"/>
  <c r="H94" i="6"/>
  <c r="L94" i="6" s="1"/>
  <c r="H181" i="6"/>
  <c r="L181" i="6" s="1"/>
  <c r="AN176" i="2"/>
  <c r="BL176" i="2" s="1"/>
  <c r="H177" i="6"/>
  <c r="L177" i="6" s="1"/>
  <c r="AN172" i="2"/>
  <c r="H165" i="6"/>
  <c r="L165" i="6" s="1"/>
  <c r="AN160" i="2"/>
  <c r="BL160" i="2" s="1"/>
  <c r="AN145" i="2"/>
  <c r="BL145" i="2" s="1"/>
  <c r="H150" i="6"/>
  <c r="AM145" i="2" s="1"/>
  <c r="H140" i="6"/>
  <c r="L140" i="6" s="1"/>
  <c r="AN135" i="2"/>
  <c r="BL135" i="2" s="1"/>
  <c r="H109" i="6"/>
  <c r="L109" i="6" s="1"/>
  <c r="AN104" i="2"/>
  <c r="AN141" i="2"/>
  <c r="BL141" i="2" s="1"/>
  <c r="H146" i="6"/>
  <c r="L146" i="6" s="1"/>
  <c r="AN129" i="2"/>
  <c r="BL129" i="2" s="1"/>
  <c r="H134" i="6"/>
  <c r="L134" i="6" s="1"/>
  <c r="H168" i="6"/>
  <c r="L168" i="6" s="1"/>
  <c r="AN163" i="2"/>
  <c r="BL163" i="2" s="1"/>
  <c r="H147" i="6"/>
  <c r="L147" i="6" s="1"/>
  <c r="AN142" i="2"/>
  <c r="BL142" i="2" s="1"/>
  <c r="AN109" i="2"/>
  <c r="BL109" i="2" s="1"/>
  <c r="H114" i="6"/>
  <c r="L114" i="6" s="1"/>
  <c r="H91" i="6"/>
  <c r="AN86" i="2"/>
  <c r="BL86" i="2" s="1"/>
  <c r="H151" i="6"/>
  <c r="L151" i="6" s="1"/>
  <c r="AN146" i="2"/>
  <c r="BL146" i="2" s="1"/>
  <c r="H144" i="6"/>
  <c r="L144" i="6" s="1"/>
  <c r="AN139" i="2"/>
  <c r="H160" i="6"/>
  <c r="L160" i="6" s="1"/>
  <c r="AN155" i="2"/>
  <c r="BL155" i="2" s="1"/>
  <c r="H161" i="6"/>
  <c r="AN156" i="2"/>
  <c r="BL156" i="2" s="1"/>
  <c r="H167" i="6"/>
  <c r="L167" i="6" s="1"/>
  <c r="AN162" i="2"/>
  <c r="BL162" i="2" s="1"/>
  <c r="H107" i="6"/>
  <c r="L107" i="6" s="1"/>
  <c r="AN102" i="2"/>
  <c r="BL102" i="2" s="1"/>
  <c r="AN137" i="2"/>
  <c r="BL137" i="2" s="1"/>
  <c r="H142" i="6"/>
  <c r="L142" i="6" s="1"/>
  <c r="AN117" i="2"/>
  <c r="BL117" i="2" s="1"/>
  <c r="H122" i="6"/>
  <c r="L122" i="6" s="1"/>
  <c r="H97" i="6"/>
  <c r="L97" i="6" s="1"/>
  <c r="AN92" i="2"/>
  <c r="BL92" i="2" s="1"/>
  <c r="H100" i="6"/>
  <c r="L100" i="6" s="1"/>
  <c r="AN95" i="2"/>
  <c r="BL95" i="2" s="1"/>
  <c r="H52" i="6"/>
  <c r="L52" i="6" s="1"/>
  <c r="AN47" i="2"/>
  <c r="H44" i="6"/>
  <c r="AN39" i="2"/>
  <c r="BL39" i="2" s="1"/>
  <c r="H115" i="6"/>
  <c r="L115" i="6" s="1"/>
  <c r="AN110" i="2"/>
  <c r="BL110" i="2" s="1"/>
  <c r="AN29" i="2"/>
  <c r="BL29" i="2" s="1"/>
  <c r="H34" i="6"/>
  <c r="L34" i="6" s="1"/>
  <c r="H57" i="6"/>
  <c r="L57" i="6" s="1"/>
  <c r="AN52" i="2"/>
  <c r="BL52" i="2" s="1"/>
  <c r="H76" i="6"/>
  <c r="L76" i="6" s="1"/>
  <c r="AN71" i="2"/>
  <c r="BL71" i="2" s="1"/>
  <c r="H67" i="6"/>
  <c r="L67" i="6" s="1"/>
  <c r="AN62" i="2"/>
  <c r="H30" i="6"/>
  <c r="L30" i="6" s="1"/>
  <c r="AN25" i="2"/>
  <c r="BL25" i="2" s="1"/>
  <c r="H33" i="6"/>
  <c r="L33" i="6" s="1"/>
  <c r="AN28" i="2"/>
  <c r="H49" i="6"/>
  <c r="L49" i="6" s="1"/>
  <c r="AN44" i="2"/>
  <c r="BL44" i="2" s="1"/>
  <c r="H51" i="6"/>
  <c r="L51" i="6" s="1"/>
  <c r="AN46" i="2"/>
  <c r="BL46" i="2" s="1"/>
  <c r="H21" i="6"/>
  <c r="L21" i="6" s="1"/>
  <c r="AN16" i="2"/>
  <c r="H75" i="6"/>
  <c r="L75" i="6" s="1"/>
  <c r="AN70" i="2"/>
  <c r="BL70" i="2" s="1"/>
  <c r="H37" i="6"/>
  <c r="L37" i="6" s="1"/>
  <c r="AN32" i="2"/>
  <c r="BL32" i="2" s="1"/>
  <c r="AN69" i="2"/>
  <c r="BL69" i="2" s="1"/>
  <c r="H74" i="6"/>
  <c r="L74" i="6" s="1"/>
  <c r="AN53" i="2"/>
  <c r="BL53" i="2" s="1"/>
  <c r="H58" i="6"/>
  <c r="L58" i="6" s="1"/>
  <c r="H61" i="6"/>
  <c r="L61" i="6" s="1"/>
  <c r="AN56" i="2"/>
  <c r="BL56" i="2" s="1"/>
  <c r="AN37" i="2"/>
  <c r="BL37" i="2" s="1"/>
  <c r="H42" i="6"/>
  <c r="L42" i="6" s="1"/>
  <c r="H69" i="6"/>
  <c r="L69" i="6" s="1"/>
  <c r="AN64" i="2"/>
  <c r="H39" i="6"/>
  <c r="L39" i="6" s="1"/>
  <c r="AN34" i="2"/>
  <c r="H77" i="6"/>
  <c r="L77" i="6" s="1"/>
  <c r="AN72" i="2"/>
  <c r="BL72" i="2" s="1"/>
  <c r="B81" i="4"/>
  <c r="E81" i="4" s="1"/>
  <c r="F81" i="4" s="1"/>
  <c r="I81" i="4" s="1"/>
  <c r="B146" i="4"/>
  <c r="E146" i="4" s="1"/>
  <c r="F146" i="4" s="1"/>
  <c r="I146" i="4" s="1"/>
  <c r="B129" i="4"/>
  <c r="E129" i="4" s="1"/>
  <c r="F129" i="4" s="1"/>
  <c r="I129" i="4" s="1"/>
  <c r="L137" i="6"/>
  <c r="L89" i="6"/>
  <c r="L180" i="6"/>
  <c r="L136" i="6"/>
  <c r="L88" i="6"/>
  <c r="L36" i="6"/>
  <c r="L26" i="6"/>
  <c r="L164" i="6"/>
  <c r="L159" i="6"/>
  <c r="L91" i="6"/>
  <c r="L161" i="6"/>
  <c r="L44" i="6"/>
  <c r="L81" i="6"/>
  <c r="L135" i="6"/>
  <c r="L131" i="6"/>
  <c r="L128" i="6"/>
  <c r="L71" i="6"/>
  <c r="L79" i="6"/>
  <c r="L22" i="6"/>
  <c r="L28" i="6"/>
  <c r="L157" i="6"/>
  <c r="L184" i="6"/>
  <c r="L175" i="6"/>
  <c r="L127" i="6"/>
  <c r="L155" i="6"/>
  <c r="L156" i="6"/>
  <c r="L163" i="6"/>
  <c r="L87" i="6"/>
  <c r="L35" i="6"/>
  <c r="L116" i="6"/>
  <c r="L56" i="6"/>
  <c r="L40" i="6"/>
  <c r="L41" i="6"/>
  <c r="L111" i="6"/>
  <c r="I240" i="4"/>
  <c r="H240" i="4"/>
  <c r="J240" i="4"/>
  <c r="I124" i="4"/>
  <c r="H124" i="4"/>
  <c r="J124" i="4"/>
  <c r="H94" i="4"/>
  <c r="I94" i="4"/>
  <c r="J94" i="4"/>
  <c r="B229" i="4"/>
  <c r="E229" i="4" s="1"/>
  <c r="F229" i="4" s="1"/>
  <c r="B202" i="4"/>
  <c r="E202" i="4" s="1"/>
  <c r="F202" i="4" s="1"/>
  <c r="B230" i="4"/>
  <c r="E230" i="4" s="1"/>
  <c r="F230" i="4" s="1"/>
  <c r="B143" i="4"/>
  <c r="E143" i="4" s="1"/>
  <c r="F143" i="4" s="1"/>
  <c r="B140" i="4"/>
  <c r="E140" i="4" s="1"/>
  <c r="F140" i="4" s="1"/>
  <c r="B197" i="4"/>
  <c r="E197" i="4" s="1"/>
  <c r="F197" i="4" s="1"/>
  <c r="B112" i="4"/>
  <c r="E112" i="4" s="1"/>
  <c r="F112" i="4" s="1"/>
  <c r="B239" i="4"/>
  <c r="E239" i="4" s="1"/>
  <c r="F239" i="4" s="1"/>
  <c r="B192" i="4"/>
  <c r="E192" i="4" s="1"/>
  <c r="F192" i="4" s="1"/>
  <c r="B151" i="4"/>
  <c r="E151" i="4" s="1"/>
  <c r="F151" i="4" s="1"/>
  <c r="B160" i="4"/>
  <c r="E160" i="4" s="1"/>
  <c r="F160" i="4" s="1"/>
  <c r="B166" i="4"/>
  <c r="E166" i="4" s="1"/>
  <c r="F166" i="4" s="1"/>
  <c r="B196" i="4"/>
  <c r="E196" i="4" s="1"/>
  <c r="F196" i="4" s="1"/>
  <c r="B159" i="4"/>
  <c r="E159" i="4" s="1"/>
  <c r="F159" i="4" s="1"/>
  <c r="B153" i="4"/>
  <c r="E153" i="4" s="1"/>
  <c r="F153" i="4" s="1"/>
  <c r="B88" i="4"/>
  <c r="E88" i="4" s="1"/>
  <c r="F88" i="4" s="1"/>
  <c r="B155" i="4"/>
  <c r="E155" i="4" s="1"/>
  <c r="F155" i="4" s="1"/>
  <c r="B83" i="4"/>
  <c r="E83" i="4" s="1"/>
  <c r="F83" i="4" s="1"/>
  <c r="B132" i="4"/>
  <c r="E132" i="4" s="1"/>
  <c r="F132" i="4" s="1"/>
  <c r="B95" i="4"/>
  <c r="E95" i="4" s="1"/>
  <c r="F95" i="4" s="1"/>
  <c r="B218" i="4"/>
  <c r="E218" i="4" s="1"/>
  <c r="F218" i="4" s="1"/>
  <c r="B171" i="4"/>
  <c r="E171" i="4" s="1"/>
  <c r="F171" i="4" s="1"/>
  <c r="B90" i="4"/>
  <c r="E90" i="4" s="1"/>
  <c r="F90" i="4" s="1"/>
  <c r="B105" i="4"/>
  <c r="E105" i="4" s="1"/>
  <c r="F105" i="4" s="1"/>
  <c r="J118" i="4"/>
  <c r="I118" i="4"/>
  <c r="H118" i="4"/>
  <c r="H201" i="4"/>
  <c r="J201" i="4"/>
  <c r="I201" i="4"/>
  <c r="AM179" i="2"/>
  <c r="B236" i="4"/>
  <c r="E236" i="4" s="1"/>
  <c r="F236" i="4" s="1"/>
  <c r="B148" i="4"/>
  <c r="E148" i="4" s="1"/>
  <c r="F148" i="4" s="1"/>
  <c r="B176" i="4"/>
  <c r="E176" i="4" s="1"/>
  <c r="F176" i="4" s="1"/>
  <c r="B234" i="4"/>
  <c r="E234" i="4" s="1"/>
  <c r="F234" i="4" s="1"/>
  <c r="B187" i="4"/>
  <c r="E187" i="4" s="1"/>
  <c r="F187" i="4" s="1"/>
  <c r="B177" i="4"/>
  <c r="E177" i="4" s="1"/>
  <c r="F177" i="4" s="1"/>
  <c r="B212" i="4"/>
  <c r="E212" i="4" s="1"/>
  <c r="F212" i="4" s="1"/>
  <c r="B200" i="4"/>
  <c r="E200" i="4" s="1"/>
  <c r="F200" i="4" s="1"/>
  <c r="B204" i="4"/>
  <c r="E204" i="4" s="1"/>
  <c r="F204" i="4" s="1"/>
  <c r="B174" i="4"/>
  <c r="E174" i="4" s="1"/>
  <c r="F174" i="4" s="1"/>
  <c r="B149" i="4"/>
  <c r="E149" i="4" s="1"/>
  <c r="F149" i="4" s="1"/>
  <c r="B104" i="4"/>
  <c r="E104" i="4" s="1"/>
  <c r="F104" i="4" s="1"/>
  <c r="B167" i="4"/>
  <c r="E167" i="4" s="1"/>
  <c r="F167" i="4" s="1"/>
  <c r="B85" i="4"/>
  <c r="E85" i="4" s="1"/>
  <c r="F85" i="4" s="1"/>
  <c r="I163" i="4"/>
  <c r="H163" i="4"/>
  <c r="J163" i="4"/>
  <c r="I221" i="4"/>
  <c r="J221" i="4"/>
  <c r="H221" i="4"/>
  <c r="H99" i="4"/>
  <c r="J99" i="4"/>
  <c r="I99" i="4"/>
  <c r="B185" i="4"/>
  <c r="E185" i="4" s="1"/>
  <c r="F185" i="4" s="1"/>
  <c r="B217" i="4"/>
  <c r="E217" i="4" s="1"/>
  <c r="F217" i="4" s="1"/>
  <c r="B233" i="4"/>
  <c r="E233" i="4" s="1"/>
  <c r="F233" i="4" s="1"/>
  <c r="B228" i="4"/>
  <c r="E228" i="4" s="1"/>
  <c r="F228" i="4" s="1"/>
  <c r="B189" i="4"/>
  <c r="E189" i="4" s="1"/>
  <c r="F189" i="4" s="1"/>
  <c r="B150" i="4"/>
  <c r="E150" i="4" s="1"/>
  <c r="F150" i="4" s="1"/>
  <c r="B178" i="4"/>
  <c r="E178" i="4" s="1"/>
  <c r="F178" i="4" s="1"/>
  <c r="B220" i="4"/>
  <c r="E220" i="4" s="1"/>
  <c r="F220" i="4" s="1"/>
  <c r="B199" i="4"/>
  <c r="E199" i="4" s="1"/>
  <c r="F199" i="4" s="1"/>
  <c r="B238" i="4"/>
  <c r="E238" i="4" s="1"/>
  <c r="F238" i="4" s="1"/>
  <c r="B227" i="4"/>
  <c r="E227" i="4" s="1"/>
  <c r="F227" i="4" s="1"/>
  <c r="B191" i="4"/>
  <c r="E191" i="4" s="1"/>
  <c r="F191" i="4" s="1"/>
  <c r="B179" i="4"/>
  <c r="E179" i="4" s="1"/>
  <c r="F179" i="4" s="1"/>
  <c r="B154" i="4"/>
  <c r="E154" i="4" s="1"/>
  <c r="F154" i="4" s="1"/>
  <c r="B206" i="4"/>
  <c r="E206" i="4" s="1"/>
  <c r="F206" i="4" s="1"/>
  <c r="B213" i="4"/>
  <c r="E213" i="4" s="1"/>
  <c r="F213" i="4" s="1"/>
  <c r="B219" i="4"/>
  <c r="E219" i="4" s="1"/>
  <c r="F219" i="4" s="1"/>
  <c r="B134" i="4"/>
  <c r="E134" i="4" s="1"/>
  <c r="F134" i="4" s="1"/>
  <c r="B223" i="4"/>
  <c r="E223" i="4" s="1"/>
  <c r="F223" i="4" s="1"/>
  <c r="B175" i="4"/>
  <c r="E175" i="4" s="1"/>
  <c r="F175" i="4" s="1"/>
  <c r="B183" i="4"/>
  <c r="E183" i="4" s="1"/>
  <c r="F183" i="4" s="1"/>
  <c r="B180" i="4"/>
  <c r="E180" i="4" s="1"/>
  <c r="F180" i="4" s="1"/>
  <c r="B79" i="4"/>
  <c r="E79" i="4" s="1"/>
  <c r="F79" i="4" s="1"/>
  <c r="B193" i="4"/>
  <c r="E193" i="4" s="1"/>
  <c r="F193" i="4" s="1"/>
  <c r="B120" i="4"/>
  <c r="E120" i="4" s="1"/>
  <c r="F120" i="4" s="1"/>
  <c r="B123" i="4"/>
  <c r="E123" i="4" s="1"/>
  <c r="F123" i="4" s="1"/>
  <c r="B75" i="4"/>
  <c r="E75" i="4" s="1"/>
  <c r="F75" i="4" s="1"/>
  <c r="B144" i="4"/>
  <c r="E144" i="4" s="1"/>
  <c r="F144" i="4" s="1"/>
  <c r="B131" i="4"/>
  <c r="E131" i="4" s="1"/>
  <c r="F131" i="4" s="1"/>
  <c r="B74" i="4"/>
  <c r="E74" i="4" s="1"/>
  <c r="F74" i="4" s="1"/>
  <c r="B107" i="4"/>
  <c r="E107" i="4" s="1"/>
  <c r="F107" i="4" s="1"/>
  <c r="B164" i="4"/>
  <c r="E164" i="4" s="1"/>
  <c r="F164" i="4" s="1"/>
  <c r="B115" i="4"/>
  <c r="E115" i="4" s="1"/>
  <c r="F115" i="4" s="1"/>
  <c r="B103" i="4"/>
  <c r="E103" i="4" s="1"/>
  <c r="F103" i="4" s="1"/>
  <c r="B73" i="4"/>
  <c r="E73" i="4" s="1"/>
  <c r="F73" i="4" s="1"/>
  <c r="B127" i="4"/>
  <c r="E127" i="4" s="1"/>
  <c r="F127" i="4" s="1"/>
  <c r="B89" i="4"/>
  <c r="E89" i="4" s="1"/>
  <c r="F89" i="4" s="1"/>
  <c r="B126" i="4"/>
  <c r="E126" i="4" s="1"/>
  <c r="F126" i="4" s="1"/>
  <c r="B110" i="4"/>
  <c r="E110" i="4" s="1"/>
  <c r="F110" i="4" s="1"/>
  <c r="B113" i="4"/>
  <c r="E113" i="4" s="1"/>
  <c r="F113" i="4" s="1"/>
  <c r="H98" i="4"/>
  <c r="J98" i="4"/>
  <c r="I98" i="4"/>
  <c r="I93" i="4"/>
  <c r="H93" i="4"/>
  <c r="J93" i="4"/>
  <c r="B225" i="4"/>
  <c r="E225" i="4" s="1"/>
  <c r="F225" i="4" s="1"/>
  <c r="B158" i="4"/>
  <c r="E158" i="4" s="1"/>
  <c r="F158" i="4" s="1"/>
  <c r="B203" i="4"/>
  <c r="E203" i="4" s="1"/>
  <c r="F203" i="4" s="1"/>
  <c r="B181" i="4"/>
  <c r="E181" i="4" s="1"/>
  <c r="F181" i="4" s="1"/>
  <c r="B226" i="4"/>
  <c r="E226" i="4" s="1"/>
  <c r="F226" i="4" s="1"/>
  <c r="B102" i="4"/>
  <c r="E102" i="4" s="1"/>
  <c r="F102" i="4" s="1"/>
  <c r="B172" i="4"/>
  <c r="E172" i="4" s="1"/>
  <c r="F172" i="4" s="1"/>
  <c r="B111" i="4"/>
  <c r="E111" i="4" s="1"/>
  <c r="F111" i="4" s="1"/>
  <c r="B130" i="4"/>
  <c r="E130" i="4" s="1"/>
  <c r="F130" i="4" s="1"/>
  <c r="B114" i="4"/>
  <c r="E114" i="4" s="1"/>
  <c r="F114" i="4" s="1"/>
  <c r="B136" i="4"/>
  <c r="E136" i="4" s="1"/>
  <c r="F136" i="4" s="1"/>
  <c r="B72" i="4"/>
  <c r="E72" i="4" s="1"/>
  <c r="F72" i="4" s="1"/>
  <c r="B92" i="4"/>
  <c r="E92" i="4" s="1"/>
  <c r="F92" i="4" s="1"/>
  <c r="J121" i="4"/>
  <c r="H121" i="4"/>
  <c r="I121" i="4"/>
  <c r="B141" i="4"/>
  <c r="E141" i="4" s="1"/>
  <c r="F141" i="4" s="1"/>
  <c r="B157" i="4"/>
  <c r="E157" i="4" s="1"/>
  <c r="F157" i="4" s="1"/>
  <c r="B216" i="4"/>
  <c r="E216" i="4" s="1"/>
  <c r="F216" i="4" s="1"/>
  <c r="B235" i="4"/>
  <c r="E235" i="4" s="1"/>
  <c r="F235" i="4" s="1"/>
  <c r="B182" i="4"/>
  <c r="E182" i="4" s="1"/>
  <c r="F182" i="4" s="1"/>
  <c r="B184" i="4"/>
  <c r="E184" i="4" s="1"/>
  <c r="F184" i="4" s="1"/>
  <c r="B142" i="4"/>
  <c r="E142" i="4" s="1"/>
  <c r="F142" i="4" s="1"/>
  <c r="B165" i="4"/>
  <c r="E165" i="4" s="1"/>
  <c r="F165" i="4" s="1"/>
  <c r="B194" i="4"/>
  <c r="E194" i="4" s="1"/>
  <c r="F194" i="4" s="1"/>
  <c r="AM112" i="2"/>
  <c r="B169" i="4"/>
  <c r="E169" i="4" s="1"/>
  <c r="F169" i="4" s="1"/>
  <c r="B152" i="4"/>
  <c r="E152" i="4" s="1"/>
  <c r="F152" i="4" s="1"/>
  <c r="B96" i="4"/>
  <c r="E96" i="4" s="1"/>
  <c r="F96" i="4" s="1"/>
  <c r="B86" i="4"/>
  <c r="E86" i="4" s="1"/>
  <c r="F86" i="4" s="1"/>
  <c r="B109" i="4"/>
  <c r="E109" i="4" s="1"/>
  <c r="F109" i="4" s="1"/>
  <c r="B128" i="4"/>
  <c r="E128" i="4" s="1"/>
  <c r="F128" i="4" s="1"/>
  <c r="B119" i="4"/>
  <c r="E119" i="4" s="1"/>
  <c r="F119" i="4" s="1"/>
  <c r="B82" i="4"/>
  <c r="E82" i="4" s="1"/>
  <c r="F82" i="4" s="1"/>
  <c r="B101" i="4"/>
  <c r="E101" i="4" s="1"/>
  <c r="F101" i="4" s="1"/>
  <c r="B78" i="4"/>
  <c r="E78" i="4" s="1"/>
  <c r="F78" i="4" s="1"/>
  <c r="B137" i="4"/>
  <c r="E137" i="4" s="1"/>
  <c r="F137" i="4" s="1"/>
  <c r="B77" i="4"/>
  <c r="E77" i="4" s="1"/>
  <c r="F77" i="4" s="1"/>
  <c r="B100" i="4"/>
  <c r="E100" i="4" s="1"/>
  <c r="F100" i="4" s="1"/>
  <c r="B162" i="4"/>
  <c r="E162" i="4" s="1"/>
  <c r="F162" i="4" s="1"/>
  <c r="B156" i="4"/>
  <c r="E156" i="4" s="1"/>
  <c r="F156" i="4" s="1"/>
  <c r="B173" i="4"/>
  <c r="E173" i="4" s="1"/>
  <c r="F173" i="4" s="1"/>
  <c r="B147" i="4"/>
  <c r="E147" i="4" s="1"/>
  <c r="F147" i="4" s="1"/>
  <c r="B211" i="4"/>
  <c r="E211" i="4" s="1"/>
  <c r="F211" i="4" s="1"/>
  <c r="B232" i="4"/>
  <c r="E232" i="4" s="1"/>
  <c r="F232" i="4" s="1"/>
  <c r="B222" i="4"/>
  <c r="E222" i="4" s="1"/>
  <c r="F222" i="4" s="1"/>
  <c r="B161" i="4"/>
  <c r="E161" i="4" s="1"/>
  <c r="F161" i="4" s="1"/>
  <c r="B198" i="4"/>
  <c r="E198" i="4" s="1"/>
  <c r="F198" i="4" s="1"/>
  <c r="B186" i="4"/>
  <c r="E186" i="4" s="1"/>
  <c r="F186" i="4" s="1"/>
  <c r="B237" i="4"/>
  <c r="E237" i="4" s="1"/>
  <c r="F237" i="4" s="1"/>
  <c r="B133" i="4"/>
  <c r="E133" i="4" s="1"/>
  <c r="F133" i="4" s="1"/>
  <c r="B231" i="4"/>
  <c r="E231" i="4" s="1"/>
  <c r="F231" i="4" s="1"/>
  <c r="B188" i="4"/>
  <c r="E188" i="4" s="1"/>
  <c r="F188" i="4" s="1"/>
  <c r="B205" i="4"/>
  <c r="E205" i="4" s="1"/>
  <c r="F205" i="4" s="1"/>
  <c r="B207" i="4"/>
  <c r="E207" i="4" s="1"/>
  <c r="F207" i="4" s="1"/>
  <c r="B190" i="4"/>
  <c r="E190" i="4" s="1"/>
  <c r="F190" i="4" s="1"/>
  <c r="B210" i="4"/>
  <c r="E210" i="4" s="1"/>
  <c r="F210" i="4" s="1"/>
  <c r="B170" i="4"/>
  <c r="E170" i="4" s="1"/>
  <c r="F170" i="4" s="1"/>
  <c r="B208" i="4"/>
  <c r="E208" i="4" s="1"/>
  <c r="F208" i="4" s="1"/>
  <c r="B195" i="4"/>
  <c r="E195" i="4" s="1"/>
  <c r="F195" i="4" s="1"/>
  <c r="B215" i="4"/>
  <c r="E215" i="4" s="1"/>
  <c r="F215" i="4" s="1"/>
  <c r="B116" i="4"/>
  <c r="E116" i="4" s="1"/>
  <c r="F116" i="4" s="1"/>
  <c r="AM82" i="2"/>
  <c r="B139" i="4"/>
  <c r="E139" i="4" s="1"/>
  <c r="F139" i="4" s="1"/>
  <c r="B145" i="4"/>
  <c r="E145" i="4" s="1"/>
  <c r="F145" i="4" s="1"/>
  <c r="B135" i="4"/>
  <c r="E135" i="4" s="1"/>
  <c r="F135" i="4" s="1"/>
  <c r="B224" i="4"/>
  <c r="E224" i="4" s="1"/>
  <c r="F224" i="4" s="1"/>
  <c r="B87" i="4"/>
  <c r="E87" i="4" s="1"/>
  <c r="F87" i="4" s="1"/>
  <c r="B214" i="4"/>
  <c r="E214" i="4" s="1"/>
  <c r="F214" i="4" s="1"/>
  <c r="B168" i="4"/>
  <c r="E168" i="4" s="1"/>
  <c r="F168" i="4" s="1"/>
  <c r="B138" i="4"/>
  <c r="E138" i="4" s="1"/>
  <c r="F138" i="4" s="1"/>
  <c r="B108" i="4"/>
  <c r="E108" i="4" s="1"/>
  <c r="F108" i="4" s="1"/>
  <c r="B106" i="4"/>
  <c r="E106" i="4" s="1"/>
  <c r="F106" i="4" s="1"/>
  <c r="B122" i="4"/>
  <c r="E122" i="4" s="1"/>
  <c r="F122" i="4" s="1"/>
  <c r="B125" i="4"/>
  <c r="E125" i="4" s="1"/>
  <c r="F125" i="4" s="1"/>
  <c r="B80" i="4"/>
  <c r="E80" i="4" s="1"/>
  <c r="F80" i="4" s="1"/>
  <c r="B209" i="4"/>
  <c r="E209" i="4" s="1"/>
  <c r="F209" i="4" s="1"/>
  <c r="B117" i="4"/>
  <c r="E117" i="4" s="1"/>
  <c r="F117" i="4" s="1"/>
  <c r="B97" i="4"/>
  <c r="E97" i="4" s="1"/>
  <c r="F97" i="4" s="1"/>
  <c r="H84" i="4"/>
  <c r="J84" i="4"/>
  <c r="I84" i="4"/>
  <c r="J91" i="4"/>
  <c r="I91" i="4"/>
  <c r="H91" i="4"/>
  <c r="I76" i="4"/>
  <c r="H76" i="4"/>
  <c r="J76" i="4"/>
  <c r="AM75" i="2"/>
  <c r="AM86" i="2"/>
  <c r="AM177" i="2"/>
  <c r="L178" i="6" l="1"/>
  <c r="AM20" i="2"/>
  <c r="H81" i="4"/>
  <c r="L150" i="6"/>
  <c r="AG86" i="2"/>
  <c r="K143" i="4" s="1"/>
  <c r="L143" i="4" s="1"/>
  <c r="BU86" i="2"/>
  <c r="U91" i="6" s="1"/>
  <c r="BL165" i="2"/>
  <c r="AG177" i="2"/>
  <c r="K234" i="4" s="1"/>
  <c r="L234" i="4" s="1"/>
  <c r="M234" i="4" s="1"/>
  <c r="BU177" i="2"/>
  <c r="U182" i="6" s="1"/>
  <c r="AG112" i="2"/>
  <c r="K169" i="4" s="1"/>
  <c r="BU112" i="2"/>
  <c r="U117" i="6" s="1"/>
  <c r="BL34" i="2"/>
  <c r="BL16" i="2"/>
  <c r="BL139" i="2"/>
  <c r="BL104" i="2"/>
  <c r="AG145" i="2"/>
  <c r="BU145" i="2"/>
  <c r="U150" i="6" s="1"/>
  <c r="BL172" i="2"/>
  <c r="BL51" i="2"/>
  <c r="BL30" i="2"/>
  <c r="BL45" i="2"/>
  <c r="BL177" i="2"/>
  <c r="AG20" i="2"/>
  <c r="K77" i="4" s="1"/>
  <c r="L77" i="4" s="1"/>
  <c r="BU20" i="2"/>
  <c r="U25" i="6" s="1"/>
  <c r="AG126" i="2"/>
  <c r="K183" i="4" s="1"/>
  <c r="L183" i="4" s="1"/>
  <c r="BU126" i="2"/>
  <c r="U131" i="6" s="1"/>
  <c r="AG82" i="2"/>
  <c r="K139" i="4" s="1"/>
  <c r="L139" i="4" s="1"/>
  <c r="BU82" i="2"/>
  <c r="U87" i="6" s="1"/>
  <c r="AG179" i="2"/>
  <c r="K236" i="4" s="1"/>
  <c r="L236" i="4" s="1"/>
  <c r="M236" i="4" s="1"/>
  <c r="N236" i="4" s="1"/>
  <c r="BU179" i="2"/>
  <c r="U184" i="6" s="1"/>
  <c r="AG75" i="2"/>
  <c r="K132" i="4" s="1"/>
  <c r="L132" i="4" s="1"/>
  <c r="BU75" i="2"/>
  <c r="U80" i="6" s="1"/>
  <c r="BL149" i="2"/>
  <c r="BL57" i="2"/>
  <c r="BL157" i="2"/>
  <c r="AG124" i="2"/>
  <c r="K181" i="4" s="1"/>
  <c r="BU124" i="2"/>
  <c r="U129" i="6" s="1"/>
  <c r="BL64" i="2"/>
  <c r="BL28" i="2"/>
  <c r="BL62" i="2"/>
  <c r="BL47" i="2"/>
  <c r="BL144" i="2"/>
  <c r="BL54" i="2"/>
  <c r="BL96" i="2"/>
  <c r="BL108" i="2"/>
  <c r="BL50" i="2"/>
  <c r="BL94" i="2"/>
  <c r="BL164" i="2"/>
  <c r="BL48" i="2"/>
  <c r="BL124" i="2"/>
  <c r="BL103" i="2"/>
  <c r="BL182" i="2"/>
  <c r="AG173" i="2"/>
  <c r="K230" i="4" s="1"/>
  <c r="BU173" i="2"/>
  <c r="U178" i="6" s="1"/>
  <c r="J146" i="4"/>
  <c r="J81" i="4"/>
  <c r="AM155" i="2"/>
  <c r="J129" i="4"/>
  <c r="L129" i="6"/>
  <c r="H146" i="4"/>
  <c r="AM80" i="2"/>
  <c r="AM59" i="2"/>
  <c r="AM89" i="2"/>
  <c r="AM183" i="2"/>
  <c r="H15" i="6"/>
  <c r="AM144" i="2"/>
  <c r="AN11" i="2"/>
  <c r="H129" i="4"/>
  <c r="AQ15" i="2"/>
  <c r="AF59" i="2"/>
  <c r="AQ59" i="2"/>
  <c r="AF96" i="2"/>
  <c r="AQ96" i="2"/>
  <c r="AF128" i="2"/>
  <c r="AQ128" i="2"/>
  <c r="AF37" i="2"/>
  <c r="AQ37" i="2"/>
  <c r="AF132" i="2"/>
  <c r="AQ132" i="2"/>
  <c r="AF75" i="2"/>
  <c r="AQ75" i="2"/>
  <c r="AF57" i="2"/>
  <c r="AQ57" i="2"/>
  <c r="AF22" i="2"/>
  <c r="AQ22" i="2"/>
  <c r="AF119" i="2"/>
  <c r="AQ119" i="2"/>
  <c r="AF94" i="2"/>
  <c r="AQ94" i="2"/>
  <c r="AF98" i="2"/>
  <c r="AQ98" i="2"/>
  <c r="AF182" i="2"/>
  <c r="AQ182" i="2"/>
  <c r="AF50" i="2"/>
  <c r="AQ50" i="2"/>
  <c r="AF47" i="2"/>
  <c r="AQ47" i="2"/>
  <c r="AF106" i="2"/>
  <c r="AQ106" i="2"/>
  <c r="AF92" i="2"/>
  <c r="AQ92" i="2"/>
  <c r="AF62" i="2"/>
  <c r="AQ62" i="2"/>
  <c r="AF101" i="2"/>
  <c r="AQ101" i="2"/>
  <c r="AF19" i="2"/>
  <c r="AQ19" i="2"/>
  <c r="AF83" i="2"/>
  <c r="AQ83" i="2"/>
  <c r="AF55" i="2"/>
  <c r="AQ55" i="2"/>
  <c r="AF67" i="2"/>
  <c r="AQ67" i="2"/>
  <c r="AF124" i="2"/>
  <c r="AQ124" i="2"/>
  <c r="AF33" i="2"/>
  <c r="AQ33" i="2"/>
  <c r="AF20" i="2"/>
  <c r="AQ20" i="2"/>
  <c r="AF28" i="2"/>
  <c r="AQ28" i="2"/>
  <c r="AF54" i="2"/>
  <c r="AQ54" i="2"/>
  <c r="AF176" i="2"/>
  <c r="AQ176" i="2"/>
  <c r="AF91" i="2"/>
  <c r="AQ91" i="2"/>
  <c r="AF34" i="2"/>
  <c r="AQ34" i="2"/>
  <c r="AF114" i="2"/>
  <c r="AQ114" i="2"/>
  <c r="AF61" i="2"/>
  <c r="AQ61" i="2"/>
  <c r="AF126" i="2"/>
  <c r="AQ126" i="2"/>
  <c r="AF42" i="2"/>
  <c r="AQ42" i="2"/>
  <c r="AF81" i="2"/>
  <c r="AQ81" i="2"/>
  <c r="AF25" i="2"/>
  <c r="AQ25" i="2"/>
  <c r="AF95" i="2"/>
  <c r="AQ95" i="2"/>
  <c r="AF123" i="2"/>
  <c r="AQ123" i="2"/>
  <c r="AF174" i="2"/>
  <c r="AQ174" i="2"/>
  <c r="AF117" i="2"/>
  <c r="AQ117" i="2"/>
  <c r="AF141" i="2"/>
  <c r="AQ141" i="2"/>
  <c r="AF121" i="2"/>
  <c r="AQ121" i="2"/>
  <c r="AF166" i="2"/>
  <c r="AQ166" i="2"/>
  <c r="AF164" i="2"/>
  <c r="AQ164" i="2"/>
  <c r="AF64" i="2"/>
  <c r="AQ64" i="2"/>
  <c r="AF51" i="2"/>
  <c r="AQ51" i="2"/>
  <c r="AF74" i="2"/>
  <c r="AQ74" i="2"/>
  <c r="AF38" i="2"/>
  <c r="AQ38" i="2"/>
  <c r="AF105" i="2"/>
  <c r="AQ105" i="2"/>
  <c r="AF172" i="2"/>
  <c r="AQ172" i="2"/>
  <c r="AF177" i="2"/>
  <c r="AQ177" i="2"/>
  <c r="AF142" i="2"/>
  <c r="AQ142" i="2"/>
  <c r="AF162" i="2"/>
  <c r="AQ162" i="2"/>
  <c r="AF170" i="2"/>
  <c r="AQ170" i="2"/>
  <c r="AF45" i="2"/>
  <c r="AQ45" i="2"/>
  <c r="AF148" i="2"/>
  <c r="AQ148" i="2"/>
  <c r="AF135" i="2"/>
  <c r="AQ135" i="2"/>
  <c r="AF143" i="2"/>
  <c r="AQ143" i="2"/>
  <c r="AF89" i="2"/>
  <c r="AQ89" i="2"/>
  <c r="AF157" i="2"/>
  <c r="AQ157" i="2"/>
  <c r="AF27" i="2"/>
  <c r="AQ27" i="2"/>
  <c r="AF63" i="2"/>
  <c r="AQ63" i="2"/>
  <c r="AF103" i="2"/>
  <c r="AQ103" i="2"/>
  <c r="AF149" i="2"/>
  <c r="AQ149" i="2"/>
  <c r="AF139" i="2"/>
  <c r="AQ139" i="2"/>
  <c r="AF41" i="2"/>
  <c r="AQ41" i="2"/>
  <c r="AF29" i="2"/>
  <c r="AQ29" i="2"/>
  <c r="AF120" i="2"/>
  <c r="AQ120" i="2"/>
  <c r="AF161" i="2"/>
  <c r="AQ161" i="2"/>
  <c r="AF173" i="2"/>
  <c r="AQ173" i="2"/>
  <c r="AF110" i="2"/>
  <c r="AQ110" i="2"/>
  <c r="AF72" i="2"/>
  <c r="AQ72" i="2"/>
  <c r="AF122" i="2"/>
  <c r="AQ122" i="2"/>
  <c r="AF104" i="2"/>
  <c r="AQ104" i="2"/>
  <c r="AF16" i="2"/>
  <c r="AQ16" i="2"/>
  <c r="AF24" i="2"/>
  <c r="AQ24" i="2"/>
  <c r="AF144" i="2"/>
  <c r="AQ144" i="2"/>
  <c r="AF36" i="2"/>
  <c r="AQ36" i="2"/>
  <c r="AF183" i="2"/>
  <c r="AQ183" i="2"/>
  <c r="AF23" i="2"/>
  <c r="AQ23" i="2"/>
  <c r="AF30" i="2"/>
  <c r="AQ30" i="2"/>
  <c r="AF165" i="2"/>
  <c r="AQ165" i="2"/>
  <c r="AF43" i="2"/>
  <c r="AQ43" i="2"/>
  <c r="AF108" i="2"/>
  <c r="AQ108" i="2"/>
  <c r="AF125" i="2"/>
  <c r="AQ125" i="2"/>
  <c r="AF53" i="2"/>
  <c r="AQ53" i="2"/>
  <c r="AF70" i="2"/>
  <c r="AQ70" i="2"/>
  <c r="AF18" i="2"/>
  <c r="AQ18" i="2"/>
  <c r="AF48" i="2"/>
  <c r="AQ48" i="2"/>
  <c r="AF26" i="2"/>
  <c r="AQ26" i="2"/>
  <c r="AF86" i="2"/>
  <c r="AQ86" i="2"/>
  <c r="AF15" i="2"/>
  <c r="AM123" i="2"/>
  <c r="J117" i="4"/>
  <c r="H117" i="4"/>
  <c r="I117" i="4"/>
  <c r="H168" i="4"/>
  <c r="J168" i="4"/>
  <c r="I168" i="4"/>
  <c r="I139" i="4"/>
  <c r="H139" i="4"/>
  <c r="J139" i="4"/>
  <c r="H207" i="4"/>
  <c r="J207" i="4"/>
  <c r="I207" i="4"/>
  <c r="J133" i="4"/>
  <c r="I133" i="4"/>
  <c r="H133" i="4"/>
  <c r="H232" i="4"/>
  <c r="I232" i="4"/>
  <c r="J232" i="4"/>
  <c r="J156" i="4"/>
  <c r="I156" i="4"/>
  <c r="H156" i="4"/>
  <c r="J101" i="4"/>
  <c r="I101" i="4"/>
  <c r="H101" i="4"/>
  <c r="J109" i="4"/>
  <c r="I109" i="4"/>
  <c r="H109" i="4"/>
  <c r="J165" i="4"/>
  <c r="I165" i="4"/>
  <c r="H165" i="4"/>
  <c r="H235" i="4"/>
  <c r="J235" i="4"/>
  <c r="I235" i="4"/>
  <c r="J167" i="4"/>
  <c r="I167" i="4"/>
  <c r="H167" i="4"/>
  <c r="J212" i="4"/>
  <c r="H212" i="4"/>
  <c r="I212" i="4"/>
  <c r="J176" i="4"/>
  <c r="H176" i="4"/>
  <c r="I176" i="4"/>
  <c r="J105" i="4"/>
  <c r="H105" i="4"/>
  <c r="I105" i="4"/>
  <c r="I95" i="4"/>
  <c r="H95" i="4"/>
  <c r="J95" i="4"/>
  <c r="J159" i="4"/>
  <c r="I159" i="4"/>
  <c r="H159" i="4"/>
  <c r="H151" i="4"/>
  <c r="J151" i="4"/>
  <c r="I151" i="4"/>
  <c r="H143" i="4"/>
  <c r="I143" i="4"/>
  <c r="J143" i="4"/>
  <c r="J72" i="4"/>
  <c r="I72" i="4"/>
  <c r="H72" i="4"/>
  <c r="H114" i="4"/>
  <c r="J114" i="4"/>
  <c r="I114" i="4"/>
  <c r="J111" i="4"/>
  <c r="I111" i="4"/>
  <c r="H111" i="4"/>
  <c r="H102" i="4"/>
  <c r="J102" i="4"/>
  <c r="I102" i="4"/>
  <c r="I181" i="4"/>
  <c r="J181" i="4"/>
  <c r="H181" i="4"/>
  <c r="H158" i="4"/>
  <c r="J158" i="4"/>
  <c r="I158" i="4"/>
  <c r="I110" i="4"/>
  <c r="H110" i="4"/>
  <c r="J110" i="4"/>
  <c r="H89" i="4"/>
  <c r="J89" i="4"/>
  <c r="I89" i="4"/>
  <c r="I73" i="4"/>
  <c r="H73" i="4"/>
  <c r="J73" i="4"/>
  <c r="H115" i="4"/>
  <c r="J115" i="4"/>
  <c r="I115" i="4"/>
  <c r="H107" i="4"/>
  <c r="J107" i="4"/>
  <c r="I107" i="4"/>
  <c r="H131" i="4"/>
  <c r="J131" i="4"/>
  <c r="I131" i="4"/>
  <c r="I75" i="4"/>
  <c r="J75" i="4"/>
  <c r="H75" i="4"/>
  <c r="I120" i="4"/>
  <c r="H120" i="4"/>
  <c r="J120" i="4"/>
  <c r="I79" i="4"/>
  <c r="H79" i="4"/>
  <c r="J79" i="4"/>
  <c r="J183" i="4"/>
  <c r="H183" i="4"/>
  <c r="I183" i="4"/>
  <c r="I223" i="4"/>
  <c r="H223" i="4"/>
  <c r="J223" i="4"/>
  <c r="H219" i="4"/>
  <c r="J219" i="4"/>
  <c r="I219" i="4"/>
  <c r="H206" i="4"/>
  <c r="J206" i="4"/>
  <c r="I206" i="4"/>
  <c r="J179" i="4"/>
  <c r="I179" i="4"/>
  <c r="H179" i="4"/>
  <c r="I227" i="4"/>
  <c r="J227" i="4"/>
  <c r="H227" i="4"/>
  <c r="J199" i="4"/>
  <c r="I199" i="4"/>
  <c r="H199" i="4"/>
  <c r="I178" i="4"/>
  <c r="J178" i="4"/>
  <c r="H178" i="4"/>
  <c r="J189" i="4"/>
  <c r="H189" i="4"/>
  <c r="I189" i="4"/>
  <c r="I233" i="4"/>
  <c r="J233" i="4"/>
  <c r="H233" i="4"/>
  <c r="J185" i="4"/>
  <c r="I185" i="4"/>
  <c r="H185" i="4"/>
  <c r="J122" i="4"/>
  <c r="I122" i="4"/>
  <c r="H122" i="4"/>
  <c r="I87" i="4"/>
  <c r="H87" i="4"/>
  <c r="J87" i="4"/>
  <c r="H135" i="4"/>
  <c r="J135" i="4"/>
  <c r="I135" i="4"/>
  <c r="J215" i="4"/>
  <c r="I215" i="4"/>
  <c r="H215" i="4"/>
  <c r="I210" i="4"/>
  <c r="H210" i="4"/>
  <c r="J210" i="4"/>
  <c r="H188" i="4"/>
  <c r="J188" i="4"/>
  <c r="I188" i="4"/>
  <c r="I186" i="4"/>
  <c r="J186" i="4"/>
  <c r="H186" i="4"/>
  <c r="J161" i="4"/>
  <c r="I161" i="4"/>
  <c r="H161" i="4"/>
  <c r="H147" i="4"/>
  <c r="J147" i="4"/>
  <c r="I147" i="4"/>
  <c r="H100" i="4"/>
  <c r="I100" i="4"/>
  <c r="J100" i="4"/>
  <c r="H137" i="4"/>
  <c r="J137" i="4"/>
  <c r="I137" i="4"/>
  <c r="J119" i="4"/>
  <c r="I119" i="4"/>
  <c r="H119" i="4"/>
  <c r="H96" i="4"/>
  <c r="J96" i="4"/>
  <c r="I96" i="4"/>
  <c r="I169" i="4"/>
  <c r="J169" i="4"/>
  <c r="H169" i="4"/>
  <c r="H184" i="4"/>
  <c r="J184" i="4"/>
  <c r="I184" i="4"/>
  <c r="J157" i="4"/>
  <c r="I157" i="4"/>
  <c r="H157" i="4"/>
  <c r="I149" i="4"/>
  <c r="J149" i="4"/>
  <c r="H149" i="4"/>
  <c r="H204" i="4"/>
  <c r="I204" i="4"/>
  <c r="J204" i="4"/>
  <c r="H187" i="4"/>
  <c r="J187" i="4"/>
  <c r="I187" i="4"/>
  <c r="I236" i="4"/>
  <c r="J236" i="4"/>
  <c r="H236" i="4"/>
  <c r="I171" i="4"/>
  <c r="H171" i="4"/>
  <c r="J171" i="4"/>
  <c r="J83" i="4"/>
  <c r="I83" i="4"/>
  <c r="H83" i="4"/>
  <c r="J88" i="4"/>
  <c r="I88" i="4"/>
  <c r="H88" i="4"/>
  <c r="H166" i="4"/>
  <c r="J166" i="4"/>
  <c r="I166" i="4"/>
  <c r="H239" i="4"/>
  <c r="J239" i="4"/>
  <c r="I239" i="4"/>
  <c r="I197" i="4"/>
  <c r="H197" i="4"/>
  <c r="J197" i="4"/>
  <c r="I202" i="4"/>
  <c r="H202" i="4"/>
  <c r="J202" i="4"/>
  <c r="AM70" i="2"/>
  <c r="I97" i="4"/>
  <c r="H97" i="4"/>
  <c r="J97" i="4"/>
  <c r="H209" i="4"/>
  <c r="J209" i="4"/>
  <c r="I209" i="4"/>
  <c r="H125" i="4"/>
  <c r="J125" i="4"/>
  <c r="I125" i="4"/>
  <c r="H106" i="4"/>
  <c r="J106" i="4"/>
  <c r="I106" i="4"/>
  <c r="J138" i="4"/>
  <c r="I138" i="4"/>
  <c r="H138" i="4"/>
  <c r="I214" i="4"/>
  <c r="H214" i="4"/>
  <c r="J214" i="4"/>
  <c r="H224" i="4"/>
  <c r="J224" i="4"/>
  <c r="I224" i="4"/>
  <c r="J145" i="4"/>
  <c r="I145" i="4"/>
  <c r="H145" i="4"/>
  <c r="I116" i="4"/>
  <c r="J116" i="4"/>
  <c r="H116" i="4"/>
  <c r="H195" i="4"/>
  <c r="J195" i="4"/>
  <c r="I195" i="4"/>
  <c r="I170" i="4"/>
  <c r="J170" i="4"/>
  <c r="H170" i="4"/>
  <c r="H190" i="4"/>
  <c r="J190" i="4"/>
  <c r="I190" i="4"/>
  <c r="H205" i="4"/>
  <c r="I205" i="4"/>
  <c r="J205" i="4"/>
  <c r="J231" i="4"/>
  <c r="H231" i="4"/>
  <c r="I231" i="4"/>
  <c r="H237" i="4"/>
  <c r="I237" i="4"/>
  <c r="J237" i="4"/>
  <c r="I198" i="4"/>
  <c r="H198" i="4"/>
  <c r="J198" i="4"/>
  <c r="J222" i="4"/>
  <c r="H222" i="4"/>
  <c r="I222" i="4"/>
  <c r="J211" i="4"/>
  <c r="I211" i="4"/>
  <c r="H211" i="4"/>
  <c r="H173" i="4"/>
  <c r="J173" i="4"/>
  <c r="I173" i="4"/>
  <c r="I162" i="4"/>
  <c r="H162" i="4"/>
  <c r="J162" i="4"/>
  <c r="H77" i="4"/>
  <c r="J77" i="4"/>
  <c r="I77" i="4"/>
  <c r="I78" i="4"/>
  <c r="H78" i="4"/>
  <c r="J78" i="4"/>
  <c r="I82" i="4"/>
  <c r="H82" i="4"/>
  <c r="J82" i="4"/>
  <c r="H128" i="4"/>
  <c r="J128" i="4"/>
  <c r="I128" i="4"/>
  <c r="I86" i="4"/>
  <c r="H86" i="4"/>
  <c r="J86" i="4"/>
  <c r="H152" i="4"/>
  <c r="J152" i="4"/>
  <c r="I152" i="4"/>
  <c r="I194" i="4"/>
  <c r="H194" i="4"/>
  <c r="J194" i="4"/>
  <c r="J142" i="4"/>
  <c r="I142" i="4"/>
  <c r="H142" i="4"/>
  <c r="J182" i="4"/>
  <c r="I182" i="4"/>
  <c r="H182" i="4"/>
  <c r="H216" i="4"/>
  <c r="I216" i="4"/>
  <c r="J216" i="4"/>
  <c r="H141" i="4"/>
  <c r="J141" i="4"/>
  <c r="I141" i="4"/>
  <c r="I85" i="4"/>
  <c r="J85" i="4"/>
  <c r="H85" i="4"/>
  <c r="H104" i="4"/>
  <c r="J104" i="4"/>
  <c r="I104" i="4"/>
  <c r="H174" i="4"/>
  <c r="J174" i="4"/>
  <c r="I174" i="4"/>
  <c r="I200" i="4"/>
  <c r="J200" i="4"/>
  <c r="H200" i="4"/>
  <c r="H177" i="4"/>
  <c r="J177" i="4"/>
  <c r="I177" i="4"/>
  <c r="H234" i="4"/>
  <c r="I234" i="4"/>
  <c r="J234" i="4"/>
  <c r="H148" i="4"/>
  <c r="J148" i="4"/>
  <c r="I148" i="4"/>
  <c r="I90" i="4"/>
  <c r="H90" i="4"/>
  <c r="J90" i="4"/>
  <c r="H218" i="4"/>
  <c r="I218" i="4"/>
  <c r="J218" i="4"/>
  <c r="I132" i="4"/>
  <c r="H132" i="4"/>
  <c r="J132" i="4"/>
  <c r="I155" i="4"/>
  <c r="H155" i="4"/>
  <c r="J155" i="4"/>
  <c r="H153" i="4"/>
  <c r="J153" i="4"/>
  <c r="I153" i="4"/>
  <c r="H196" i="4"/>
  <c r="J196" i="4"/>
  <c r="I196" i="4"/>
  <c r="J160" i="4"/>
  <c r="I160" i="4"/>
  <c r="H160" i="4"/>
  <c r="H192" i="4"/>
  <c r="J192" i="4"/>
  <c r="I192" i="4"/>
  <c r="H112" i="4"/>
  <c r="J112" i="4"/>
  <c r="I112" i="4"/>
  <c r="H140" i="4"/>
  <c r="J140" i="4"/>
  <c r="I140" i="4"/>
  <c r="J230" i="4"/>
  <c r="H230" i="4"/>
  <c r="I230" i="4"/>
  <c r="H229" i="4"/>
  <c r="I229" i="4"/>
  <c r="J229" i="4"/>
  <c r="I80" i="4"/>
  <c r="H80" i="4"/>
  <c r="J80" i="4"/>
  <c r="I108" i="4"/>
  <c r="H108" i="4"/>
  <c r="J108" i="4"/>
  <c r="H208" i="4"/>
  <c r="I208" i="4"/>
  <c r="J208" i="4"/>
  <c r="K202" i="4"/>
  <c r="L202" i="4" s="1"/>
  <c r="J92" i="4"/>
  <c r="I92" i="4"/>
  <c r="H92" i="4"/>
  <c r="J136" i="4"/>
  <c r="H136" i="4"/>
  <c r="I136" i="4"/>
  <c r="H130" i="4"/>
  <c r="I130" i="4"/>
  <c r="J130" i="4"/>
  <c r="I172" i="4"/>
  <c r="H172" i="4"/>
  <c r="J172" i="4"/>
  <c r="I226" i="4"/>
  <c r="J226" i="4"/>
  <c r="H226" i="4"/>
  <c r="H203" i="4"/>
  <c r="J203" i="4"/>
  <c r="I203" i="4"/>
  <c r="J225" i="4"/>
  <c r="H225" i="4"/>
  <c r="I225" i="4"/>
  <c r="J113" i="4"/>
  <c r="I113" i="4"/>
  <c r="H113" i="4"/>
  <c r="J126" i="4"/>
  <c r="I126" i="4"/>
  <c r="H126" i="4"/>
  <c r="H127" i="4"/>
  <c r="J127" i="4"/>
  <c r="I127" i="4"/>
  <c r="I103" i="4"/>
  <c r="H103" i="4"/>
  <c r="J103" i="4"/>
  <c r="H164" i="4"/>
  <c r="J164" i="4"/>
  <c r="I164" i="4"/>
  <c r="B61" i="4"/>
  <c r="B62" i="4" s="1"/>
  <c r="J74" i="4"/>
  <c r="I74" i="4"/>
  <c r="H74" i="4"/>
  <c r="I144" i="4"/>
  <c r="H144" i="4"/>
  <c r="J144" i="4"/>
  <c r="J123" i="4"/>
  <c r="I123" i="4"/>
  <c r="H123" i="4"/>
  <c r="I193" i="4"/>
  <c r="H193" i="4"/>
  <c r="J193" i="4"/>
  <c r="I180" i="4"/>
  <c r="H180" i="4"/>
  <c r="J180" i="4"/>
  <c r="J175" i="4"/>
  <c r="H175" i="4"/>
  <c r="I175" i="4"/>
  <c r="I134" i="4"/>
  <c r="H134" i="4"/>
  <c r="J134" i="4"/>
  <c r="J213" i="4"/>
  <c r="H213" i="4"/>
  <c r="I213" i="4"/>
  <c r="I154" i="4"/>
  <c r="H154" i="4"/>
  <c r="J154" i="4"/>
  <c r="I191" i="4"/>
  <c r="H191" i="4"/>
  <c r="J191" i="4"/>
  <c r="J238" i="4"/>
  <c r="I238" i="4"/>
  <c r="H238" i="4"/>
  <c r="I220" i="4"/>
  <c r="H220" i="4"/>
  <c r="J220" i="4"/>
  <c r="H150" i="4"/>
  <c r="J150" i="4"/>
  <c r="I150" i="4"/>
  <c r="I228" i="4"/>
  <c r="H228" i="4"/>
  <c r="J228" i="4"/>
  <c r="J217" i="4"/>
  <c r="I217" i="4"/>
  <c r="H217" i="4"/>
  <c r="AM102" i="2"/>
  <c r="AM35" i="2"/>
  <c r="AM122" i="2"/>
  <c r="AM91" i="2"/>
  <c r="AM182" i="2"/>
  <c r="AM90" i="2"/>
  <c r="AM95" i="2"/>
  <c r="AM171" i="2"/>
  <c r="AM158" i="2"/>
  <c r="AM165" i="2"/>
  <c r="AM26" i="2"/>
  <c r="AM141" i="2"/>
  <c r="AM150" i="2"/>
  <c r="AM151" i="2"/>
  <c r="AM104" i="2"/>
  <c r="AM73" i="2"/>
  <c r="AM16" i="2"/>
  <c r="AM128" i="2"/>
  <c r="AM132" i="2"/>
  <c r="AM36" i="2"/>
  <c r="AM140" i="2"/>
  <c r="AM136" i="2"/>
  <c r="AM175" i="2"/>
  <c r="AM170" i="2"/>
  <c r="AM111" i="2"/>
  <c r="AM88" i="2"/>
  <c r="AM98" i="2"/>
  <c r="AM114" i="2"/>
  <c r="AM164" i="2"/>
  <c r="AM56" i="2"/>
  <c r="AM45" i="2"/>
  <c r="AM148" i="2"/>
  <c r="AM169" i="2"/>
  <c r="AM109" i="2"/>
  <c r="AM163" i="2"/>
  <c r="AM41" i="2"/>
  <c r="AM21" i="2"/>
  <c r="AM63" i="2"/>
  <c r="AM44" i="2"/>
  <c r="AM68" i="2"/>
  <c r="AM153" i="2"/>
  <c r="AM92" i="2"/>
  <c r="AM161" i="2"/>
  <c r="AM129" i="2"/>
  <c r="AM156" i="2"/>
  <c r="AM97" i="2"/>
  <c r="AM69" i="2"/>
  <c r="AM142" i="2"/>
  <c r="AM121" i="2"/>
  <c r="AM55" i="2"/>
  <c r="AM160" i="2"/>
  <c r="AM152" i="2"/>
  <c r="AM113" i="2"/>
  <c r="AM71" i="2"/>
  <c r="AM108" i="2"/>
  <c r="AM131" i="2"/>
  <c r="AM127" i="2"/>
  <c r="AM116" i="2"/>
  <c r="AM17" i="2"/>
  <c r="AM166" i="2"/>
  <c r="AM57" i="2"/>
  <c r="AM84" i="2"/>
  <c r="AM167" i="2"/>
  <c r="AM159" i="2"/>
  <c r="AM137" i="2"/>
  <c r="AM79" i="2"/>
  <c r="AM135" i="2"/>
  <c r="AM53" i="2"/>
  <c r="AM42" i="2"/>
  <c r="AM64" i="2"/>
  <c r="AM77" i="2"/>
  <c r="AM139" i="2"/>
  <c r="AM134" i="2"/>
  <c r="AM40" i="2"/>
  <c r="AM106" i="2"/>
  <c r="AM78" i="2"/>
  <c r="AM172" i="2"/>
  <c r="AM117" i="2"/>
  <c r="AM19" i="2"/>
  <c r="AM38" i="2"/>
  <c r="AM28" i="2"/>
  <c r="AM15" i="2"/>
  <c r="BU15" i="2" s="1"/>
  <c r="U20" i="6" s="1"/>
  <c r="AM120" i="2"/>
  <c r="AM119" i="2"/>
  <c r="AM58" i="2"/>
  <c r="AM54" i="2"/>
  <c r="AM103" i="2"/>
  <c r="AM168" i="2"/>
  <c r="AM176" i="2"/>
  <c r="AM96" i="2"/>
  <c r="AM162" i="2"/>
  <c r="AM85" i="2"/>
  <c r="AM87" i="2"/>
  <c r="AM48" i="2"/>
  <c r="AM115" i="2"/>
  <c r="AM118" i="2"/>
  <c r="AM143" i="2"/>
  <c r="AM47" i="2"/>
  <c r="AM31" i="2"/>
  <c r="AM107" i="2"/>
  <c r="AM27" i="2"/>
  <c r="AM25" i="2"/>
  <c r="AM174" i="2"/>
  <c r="AM181" i="2"/>
  <c r="AM101" i="2"/>
  <c r="AM33" i="2"/>
  <c r="AM178" i="2"/>
  <c r="AM105" i="2"/>
  <c r="AM29" i="2"/>
  <c r="AM24" i="2"/>
  <c r="AM32" i="2"/>
  <c r="AM81" i="2"/>
  <c r="AM37" i="2"/>
  <c r="AM61" i="2"/>
  <c r="AM52" i="2"/>
  <c r="AM65" i="2"/>
  <c r="AM133" i="2"/>
  <c r="AM138" i="2"/>
  <c r="AM39" i="2"/>
  <c r="AM130" i="2"/>
  <c r="AM76" i="2"/>
  <c r="AM83" i="2"/>
  <c r="AM146" i="2"/>
  <c r="AM60" i="2"/>
  <c r="AM147" i="2"/>
  <c r="AM110" i="2"/>
  <c r="AM93" i="2"/>
  <c r="AM46" i="2"/>
  <c r="AM49" i="2"/>
  <c r="AM94" i="2"/>
  <c r="AM72" i="2"/>
  <c r="AM23" i="2"/>
  <c r="AM66" i="2"/>
  <c r="AM99" i="2"/>
  <c r="AM18" i="2"/>
  <c r="AM149" i="2"/>
  <c r="AM50" i="2"/>
  <c r="AM67" i="2"/>
  <c r="AM125" i="2"/>
  <c r="AM180" i="2"/>
  <c r="AM157" i="2"/>
  <c r="AM100" i="2"/>
  <c r="AM34" i="2"/>
  <c r="AM154" i="2"/>
  <c r="AM22" i="2"/>
  <c r="AM74" i="2"/>
  <c r="AV178" i="6" l="1"/>
  <c r="AM178" i="6"/>
  <c r="AV131" i="6"/>
  <c r="AM131" i="6"/>
  <c r="AV129" i="6"/>
  <c r="AM129" i="6"/>
  <c r="AM150" i="6"/>
  <c r="AV150" i="6"/>
  <c r="AV182" i="6"/>
  <c r="AM182" i="6"/>
  <c r="K122" i="1"/>
  <c r="AV20" i="6"/>
  <c r="AM20" i="6"/>
  <c r="AM117" i="6"/>
  <c r="AV117" i="6"/>
  <c r="AV184" i="6"/>
  <c r="AM184" i="6"/>
  <c r="AV91" i="6"/>
  <c r="AM91" i="6"/>
  <c r="AV80" i="6"/>
  <c r="AM80" i="6"/>
  <c r="AM87" i="6"/>
  <c r="AV87" i="6"/>
  <c r="AV25" i="6"/>
  <c r="AM25" i="6"/>
  <c r="BL10" i="2"/>
  <c r="AG154" i="2"/>
  <c r="K211" i="4" s="1"/>
  <c r="BU154" i="2"/>
  <c r="U159" i="6" s="1"/>
  <c r="AG60" i="2"/>
  <c r="K117" i="4" s="1"/>
  <c r="BU60" i="2"/>
  <c r="U65" i="6" s="1"/>
  <c r="AG181" i="2"/>
  <c r="K238" i="4" s="1"/>
  <c r="L238" i="4" s="1"/>
  <c r="BU181" i="2"/>
  <c r="U186" i="6" s="1"/>
  <c r="AG119" i="2"/>
  <c r="K176" i="4" s="1"/>
  <c r="L176" i="4" s="1"/>
  <c r="M176" i="4" s="1"/>
  <c r="BU119" i="2"/>
  <c r="U124" i="6" s="1"/>
  <c r="AG53" i="2"/>
  <c r="K110" i="4" s="1"/>
  <c r="L110" i="4" s="1"/>
  <c r="M110" i="4" s="1"/>
  <c r="BU53" i="2"/>
  <c r="U58" i="6" s="1"/>
  <c r="AG131" i="2"/>
  <c r="K188" i="4" s="1"/>
  <c r="L188" i="4" s="1"/>
  <c r="M188" i="4" s="1"/>
  <c r="BU131" i="2"/>
  <c r="U136" i="6" s="1"/>
  <c r="AG129" i="2"/>
  <c r="K186" i="4" s="1"/>
  <c r="L186" i="4" s="1"/>
  <c r="BU129" i="2"/>
  <c r="U134" i="6" s="1"/>
  <c r="AG114" i="2"/>
  <c r="K171" i="4" s="1"/>
  <c r="L171" i="4" s="1"/>
  <c r="BU114" i="2"/>
  <c r="U119" i="6" s="1"/>
  <c r="AG73" i="2"/>
  <c r="BU73" i="2"/>
  <c r="U78" i="6" s="1"/>
  <c r="AG91" i="2"/>
  <c r="K148" i="4" s="1"/>
  <c r="L148" i="4" s="1"/>
  <c r="BU91" i="2"/>
  <c r="U96" i="6" s="1"/>
  <c r="AZ86" i="2"/>
  <c r="AV86" i="2"/>
  <c r="BC86" i="2"/>
  <c r="AY86" i="2"/>
  <c r="BB86" i="2"/>
  <c r="AX86" i="2"/>
  <c r="BA86" i="2"/>
  <c r="AW86" i="2"/>
  <c r="BB43" i="2"/>
  <c r="AX43" i="2"/>
  <c r="BA43" i="2"/>
  <c r="AW43" i="2"/>
  <c r="AZ43" i="2"/>
  <c r="AV43" i="2"/>
  <c r="AY43" i="2"/>
  <c r="BC43" i="2"/>
  <c r="AZ144" i="2"/>
  <c r="AV144" i="2"/>
  <c r="BC144" i="2"/>
  <c r="AY144" i="2"/>
  <c r="BB144" i="2"/>
  <c r="AX144" i="2"/>
  <c r="BA144" i="2"/>
  <c r="BJ144" i="2"/>
  <c r="BK144" i="2" s="1"/>
  <c r="BT144" i="2" s="1"/>
  <c r="T149" i="6" s="1"/>
  <c r="AW144" i="2"/>
  <c r="BB29" i="2"/>
  <c r="AX29" i="2"/>
  <c r="BA29" i="2"/>
  <c r="AW29" i="2"/>
  <c r="AZ29" i="2"/>
  <c r="AV29" i="2"/>
  <c r="BJ29" i="2"/>
  <c r="BK29" i="2" s="1"/>
  <c r="BT29" i="2" s="1"/>
  <c r="T34" i="6" s="1"/>
  <c r="AY29" i="2"/>
  <c r="BC29" i="2"/>
  <c r="BB45" i="2"/>
  <c r="AX45" i="2"/>
  <c r="BA45" i="2"/>
  <c r="AW45" i="2"/>
  <c r="AZ45" i="2"/>
  <c r="AV45" i="2"/>
  <c r="AY45" i="2"/>
  <c r="BJ45" i="2"/>
  <c r="BK45" i="2" s="1"/>
  <c r="BT45" i="2" s="1"/>
  <c r="T50" i="6" s="1"/>
  <c r="BC45" i="2"/>
  <c r="AZ91" i="2"/>
  <c r="AV91" i="2"/>
  <c r="BC91" i="2"/>
  <c r="AY91" i="2"/>
  <c r="BB91" i="2"/>
  <c r="AX91" i="2"/>
  <c r="BA91" i="2"/>
  <c r="AW91" i="2"/>
  <c r="BJ91" i="2"/>
  <c r="BK91" i="2" s="1"/>
  <c r="BT91" i="2" s="1"/>
  <c r="T96" i="6" s="1"/>
  <c r="AG34" i="2"/>
  <c r="K91" i="4" s="1"/>
  <c r="L91" i="4" s="1"/>
  <c r="M91" i="4" s="1"/>
  <c r="BU34" i="2"/>
  <c r="U39" i="6" s="1"/>
  <c r="AG125" i="2"/>
  <c r="BU125" i="2"/>
  <c r="U130" i="6" s="1"/>
  <c r="AG18" i="2"/>
  <c r="K75" i="4" s="1"/>
  <c r="L75" i="4" s="1"/>
  <c r="M75" i="4" s="1"/>
  <c r="BU18" i="2"/>
  <c r="U23" i="6" s="1"/>
  <c r="AG72" i="2"/>
  <c r="K129" i="4" s="1"/>
  <c r="BU72" i="2"/>
  <c r="U77" i="6" s="1"/>
  <c r="AG93" i="2"/>
  <c r="K150" i="4" s="1"/>
  <c r="L150" i="4" s="1"/>
  <c r="BU93" i="2"/>
  <c r="U98" i="6" s="1"/>
  <c r="AG146" i="2"/>
  <c r="K203" i="4" s="1"/>
  <c r="L203" i="4" s="1"/>
  <c r="BU146" i="2"/>
  <c r="U151" i="6" s="1"/>
  <c r="AG39" i="2"/>
  <c r="K96" i="4" s="1"/>
  <c r="L96" i="4" s="1"/>
  <c r="M96" i="4" s="1"/>
  <c r="BU39" i="2"/>
  <c r="U44" i="6" s="1"/>
  <c r="AG52" i="2"/>
  <c r="BU52" i="2"/>
  <c r="U57" i="6" s="1"/>
  <c r="AG32" i="2"/>
  <c r="K89" i="4" s="1"/>
  <c r="BU32" i="2"/>
  <c r="U37" i="6" s="1"/>
  <c r="AG178" i="2"/>
  <c r="K235" i="4" s="1"/>
  <c r="L235" i="4" s="1"/>
  <c r="BU178" i="2"/>
  <c r="U183" i="6" s="1"/>
  <c r="AG174" i="2"/>
  <c r="K231" i="4" s="1"/>
  <c r="BU174" i="2"/>
  <c r="U179" i="6" s="1"/>
  <c r="AG31" i="2"/>
  <c r="K88" i="4" s="1"/>
  <c r="L88" i="4" s="1"/>
  <c r="M88" i="4" s="1"/>
  <c r="BU31" i="2"/>
  <c r="U36" i="6" s="1"/>
  <c r="AG115" i="2"/>
  <c r="K172" i="4" s="1"/>
  <c r="L172" i="4" s="1"/>
  <c r="BU115" i="2"/>
  <c r="U120" i="6" s="1"/>
  <c r="AG162" i="2"/>
  <c r="K219" i="4" s="1"/>
  <c r="L219" i="4" s="1"/>
  <c r="BU162" i="2"/>
  <c r="U167" i="6" s="1"/>
  <c r="AG103" i="2"/>
  <c r="K160" i="4" s="1"/>
  <c r="BU103" i="2"/>
  <c r="U108" i="6" s="1"/>
  <c r="AG120" i="2"/>
  <c r="K177" i="4" s="1"/>
  <c r="BU120" i="2"/>
  <c r="U125" i="6" s="1"/>
  <c r="AG19" i="2"/>
  <c r="K76" i="4" s="1"/>
  <c r="L76" i="4" s="1"/>
  <c r="M76" i="4" s="1"/>
  <c r="N76" i="4" s="1"/>
  <c r="BU19" i="2"/>
  <c r="U24" i="6" s="1"/>
  <c r="AG106" i="2"/>
  <c r="BU106" i="2"/>
  <c r="U111" i="6" s="1"/>
  <c r="AG77" i="2"/>
  <c r="K134" i="4" s="1"/>
  <c r="BU77" i="2"/>
  <c r="U82" i="6" s="1"/>
  <c r="AG135" i="2"/>
  <c r="BU135" i="2"/>
  <c r="U140" i="6" s="1"/>
  <c r="AG167" i="2"/>
  <c r="K224" i="4" s="1"/>
  <c r="BU167" i="2"/>
  <c r="U172" i="6" s="1"/>
  <c r="AG17" i="2"/>
  <c r="K74" i="4" s="1"/>
  <c r="L74" i="4" s="1"/>
  <c r="BU17" i="2"/>
  <c r="U22" i="6" s="1"/>
  <c r="AG108" i="2"/>
  <c r="K165" i="4" s="1"/>
  <c r="BU108" i="2"/>
  <c r="U113" i="6" s="1"/>
  <c r="AG160" i="2"/>
  <c r="K217" i="4" s="1"/>
  <c r="BU160" i="2"/>
  <c r="U165" i="6" s="1"/>
  <c r="AG69" i="2"/>
  <c r="K126" i="4" s="1"/>
  <c r="L126" i="4" s="1"/>
  <c r="BU69" i="2"/>
  <c r="U74" i="6" s="1"/>
  <c r="AG161" i="2"/>
  <c r="K218" i="4" s="1"/>
  <c r="L218" i="4" s="1"/>
  <c r="BU161" i="2"/>
  <c r="U166" i="6" s="1"/>
  <c r="AG44" i="2"/>
  <c r="K101" i="4" s="1"/>
  <c r="BU44" i="2"/>
  <c r="U49" i="6" s="1"/>
  <c r="AG163" i="2"/>
  <c r="BU163" i="2"/>
  <c r="U168" i="6" s="1"/>
  <c r="AG45" i="2"/>
  <c r="K102" i="4" s="1"/>
  <c r="BU45" i="2"/>
  <c r="U50" i="6" s="1"/>
  <c r="AG98" i="2"/>
  <c r="BU98" i="2"/>
  <c r="U103" i="6" s="1"/>
  <c r="AG175" i="2"/>
  <c r="K232" i="4" s="1"/>
  <c r="L232" i="4" s="1"/>
  <c r="BU175" i="2"/>
  <c r="U180" i="6" s="1"/>
  <c r="AG132" i="2"/>
  <c r="BU132" i="2"/>
  <c r="U137" i="6" s="1"/>
  <c r="AG104" i="2"/>
  <c r="K161" i="4" s="1"/>
  <c r="BU104" i="2"/>
  <c r="U109" i="6" s="1"/>
  <c r="AG26" i="2"/>
  <c r="BU26" i="2"/>
  <c r="U31" i="6" s="1"/>
  <c r="AG95" i="2"/>
  <c r="K152" i="4" s="1"/>
  <c r="L152" i="4" s="1"/>
  <c r="BU95" i="2"/>
  <c r="U100" i="6" s="1"/>
  <c r="AG122" i="2"/>
  <c r="BU122" i="2"/>
  <c r="U127" i="6" s="1"/>
  <c r="AG123" i="2"/>
  <c r="K180" i="4" s="1"/>
  <c r="L180" i="4" s="1"/>
  <c r="M180" i="4" s="1"/>
  <c r="N180" i="4" s="1"/>
  <c r="O180" i="4" s="1"/>
  <c r="BU123" i="2"/>
  <c r="U128" i="6" s="1"/>
  <c r="AG144" i="2"/>
  <c r="K201" i="4" s="1"/>
  <c r="L201" i="4" s="1"/>
  <c r="M201" i="4" s="1"/>
  <c r="N201" i="4" s="1"/>
  <c r="AF201" i="4" s="1"/>
  <c r="BU144" i="2"/>
  <c r="U149" i="6" s="1"/>
  <c r="AG59" i="2"/>
  <c r="K116" i="4" s="1"/>
  <c r="L116" i="4" s="1"/>
  <c r="M116" i="4" s="1"/>
  <c r="AE116" i="4" s="1"/>
  <c r="BU59" i="2"/>
  <c r="U64" i="6" s="1"/>
  <c r="AG180" i="2"/>
  <c r="BU180" i="2"/>
  <c r="U185" i="6" s="1"/>
  <c r="AG23" i="2"/>
  <c r="K80" i="4" s="1"/>
  <c r="L80" i="4" s="1"/>
  <c r="BU23" i="2"/>
  <c r="U28" i="6" s="1"/>
  <c r="AG130" i="2"/>
  <c r="BU130" i="2"/>
  <c r="U135" i="6" s="1"/>
  <c r="AG81" i="2"/>
  <c r="K138" i="4" s="1"/>
  <c r="BU81" i="2"/>
  <c r="U86" i="6" s="1"/>
  <c r="AG107" i="2"/>
  <c r="K164" i="4" s="1"/>
  <c r="L164" i="4" s="1"/>
  <c r="M164" i="4" s="1"/>
  <c r="N164" i="4" s="1"/>
  <c r="BU107" i="2"/>
  <c r="U112" i="6" s="1"/>
  <c r="AG85" i="2"/>
  <c r="K142" i="4" s="1"/>
  <c r="BU85" i="2"/>
  <c r="U90" i="6" s="1"/>
  <c r="AG38" i="2"/>
  <c r="BU38" i="2"/>
  <c r="U43" i="6" s="1"/>
  <c r="AG139" i="2"/>
  <c r="K196" i="4" s="1"/>
  <c r="L196" i="4" s="1"/>
  <c r="BU139" i="2"/>
  <c r="U144" i="6" s="1"/>
  <c r="AG159" i="2"/>
  <c r="K216" i="4" s="1"/>
  <c r="L216" i="4" s="1"/>
  <c r="BU159" i="2"/>
  <c r="U164" i="6" s="1"/>
  <c r="AG152" i="2"/>
  <c r="K209" i="4" s="1"/>
  <c r="BU152" i="2"/>
  <c r="U157" i="6" s="1"/>
  <c r="AG142" i="2"/>
  <c r="K199" i="4" s="1"/>
  <c r="BU142" i="2"/>
  <c r="U147" i="6" s="1"/>
  <c r="AG68" i="2"/>
  <c r="K125" i="4" s="1"/>
  <c r="L125" i="4" s="1"/>
  <c r="M125" i="4" s="1"/>
  <c r="BU68" i="2"/>
  <c r="U73" i="6" s="1"/>
  <c r="AG148" i="2"/>
  <c r="BU148" i="2"/>
  <c r="U153" i="6" s="1"/>
  <c r="AG170" i="2"/>
  <c r="K227" i="4" s="1"/>
  <c r="L227" i="4" s="1"/>
  <c r="BU170" i="2"/>
  <c r="U175" i="6" s="1"/>
  <c r="AG36" i="2"/>
  <c r="BU36" i="2"/>
  <c r="U41" i="6" s="1"/>
  <c r="AG141" i="2"/>
  <c r="K198" i="4" s="1"/>
  <c r="BU141" i="2"/>
  <c r="U146" i="6" s="1"/>
  <c r="AG171" i="2"/>
  <c r="K228" i="4" s="1"/>
  <c r="L228" i="4" s="1"/>
  <c r="M228" i="4" s="1"/>
  <c r="N228" i="4" s="1"/>
  <c r="BU171" i="2"/>
  <c r="U176" i="6" s="1"/>
  <c r="AZ125" i="2"/>
  <c r="AV125" i="2"/>
  <c r="BC125" i="2"/>
  <c r="AY125" i="2"/>
  <c r="BB125" i="2"/>
  <c r="AX125" i="2"/>
  <c r="BA125" i="2"/>
  <c r="AW125" i="2"/>
  <c r="BB30" i="2"/>
  <c r="AX30" i="2"/>
  <c r="BA30" i="2"/>
  <c r="AW30" i="2"/>
  <c r="AZ30" i="2"/>
  <c r="AV30" i="2"/>
  <c r="BC30" i="2"/>
  <c r="AY30" i="2"/>
  <c r="BJ30" i="2"/>
  <c r="BK30" i="2" s="1"/>
  <c r="BT30" i="2" s="1"/>
  <c r="T35" i="6" s="1"/>
  <c r="BB16" i="2"/>
  <c r="AX16" i="2"/>
  <c r="BA16" i="2"/>
  <c r="AW16" i="2"/>
  <c r="AZ16" i="2"/>
  <c r="AV16" i="2"/>
  <c r="BC16" i="2"/>
  <c r="AY16" i="2"/>
  <c r="BJ16" i="2"/>
  <c r="BK16" i="2" s="1"/>
  <c r="BT16" i="2" s="1"/>
  <c r="T21" i="6" s="1"/>
  <c r="AZ110" i="2"/>
  <c r="AV110" i="2"/>
  <c r="BC110" i="2"/>
  <c r="AY110" i="2"/>
  <c r="BB110" i="2"/>
  <c r="AX110" i="2"/>
  <c r="BA110" i="2"/>
  <c r="AW110" i="2"/>
  <c r="AZ139" i="2"/>
  <c r="AV139" i="2"/>
  <c r="BC139" i="2"/>
  <c r="AY139" i="2"/>
  <c r="BB139" i="2"/>
  <c r="AX139" i="2"/>
  <c r="BA139" i="2"/>
  <c r="BJ139" i="2"/>
  <c r="BK139" i="2" s="1"/>
  <c r="BT139" i="2" s="1"/>
  <c r="T144" i="6" s="1"/>
  <c r="AW139" i="2"/>
  <c r="AZ89" i="2"/>
  <c r="AV89" i="2"/>
  <c r="BC89" i="2"/>
  <c r="AY89" i="2"/>
  <c r="BB89" i="2"/>
  <c r="AX89" i="2"/>
  <c r="BA89" i="2"/>
  <c r="BJ89" i="2"/>
  <c r="BK89" i="2" s="1"/>
  <c r="BT89" i="2" s="1"/>
  <c r="T94" i="6" s="1"/>
  <c r="AW89" i="2"/>
  <c r="BC162" i="2"/>
  <c r="AY162" i="2"/>
  <c r="BB162" i="2"/>
  <c r="AX162" i="2"/>
  <c r="BA162" i="2"/>
  <c r="AW162" i="2"/>
  <c r="AZ162" i="2"/>
  <c r="AV162" i="2"/>
  <c r="AZ105" i="2"/>
  <c r="AV105" i="2"/>
  <c r="BC105" i="2"/>
  <c r="AY105" i="2"/>
  <c r="BB105" i="2"/>
  <c r="AX105" i="2"/>
  <c r="BA105" i="2"/>
  <c r="AW105" i="2"/>
  <c r="BB64" i="2"/>
  <c r="AX64" i="2"/>
  <c r="BA64" i="2"/>
  <c r="AW64" i="2"/>
  <c r="AZ64" i="2"/>
  <c r="AV64" i="2"/>
  <c r="BC64" i="2"/>
  <c r="AY64" i="2"/>
  <c r="BJ64" i="2"/>
  <c r="BK64" i="2" s="1"/>
  <c r="BT64" i="2" s="1"/>
  <c r="T69" i="6" s="1"/>
  <c r="AZ141" i="2"/>
  <c r="AV141" i="2"/>
  <c r="BC141" i="2"/>
  <c r="AY141" i="2"/>
  <c r="BB141" i="2"/>
  <c r="AX141" i="2"/>
  <c r="BA141" i="2"/>
  <c r="AW141" i="2"/>
  <c r="AZ95" i="2"/>
  <c r="AV95" i="2"/>
  <c r="BC95" i="2"/>
  <c r="AY95" i="2"/>
  <c r="BB95" i="2"/>
  <c r="AX95" i="2"/>
  <c r="BA95" i="2"/>
  <c r="AW95" i="2"/>
  <c r="BJ95" i="2"/>
  <c r="BK95" i="2" s="1"/>
  <c r="BT95" i="2" s="1"/>
  <c r="T100" i="6" s="1"/>
  <c r="AZ126" i="2"/>
  <c r="AV126" i="2"/>
  <c r="BC126" i="2"/>
  <c r="AY126" i="2"/>
  <c r="BB126" i="2"/>
  <c r="AX126" i="2"/>
  <c r="BA126" i="2"/>
  <c r="AW126" i="2"/>
  <c r="BB20" i="2"/>
  <c r="AX20" i="2"/>
  <c r="BA20" i="2"/>
  <c r="AW20" i="2"/>
  <c r="AZ20" i="2"/>
  <c r="AV20" i="2"/>
  <c r="BC20" i="2"/>
  <c r="BJ20" i="2"/>
  <c r="BK20" i="2" s="1"/>
  <c r="BT20" i="2" s="1"/>
  <c r="T25" i="6" s="1"/>
  <c r="AY20" i="2"/>
  <c r="BB55" i="2"/>
  <c r="AX55" i="2"/>
  <c r="BA55" i="2"/>
  <c r="AW55" i="2"/>
  <c r="AZ55" i="2"/>
  <c r="AV55" i="2"/>
  <c r="AY55" i="2"/>
  <c r="BC55" i="2"/>
  <c r="BB62" i="2"/>
  <c r="AX62" i="2"/>
  <c r="BA62" i="2"/>
  <c r="AW62" i="2"/>
  <c r="AZ62" i="2"/>
  <c r="AV62" i="2"/>
  <c r="BC62" i="2"/>
  <c r="AY62" i="2"/>
  <c r="BJ62" i="2"/>
  <c r="BK62" i="2" s="1"/>
  <c r="BT62" i="2" s="1"/>
  <c r="T67" i="6" s="1"/>
  <c r="BB50" i="2"/>
  <c r="AX50" i="2"/>
  <c r="BA50" i="2"/>
  <c r="AW50" i="2"/>
  <c r="AZ50" i="2"/>
  <c r="AV50" i="2"/>
  <c r="BC50" i="2"/>
  <c r="AY50" i="2"/>
  <c r="BJ50" i="2"/>
  <c r="BK50" i="2" s="1"/>
  <c r="BT50" i="2" s="1"/>
  <c r="T55" i="6" s="1"/>
  <c r="AZ119" i="2"/>
  <c r="AV119" i="2"/>
  <c r="BC119" i="2"/>
  <c r="AY119" i="2"/>
  <c r="BB119" i="2"/>
  <c r="AX119" i="2"/>
  <c r="BA119" i="2"/>
  <c r="AW119" i="2"/>
  <c r="BJ119" i="2"/>
  <c r="BK119" i="2" s="1"/>
  <c r="BT119" i="2" s="1"/>
  <c r="T124" i="6" s="1"/>
  <c r="AZ132" i="2"/>
  <c r="AV132" i="2"/>
  <c r="BC132" i="2"/>
  <c r="AY132" i="2"/>
  <c r="BB132" i="2"/>
  <c r="AX132" i="2"/>
  <c r="BA132" i="2"/>
  <c r="AW132" i="2"/>
  <c r="AZ128" i="2"/>
  <c r="AV128" i="2"/>
  <c r="BC128" i="2"/>
  <c r="AY128" i="2"/>
  <c r="BB128" i="2"/>
  <c r="AX128" i="2"/>
  <c r="BA128" i="2"/>
  <c r="AW128" i="2"/>
  <c r="AG100" i="2"/>
  <c r="BU100" i="2"/>
  <c r="U105" i="6" s="1"/>
  <c r="AG67" i="2"/>
  <c r="K124" i="4" s="1"/>
  <c r="BU67" i="2"/>
  <c r="U72" i="6" s="1"/>
  <c r="AG99" i="2"/>
  <c r="BU99" i="2"/>
  <c r="U104" i="6" s="1"/>
  <c r="AG94" i="2"/>
  <c r="K151" i="4" s="1"/>
  <c r="BU94" i="2"/>
  <c r="U99" i="6" s="1"/>
  <c r="AG110" i="2"/>
  <c r="BU110" i="2"/>
  <c r="U115" i="6" s="1"/>
  <c r="AG83" i="2"/>
  <c r="K140" i="4" s="1"/>
  <c r="L140" i="4" s="1"/>
  <c r="M140" i="4" s="1"/>
  <c r="BU83" i="2"/>
  <c r="U88" i="6" s="1"/>
  <c r="AG138" i="2"/>
  <c r="K195" i="4" s="1"/>
  <c r="L195" i="4" s="1"/>
  <c r="M195" i="4" s="1"/>
  <c r="BU138" i="2"/>
  <c r="U143" i="6" s="1"/>
  <c r="AG61" i="2"/>
  <c r="K118" i="4" s="1"/>
  <c r="BU61" i="2"/>
  <c r="U66" i="6" s="1"/>
  <c r="AG24" i="2"/>
  <c r="BU24" i="2"/>
  <c r="U29" i="6" s="1"/>
  <c r="AG33" i="2"/>
  <c r="K90" i="4" s="1"/>
  <c r="BU33" i="2"/>
  <c r="U38" i="6" s="1"/>
  <c r="AG25" i="2"/>
  <c r="BU25" i="2"/>
  <c r="U30" i="6" s="1"/>
  <c r="AG47" i="2"/>
  <c r="K104" i="4" s="1"/>
  <c r="BU47" i="2"/>
  <c r="U52" i="6" s="1"/>
  <c r="AG48" i="2"/>
  <c r="BU48" i="2"/>
  <c r="U53" i="6" s="1"/>
  <c r="AG96" i="2"/>
  <c r="K153" i="4" s="1"/>
  <c r="L153" i="4" s="1"/>
  <c r="M153" i="4" s="1"/>
  <c r="BU96" i="2"/>
  <c r="U101" i="6" s="1"/>
  <c r="AG54" i="2"/>
  <c r="K111" i="4" s="1"/>
  <c r="BU54" i="2"/>
  <c r="U59" i="6" s="1"/>
  <c r="AG117" i="2"/>
  <c r="K174" i="4" s="1"/>
  <c r="L174" i="4" s="1"/>
  <c r="BU117" i="2"/>
  <c r="U122" i="6" s="1"/>
  <c r="AG64" i="2"/>
  <c r="BU64" i="2"/>
  <c r="U69" i="6" s="1"/>
  <c r="AG84" i="2"/>
  <c r="K141" i="4" s="1"/>
  <c r="L141" i="4" s="1"/>
  <c r="M141" i="4" s="1"/>
  <c r="BU84" i="2"/>
  <c r="U89" i="6" s="1"/>
  <c r="AG71" i="2"/>
  <c r="BU71" i="2"/>
  <c r="U76" i="6" s="1"/>
  <c r="AG97" i="2"/>
  <c r="K154" i="4" s="1"/>
  <c r="L154" i="4" s="1"/>
  <c r="BU97" i="2"/>
  <c r="U102" i="6" s="1"/>
  <c r="AG63" i="2"/>
  <c r="BU63" i="2"/>
  <c r="U68" i="6" s="1"/>
  <c r="AG56" i="2"/>
  <c r="K113" i="4" s="1"/>
  <c r="BU56" i="2"/>
  <c r="U61" i="6" s="1"/>
  <c r="AG136" i="2"/>
  <c r="BU136" i="2"/>
  <c r="U141" i="6" s="1"/>
  <c r="AG165" i="2"/>
  <c r="K222" i="4" s="1"/>
  <c r="L222" i="4" s="1"/>
  <c r="M222" i="4" s="1"/>
  <c r="N222" i="4" s="1"/>
  <c r="BU165" i="2"/>
  <c r="U170" i="6" s="1"/>
  <c r="BB18" i="2"/>
  <c r="AX18" i="2"/>
  <c r="BA18" i="2"/>
  <c r="AW18" i="2"/>
  <c r="AZ18" i="2"/>
  <c r="AV18" i="2"/>
  <c r="BC18" i="2"/>
  <c r="AY18" i="2"/>
  <c r="AZ108" i="2"/>
  <c r="AV108" i="2"/>
  <c r="BC108" i="2"/>
  <c r="AY108" i="2"/>
  <c r="BB108" i="2"/>
  <c r="AX108" i="2"/>
  <c r="BA108" i="2"/>
  <c r="AW108" i="2"/>
  <c r="BJ108" i="2"/>
  <c r="BK108" i="2" s="1"/>
  <c r="BT108" i="2" s="1"/>
  <c r="T113" i="6" s="1"/>
  <c r="BC165" i="2"/>
  <c r="AY165" i="2"/>
  <c r="BB165" i="2"/>
  <c r="AX165" i="2"/>
  <c r="BA165" i="2"/>
  <c r="AW165" i="2"/>
  <c r="AZ165" i="2"/>
  <c r="AV165" i="2"/>
  <c r="BJ165" i="2"/>
  <c r="BK165" i="2" s="1"/>
  <c r="BT165" i="2" s="1"/>
  <c r="T170" i="6" s="1"/>
  <c r="BB23" i="2"/>
  <c r="AX23" i="2"/>
  <c r="BA23" i="2"/>
  <c r="AW23" i="2"/>
  <c r="AZ23" i="2"/>
  <c r="AV23" i="2"/>
  <c r="BC23" i="2"/>
  <c r="AY23" i="2"/>
  <c r="BB36" i="2"/>
  <c r="AX36" i="2"/>
  <c r="BA36" i="2"/>
  <c r="AW36" i="2"/>
  <c r="AZ36" i="2"/>
  <c r="AV36" i="2"/>
  <c r="BC36" i="2"/>
  <c r="AY36" i="2"/>
  <c r="BB24" i="2"/>
  <c r="AX24" i="2"/>
  <c r="BA24" i="2"/>
  <c r="AW24" i="2"/>
  <c r="AZ24" i="2"/>
  <c r="AV24" i="2"/>
  <c r="BC24" i="2"/>
  <c r="AY24" i="2"/>
  <c r="BJ24" i="2"/>
  <c r="BK24" i="2" s="1"/>
  <c r="BT24" i="2" s="1"/>
  <c r="T29" i="6" s="1"/>
  <c r="AZ104" i="2"/>
  <c r="AV104" i="2"/>
  <c r="BC104" i="2"/>
  <c r="AY104" i="2"/>
  <c r="BB104" i="2"/>
  <c r="AX104" i="2"/>
  <c r="BA104" i="2"/>
  <c r="AW104" i="2"/>
  <c r="BB72" i="2"/>
  <c r="AX72" i="2"/>
  <c r="BA72" i="2"/>
  <c r="AW72" i="2"/>
  <c r="AZ72" i="2"/>
  <c r="AV72" i="2"/>
  <c r="BC72" i="2"/>
  <c r="AY72" i="2"/>
  <c r="BC173" i="2"/>
  <c r="AY173" i="2"/>
  <c r="AX173" i="2"/>
  <c r="BB173" i="2"/>
  <c r="AW173" i="2"/>
  <c r="BA173" i="2"/>
  <c r="AV173" i="2"/>
  <c r="AZ173" i="2"/>
  <c r="BJ173" i="2"/>
  <c r="BK173" i="2" s="1"/>
  <c r="BT173" i="2" s="1"/>
  <c r="T178" i="6" s="1"/>
  <c r="AZ120" i="2"/>
  <c r="AV120" i="2"/>
  <c r="BC120" i="2"/>
  <c r="AY120" i="2"/>
  <c r="BB120" i="2"/>
  <c r="AX120" i="2"/>
  <c r="BA120" i="2"/>
  <c r="AW120" i="2"/>
  <c r="BB149" i="2"/>
  <c r="AX149" i="2"/>
  <c r="AZ149" i="2"/>
  <c r="AY149" i="2"/>
  <c r="BC149" i="2"/>
  <c r="AW149" i="2"/>
  <c r="AV149" i="2"/>
  <c r="BJ149" i="2"/>
  <c r="BK149" i="2" s="1"/>
  <c r="BT149" i="2" s="1"/>
  <c r="T154" i="6" s="1"/>
  <c r="BA149" i="2"/>
  <c r="BB63" i="2"/>
  <c r="AX63" i="2"/>
  <c r="BA63" i="2"/>
  <c r="AW63" i="2"/>
  <c r="AZ63" i="2"/>
  <c r="AV63" i="2"/>
  <c r="AY63" i="2"/>
  <c r="BC63" i="2"/>
  <c r="BJ63" i="2"/>
  <c r="BK63" i="2" s="1"/>
  <c r="BT63" i="2" s="1"/>
  <c r="T68" i="6" s="1"/>
  <c r="BC157" i="2"/>
  <c r="AY157" i="2"/>
  <c r="BB157" i="2"/>
  <c r="AX157" i="2"/>
  <c r="BA157" i="2"/>
  <c r="AW157" i="2"/>
  <c r="AZ157" i="2"/>
  <c r="AV157" i="2"/>
  <c r="BJ157" i="2"/>
  <c r="BK157" i="2" s="1"/>
  <c r="BT157" i="2" s="1"/>
  <c r="T162" i="6" s="1"/>
  <c r="AZ143" i="2"/>
  <c r="AV143" i="2"/>
  <c r="BC143" i="2"/>
  <c r="AY143" i="2"/>
  <c r="BB143" i="2"/>
  <c r="AX143" i="2"/>
  <c r="BA143" i="2"/>
  <c r="AW143" i="2"/>
  <c r="BB148" i="2"/>
  <c r="AX148" i="2"/>
  <c r="BC148" i="2"/>
  <c r="AW148" i="2"/>
  <c r="BA148" i="2"/>
  <c r="AV148" i="2"/>
  <c r="AZ148" i="2"/>
  <c r="AY148" i="2"/>
  <c r="BC170" i="2"/>
  <c r="AY170" i="2"/>
  <c r="BA170" i="2"/>
  <c r="AV170" i="2"/>
  <c r="AZ170" i="2"/>
  <c r="AX170" i="2"/>
  <c r="BB170" i="2"/>
  <c r="BJ170" i="2"/>
  <c r="BK170" i="2" s="1"/>
  <c r="BT170" i="2" s="1"/>
  <c r="T175" i="6" s="1"/>
  <c r="AW170" i="2"/>
  <c r="AZ142" i="2"/>
  <c r="AV142" i="2"/>
  <c r="BC142" i="2"/>
  <c r="AY142" i="2"/>
  <c r="BB142" i="2"/>
  <c r="AX142" i="2"/>
  <c r="BA142" i="2"/>
  <c r="AW142" i="2"/>
  <c r="BJ142" i="2"/>
  <c r="BK142" i="2" s="1"/>
  <c r="BT142" i="2" s="1"/>
  <c r="T147" i="6" s="1"/>
  <c r="BC172" i="2"/>
  <c r="AY172" i="2"/>
  <c r="BA172" i="2"/>
  <c r="AV172" i="2"/>
  <c r="AZ172" i="2"/>
  <c r="AX172" i="2"/>
  <c r="AW172" i="2"/>
  <c r="BB172" i="2"/>
  <c r="BB38" i="2"/>
  <c r="AX38" i="2"/>
  <c r="BA38" i="2"/>
  <c r="AW38" i="2"/>
  <c r="AZ38" i="2"/>
  <c r="AV38" i="2"/>
  <c r="BC38" i="2"/>
  <c r="AY38" i="2"/>
  <c r="BB51" i="2"/>
  <c r="AX51" i="2"/>
  <c r="BA51" i="2"/>
  <c r="AW51" i="2"/>
  <c r="AZ51" i="2"/>
  <c r="AV51" i="2"/>
  <c r="BJ51" i="2"/>
  <c r="BK51" i="2" s="1"/>
  <c r="BT51" i="2" s="1"/>
  <c r="T56" i="6" s="1"/>
  <c r="AY51" i="2"/>
  <c r="BC51" i="2"/>
  <c r="BC164" i="2"/>
  <c r="AY164" i="2"/>
  <c r="BB164" i="2"/>
  <c r="AX164" i="2"/>
  <c r="BA164" i="2"/>
  <c r="AW164" i="2"/>
  <c r="AZ164" i="2"/>
  <c r="AV164" i="2"/>
  <c r="BJ164" i="2"/>
  <c r="BK164" i="2" s="1"/>
  <c r="BT164" i="2" s="1"/>
  <c r="T169" i="6" s="1"/>
  <c r="AZ121" i="2"/>
  <c r="AV121" i="2"/>
  <c r="BC121" i="2"/>
  <c r="AY121" i="2"/>
  <c r="BB121" i="2"/>
  <c r="AX121" i="2"/>
  <c r="BA121" i="2"/>
  <c r="AW121" i="2"/>
  <c r="AZ117" i="2"/>
  <c r="AV117" i="2"/>
  <c r="BC117" i="2"/>
  <c r="AY117" i="2"/>
  <c r="BB117" i="2"/>
  <c r="AX117" i="2"/>
  <c r="BA117" i="2"/>
  <c r="BJ117" i="2"/>
  <c r="BK117" i="2" s="1"/>
  <c r="BT117" i="2" s="1"/>
  <c r="T122" i="6" s="1"/>
  <c r="AW117" i="2"/>
  <c r="AZ123" i="2"/>
  <c r="AV123" i="2"/>
  <c r="BC123" i="2"/>
  <c r="AY123" i="2"/>
  <c r="BB123" i="2"/>
  <c r="AX123" i="2"/>
  <c r="BA123" i="2"/>
  <c r="AW123" i="2"/>
  <c r="BB25" i="2"/>
  <c r="AX25" i="2"/>
  <c r="BA25" i="2"/>
  <c r="AW25" i="2"/>
  <c r="AZ25" i="2"/>
  <c r="AV25" i="2"/>
  <c r="AY25" i="2"/>
  <c r="BC25" i="2"/>
  <c r="BJ25" i="2"/>
  <c r="BK25" i="2" s="1"/>
  <c r="BT25" i="2" s="1"/>
  <c r="T30" i="6" s="1"/>
  <c r="BB42" i="2"/>
  <c r="AX42" i="2"/>
  <c r="BA42" i="2"/>
  <c r="AW42" i="2"/>
  <c r="AZ42" i="2"/>
  <c r="AV42" i="2"/>
  <c r="BC42" i="2"/>
  <c r="AY42" i="2"/>
  <c r="BB61" i="2"/>
  <c r="AX61" i="2"/>
  <c r="BA61" i="2"/>
  <c r="AW61" i="2"/>
  <c r="AZ61" i="2"/>
  <c r="AV61" i="2"/>
  <c r="AY61" i="2"/>
  <c r="BC61" i="2"/>
  <c r="BB34" i="2"/>
  <c r="AX34" i="2"/>
  <c r="BA34" i="2"/>
  <c r="AW34" i="2"/>
  <c r="AZ34" i="2"/>
  <c r="AV34" i="2"/>
  <c r="BC34" i="2"/>
  <c r="AY34" i="2"/>
  <c r="BJ34" i="2"/>
  <c r="BK34" i="2" s="1"/>
  <c r="BT34" i="2" s="1"/>
  <c r="T39" i="6" s="1"/>
  <c r="BC176" i="2"/>
  <c r="AY176" i="2"/>
  <c r="BA176" i="2"/>
  <c r="AV176" i="2"/>
  <c r="AZ176" i="2"/>
  <c r="AX176" i="2"/>
  <c r="BB176" i="2"/>
  <c r="AW176" i="2"/>
  <c r="BB28" i="2"/>
  <c r="AX28" i="2"/>
  <c r="BA28" i="2"/>
  <c r="AW28" i="2"/>
  <c r="AZ28" i="2"/>
  <c r="AV28" i="2"/>
  <c r="BC28" i="2"/>
  <c r="AY28" i="2"/>
  <c r="BJ28" i="2"/>
  <c r="BK28" i="2" s="1"/>
  <c r="BT28" i="2" s="1"/>
  <c r="T33" i="6" s="1"/>
  <c r="BB33" i="2"/>
  <c r="AX33" i="2"/>
  <c r="BA33" i="2"/>
  <c r="AW33" i="2"/>
  <c r="AZ33" i="2"/>
  <c r="AV33" i="2"/>
  <c r="AY33" i="2"/>
  <c r="BC33" i="2"/>
  <c r="BB67" i="2"/>
  <c r="AX67" i="2"/>
  <c r="BA67" i="2"/>
  <c r="AW67" i="2"/>
  <c r="AZ67" i="2"/>
  <c r="AV67" i="2"/>
  <c r="AY67" i="2"/>
  <c r="BC67" i="2"/>
  <c r="AZ83" i="2"/>
  <c r="AV83" i="2"/>
  <c r="BC83" i="2"/>
  <c r="AY83" i="2"/>
  <c r="BB83" i="2"/>
  <c r="AX83" i="2"/>
  <c r="BA83" i="2"/>
  <c r="AW83" i="2"/>
  <c r="AZ101" i="2"/>
  <c r="AV101" i="2"/>
  <c r="BC101" i="2"/>
  <c r="AY101" i="2"/>
  <c r="BB101" i="2"/>
  <c r="AX101" i="2"/>
  <c r="BA101" i="2"/>
  <c r="AW101" i="2"/>
  <c r="BJ101" i="2"/>
  <c r="BK101" i="2" s="1"/>
  <c r="BT101" i="2" s="1"/>
  <c r="T106" i="6" s="1"/>
  <c r="AZ92" i="2"/>
  <c r="AV92" i="2"/>
  <c r="BC92" i="2"/>
  <c r="AY92" i="2"/>
  <c r="BB92" i="2"/>
  <c r="AX92" i="2"/>
  <c r="BA92" i="2"/>
  <c r="AW92" i="2"/>
  <c r="BB47" i="2"/>
  <c r="AX47" i="2"/>
  <c r="BA47" i="2"/>
  <c r="AW47" i="2"/>
  <c r="AZ47" i="2"/>
  <c r="AV47" i="2"/>
  <c r="BJ47" i="2"/>
  <c r="BK47" i="2" s="1"/>
  <c r="BT47" i="2" s="1"/>
  <c r="T52" i="6" s="1"/>
  <c r="AY47" i="2"/>
  <c r="BC47" i="2"/>
  <c r="BC182" i="2"/>
  <c r="AY182" i="2"/>
  <c r="BA182" i="2"/>
  <c r="AV182" i="2"/>
  <c r="AZ182" i="2"/>
  <c r="AX182" i="2"/>
  <c r="BB182" i="2"/>
  <c r="AW182" i="2"/>
  <c r="BJ182" i="2"/>
  <c r="BK182" i="2" s="1"/>
  <c r="BT182" i="2" s="1"/>
  <c r="T187" i="6" s="1"/>
  <c r="AZ94" i="2"/>
  <c r="AV94" i="2"/>
  <c r="BC94" i="2"/>
  <c r="AY94" i="2"/>
  <c r="BB94" i="2"/>
  <c r="AX94" i="2"/>
  <c r="BA94" i="2"/>
  <c r="AW94" i="2"/>
  <c r="BJ94" i="2"/>
  <c r="BK94" i="2" s="1"/>
  <c r="BT94" i="2" s="1"/>
  <c r="T99" i="6" s="1"/>
  <c r="BB22" i="2"/>
  <c r="AX22" i="2"/>
  <c r="BA22" i="2"/>
  <c r="AW22" i="2"/>
  <c r="AZ22" i="2"/>
  <c r="AV22" i="2"/>
  <c r="BC22" i="2"/>
  <c r="AY22" i="2"/>
  <c r="BB75" i="2"/>
  <c r="AX75" i="2"/>
  <c r="BA75" i="2"/>
  <c r="AW75" i="2"/>
  <c r="AZ75" i="2"/>
  <c r="AV75" i="2"/>
  <c r="BJ75" i="2"/>
  <c r="BK75" i="2" s="1"/>
  <c r="BT75" i="2" s="1"/>
  <c r="T80" i="6" s="1"/>
  <c r="BC75" i="2"/>
  <c r="AY75" i="2"/>
  <c r="BB37" i="2"/>
  <c r="AX37" i="2"/>
  <c r="BA37" i="2"/>
  <c r="AW37" i="2"/>
  <c r="AZ37" i="2"/>
  <c r="AV37" i="2"/>
  <c r="BJ37" i="2"/>
  <c r="BK37" i="2" s="1"/>
  <c r="BT37" i="2" s="1"/>
  <c r="T42" i="6" s="1"/>
  <c r="BC37" i="2"/>
  <c r="AY37" i="2"/>
  <c r="AZ96" i="2"/>
  <c r="AV96" i="2"/>
  <c r="BC96" i="2"/>
  <c r="AY96" i="2"/>
  <c r="BB96" i="2"/>
  <c r="AX96" i="2"/>
  <c r="BA96" i="2"/>
  <c r="AW96" i="2"/>
  <c r="BJ96" i="2"/>
  <c r="BK96" i="2" s="1"/>
  <c r="BT96" i="2" s="1"/>
  <c r="T101" i="6" s="1"/>
  <c r="BB15" i="2"/>
  <c r="AX15" i="2"/>
  <c r="BA15" i="2"/>
  <c r="AW15" i="2"/>
  <c r="AZ15" i="2"/>
  <c r="AV15" i="2"/>
  <c r="AY15" i="2"/>
  <c r="BC15" i="2"/>
  <c r="AG80" i="2"/>
  <c r="K137" i="4" s="1"/>
  <c r="L137" i="4" s="1"/>
  <c r="M137" i="4" s="1"/>
  <c r="AE137" i="4" s="1"/>
  <c r="BU80" i="2"/>
  <c r="U85" i="6" s="1"/>
  <c r="AG155" i="2"/>
  <c r="K212" i="4" s="1"/>
  <c r="L212" i="4" s="1"/>
  <c r="AD212" i="4" s="1"/>
  <c r="BU155" i="2"/>
  <c r="U160" i="6" s="1"/>
  <c r="AG149" i="2"/>
  <c r="K206" i="4" s="1"/>
  <c r="BU149" i="2"/>
  <c r="U154" i="6" s="1"/>
  <c r="AG46" i="2"/>
  <c r="BU46" i="2"/>
  <c r="U51" i="6" s="1"/>
  <c r="AG65" i="2"/>
  <c r="K122" i="4" s="1"/>
  <c r="BU65" i="2"/>
  <c r="U70" i="6" s="1"/>
  <c r="AG105" i="2"/>
  <c r="K162" i="4" s="1"/>
  <c r="BU105" i="2"/>
  <c r="U110" i="6" s="1"/>
  <c r="AG118" i="2"/>
  <c r="K175" i="4" s="1"/>
  <c r="L175" i="4" s="1"/>
  <c r="M175" i="4" s="1"/>
  <c r="N175" i="4" s="1"/>
  <c r="BU118" i="2"/>
  <c r="U123" i="6" s="1"/>
  <c r="AG168" i="2"/>
  <c r="K225" i="4" s="1"/>
  <c r="BU168" i="2"/>
  <c r="U173" i="6" s="1"/>
  <c r="AG78" i="2"/>
  <c r="K135" i="4" s="1"/>
  <c r="BU78" i="2"/>
  <c r="U83" i="6" s="1"/>
  <c r="AG166" i="2"/>
  <c r="K223" i="4" s="1"/>
  <c r="BU166" i="2"/>
  <c r="U171" i="6" s="1"/>
  <c r="AG41" i="2"/>
  <c r="K98" i="4" s="1"/>
  <c r="BU41" i="2"/>
  <c r="U46" i="6" s="1"/>
  <c r="BB48" i="2"/>
  <c r="AX48" i="2"/>
  <c r="BA48" i="2"/>
  <c r="AW48" i="2"/>
  <c r="AZ48" i="2"/>
  <c r="AV48" i="2"/>
  <c r="BC48" i="2"/>
  <c r="BJ48" i="2"/>
  <c r="BK48" i="2" s="1"/>
  <c r="BT48" i="2" s="1"/>
  <c r="T53" i="6" s="1"/>
  <c r="AY48" i="2"/>
  <c r="BB70" i="2"/>
  <c r="AX70" i="2"/>
  <c r="BA70" i="2"/>
  <c r="AW70" i="2"/>
  <c r="AZ70" i="2"/>
  <c r="AV70" i="2"/>
  <c r="BC70" i="2"/>
  <c r="AY70" i="2"/>
  <c r="BC183" i="2"/>
  <c r="AY183" i="2"/>
  <c r="AX183" i="2"/>
  <c r="BB183" i="2"/>
  <c r="AW183" i="2"/>
  <c r="BA183" i="2"/>
  <c r="AV183" i="2"/>
  <c r="AZ183" i="2"/>
  <c r="AZ122" i="2"/>
  <c r="AV122" i="2"/>
  <c r="BC122" i="2"/>
  <c r="AY122" i="2"/>
  <c r="BB122" i="2"/>
  <c r="AX122" i="2"/>
  <c r="BA122" i="2"/>
  <c r="AW122" i="2"/>
  <c r="BC161" i="2"/>
  <c r="AY161" i="2"/>
  <c r="BB161" i="2"/>
  <c r="AX161" i="2"/>
  <c r="BA161" i="2"/>
  <c r="AW161" i="2"/>
  <c r="AZ161" i="2"/>
  <c r="AV161" i="2"/>
  <c r="AZ103" i="2"/>
  <c r="AV103" i="2"/>
  <c r="BC103" i="2"/>
  <c r="AY103" i="2"/>
  <c r="BB103" i="2"/>
  <c r="AX103" i="2"/>
  <c r="BA103" i="2"/>
  <c r="AW103" i="2"/>
  <c r="BJ103" i="2"/>
  <c r="BK103" i="2" s="1"/>
  <c r="BT103" i="2" s="1"/>
  <c r="T108" i="6" s="1"/>
  <c r="BB27" i="2"/>
  <c r="AX27" i="2"/>
  <c r="BA27" i="2"/>
  <c r="AW27" i="2"/>
  <c r="AZ27" i="2"/>
  <c r="AV27" i="2"/>
  <c r="AY27" i="2"/>
  <c r="BC27" i="2"/>
  <c r="AZ135" i="2"/>
  <c r="AV135" i="2"/>
  <c r="BC135" i="2"/>
  <c r="AY135" i="2"/>
  <c r="BB135" i="2"/>
  <c r="AX135" i="2"/>
  <c r="BA135" i="2"/>
  <c r="AW135" i="2"/>
  <c r="BC177" i="2"/>
  <c r="AY177" i="2"/>
  <c r="AX177" i="2"/>
  <c r="BB177" i="2"/>
  <c r="AW177" i="2"/>
  <c r="BA177" i="2"/>
  <c r="AV177" i="2"/>
  <c r="AZ177" i="2"/>
  <c r="BJ177" i="2"/>
  <c r="BK177" i="2" s="1"/>
  <c r="BT177" i="2" s="1"/>
  <c r="T182" i="6" s="1"/>
  <c r="BB74" i="2"/>
  <c r="AX74" i="2"/>
  <c r="BA74" i="2"/>
  <c r="AW74" i="2"/>
  <c r="AZ74" i="2"/>
  <c r="AV74" i="2"/>
  <c r="BC74" i="2"/>
  <c r="AY74" i="2"/>
  <c r="BC166" i="2"/>
  <c r="AY166" i="2"/>
  <c r="BB166" i="2"/>
  <c r="AX166" i="2"/>
  <c r="BA166" i="2"/>
  <c r="AW166" i="2"/>
  <c r="AZ166" i="2"/>
  <c r="AV166" i="2"/>
  <c r="BC174" i="2"/>
  <c r="AY174" i="2"/>
  <c r="BA174" i="2"/>
  <c r="AV174" i="2"/>
  <c r="AZ174" i="2"/>
  <c r="AX174" i="2"/>
  <c r="BB174" i="2"/>
  <c r="AW174" i="2"/>
  <c r="AZ81" i="2"/>
  <c r="AV81" i="2"/>
  <c r="BC81" i="2"/>
  <c r="AY81" i="2"/>
  <c r="BB81" i="2"/>
  <c r="AX81" i="2"/>
  <c r="BA81" i="2"/>
  <c r="AW81" i="2"/>
  <c r="AZ114" i="2"/>
  <c r="AV114" i="2"/>
  <c r="BC114" i="2"/>
  <c r="AY114" i="2"/>
  <c r="BB114" i="2"/>
  <c r="AX114" i="2"/>
  <c r="BA114" i="2"/>
  <c r="AW114" i="2"/>
  <c r="BB54" i="2"/>
  <c r="AX54" i="2"/>
  <c r="BA54" i="2"/>
  <c r="AW54" i="2"/>
  <c r="AZ54" i="2"/>
  <c r="AV54" i="2"/>
  <c r="BC54" i="2"/>
  <c r="AY54" i="2"/>
  <c r="BJ54" i="2"/>
  <c r="BK54" i="2" s="1"/>
  <c r="BT54" i="2" s="1"/>
  <c r="T59" i="6" s="1"/>
  <c r="AZ124" i="2"/>
  <c r="AV124" i="2"/>
  <c r="BC124" i="2"/>
  <c r="AY124" i="2"/>
  <c r="BB124" i="2"/>
  <c r="AX124" i="2"/>
  <c r="BA124" i="2"/>
  <c r="AW124" i="2"/>
  <c r="BJ124" i="2"/>
  <c r="BK124" i="2" s="1"/>
  <c r="BT124" i="2" s="1"/>
  <c r="T129" i="6" s="1"/>
  <c r="BB19" i="2"/>
  <c r="AX19" i="2"/>
  <c r="BA19" i="2"/>
  <c r="AW19" i="2"/>
  <c r="AZ19" i="2"/>
  <c r="AV19" i="2"/>
  <c r="AY19" i="2"/>
  <c r="BC19" i="2"/>
  <c r="AZ106" i="2"/>
  <c r="AV106" i="2"/>
  <c r="BC106" i="2"/>
  <c r="AY106" i="2"/>
  <c r="BB106" i="2"/>
  <c r="AX106" i="2"/>
  <c r="BA106" i="2"/>
  <c r="AW106" i="2"/>
  <c r="AZ98" i="2"/>
  <c r="AV98" i="2"/>
  <c r="BC98" i="2"/>
  <c r="AY98" i="2"/>
  <c r="BB98" i="2"/>
  <c r="AX98" i="2"/>
  <c r="BA98" i="2"/>
  <c r="AW98" i="2"/>
  <c r="BB57" i="2"/>
  <c r="AX57" i="2"/>
  <c r="BA57" i="2"/>
  <c r="AW57" i="2"/>
  <c r="AZ57" i="2"/>
  <c r="AV57" i="2"/>
  <c r="AY57" i="2"/>
  <c r="BC57" i="2"/>
  <c r="BJ57" i="2"/>
  <c r="BK57" i="2" s="1"/>
  <c r="BT57" i="2" s="1"/>
  <c r="T62" i="6" s="1"/>
  <c r="BB59" i="2"/>
  <c r="AX59" i="2"/>
  <c r="BA59" i="2"/>
  <c r="AW59" i="2"/>
  <c r="AZ59" i="2"/>
  <c r="AV59" i="2"/>
  <c r="BC59" i="2"/>
  <c r="AY59" i="2"/>
  <c r="AG89" i="2"/>
  <c r="K146" i="4" s="1"/>
  <c r="AC146" i="4" s="1"/>
  <c r="BU89" i="2"/>
  <c r="U94" i="6" s="1"/>
  <c r="AG74" i="2"/>
  <c r="K131" i="4" s="1"/>
  <c r="L131" i="4" s="1"/>
  <c r="BU74" i="2"/>
  <c r="U79" i="6" s="1"/>
  <c r="AG40" i="2"/>
  <c r="K97" i="4" s="1"/>
  <c r="L97" i="4" s="1"/>
  <c r="BU40" i="2"/>
  <c r="U45" i="6" s="1"/>
  <c r="AG79" i="2"/>
  <c r="K136" i="4" s="1"/>
  <c r="L136" i="4" s="1"/>
  <c r="BU79" i="2"/>
  <c r="U84" i="6" s="1"/>
  <c r="AG116" i="2"/>
  <c r="K173" i="4" s="1"/>
  <c r="BU116" i="2"/>
  <c r="U121" i="6" s="1"/>
  <c r="AG55" i="2"/>
  <c r="K112" i="4" s="1"/>
  <c r="L112" i="4" s="1"/>
  <c r="BU55" i="2"/>
  <c r="U60" i="6" s="1"/>
  <c r="AG92" i="2"/>
  <c r="K149" i="4" s="1"/>
  <c r="L149" i="4" s="1"/>
  <c r="M149" i="4" s="1"/>
  <c r="BU92" i="2"/>
  <c r="U97" i="6" s="1"/>
  <c r="AG109" i="2"/>
  <c r="K166" i="4" s="1"/>
  <c r="L166" i="4" s="1"/>
  <c r="M166" i="4" s="1"/>
  <c r="BU109" i="2"/>
  <c r="U114" i="6" s="1"/>
  <c r="AG88" i="2"/>
  <c r="K145" i="4" s="1"/>
  <c r="L145" i="4" s="1"/>
  <c r="BU88" i="2"/>
  <c r="U93" i="6" s="1"/>
  <c r="AG128" i="2"/>
  <c r="K185" i="4" s="1"/>
  <c r="L185" i="4" s="1"/>
  <c r="M185" i="4" s="1"/>
  <c r="N185" i="4" s="1"/>
  <c r="BU128" i="2"/>
  <c r="U133" i="6" s="1"/>
  <c r="AG151" i="2"/>
  <c r="K208" i="4" s="1"/>
  <c r="L208" i="4" s="1"/>
  <c r="M208" i="4" s="1"/>
  <c r="N208" i="4" s="1"/>
  <c r="BU151" i="2"/>
  <c r="U156" i="6" s="1"/>
  <c r="AG90" i="2"/>
  <c r="K147" i="4" s="1"/>
  <c r="L147" i="4" s="1"/>
  <c r="BU90" i="2"/>
  <c r="U95" i="6" s="1"/>
  <c r="AG35" i="2"/>
  <c r="K92" i="4" s="1"/>
  <c r="BU35" i="2"/>
  <c r="U40" i="6" s="1"/>
  <c r="BB26" i="2"/>
  <c r="AX26" i="2"/>
  <c r="BA26" i="2"/>
  <c r="AW26" i="2"/>
  <c r="AZ26" i="2"/>
  <c r="AV26" i="2"/>
  <c r="BC26" i="2"/>
  <c r="AY26" i="2"/>
  <c r="BB53" i="2"/>
  <c r="AX53" i="2"/>
  <c r="BA53" i="2"/>
  <c r="AW53" i="2"/>
  <c r="AZ53" i="2"/>
  <c r="AV53" i="2"/>
  <c r="BC53" i="2"/>
  <c r="AY53" i="2"/>
  <c r="BB41" i="2"/>
  <c r="AX41" i="2"/>
  <c r="BA41" i="2"/>
  <c r="AW41" i="2"/>
  <c r="AZ41" i="2"/>
  <c r="AV41" i="2"/>
  <c r="AY41" i="2"/>
  <c r="BC41" i="2"/>
  <c r="AG22" i="2"/>
  <c r="K79" i="4" s="1"/>
  <c r="BU22" i="2"/>
  <c r="U27" i="6" s="1"/>
  <c r="AG157" i="2"/>
  <c r="K214" i="4" s="1"/>
  <c r="BU157" i="2"/>
  <c r="U162" i="6" s="1"/>
  <c r="AG50" i="2"/>
  <c r="K107" i="4" s="1"/>
  <c r="L107" i="4" s="1"/>
  <c r="BU50" i="2"/>
  <c r="U55" i="6" s="1"/>
  <c r="AG66" i="2"/>
  <c r="K123" i="4" s="1"/>
  <c r="L123" i="4" s="1"/>
  <c r="BU66" i="2"/>
  <c r="U71" i="6" s="1"/>
  <c r="AG49" i="2"/>
  <c r="K106" i="4" s="1"/>
  <c r="BU49" i="2"/>
  <c r="U54" i="6" s="1"/>
  <c r="AG147" i="2"/>
  <c r="K204" i="4" s="1"/>
  <c r="L204" i="4" s="1"/>
  <c r="BU147" i="2"/>
  <c r="U152" i="6" s="1"/>
  <c r="AG76" i="2"/>
  <c r="K133" i="4" s="1"/>
  <c r="L133" i="4" s="1"/>
  <c r="BU76" i="2"/>
  <c r="U81" i="6" s="1"/>
  <c r="AG133" i="2"/>
  <c r="K190" i="4" s="1"/>
  <c r="BU133" i="2"/>
  <c r="U138" i="6" s="1"/>
  <c r="AG37" i="2"/>
  <c r="K94" i="4" s="1"/>
  <c r="L94" i="4" s="1"/>
  <c r="M94" i="4" s="1"/>
  <c r="N94" i="4" s="1"/>
  <c r="BU37" i="2"/>
  <c r="U42" i="6" s="1"/>
  <c r="AG29" i="2"/>
  <c r="K86" i="4" s="1"/>
  <c r="BU29" i="2"/>
  <c r="U34" i="6" s="1"/>
  <c r="AG101" i="2"/>
  <c r="K158" i="4" s="1"/>
  <c r="L158" i="4" s="1"/>
  <c r="M158" i="4" s="1"/>
  <c r="N158" i="4" s="1"/>
  <c r="BU101" i="2"/>
  <c r="U106" i="6" s="1"/>
  <c r="AG27" i="2"/>
  <c r="K84" i="4" s="1"/>
  <c r="L84" i="4" s="1"/>
  <c r="M84" i="4" s="1"/>
  <c r="N84" i="4" s="1"/>
  <c r="BU27" i="2"/>
  <c r="U32" i="6" s="1"/>
  <c r="AG143" i="2"/>
  <c r="K200" i="4" s="1"/>
  <c r="L200" i="4" s="1"/>
  <c r="BU143" i="2"/>
  <c r="U148" i="6" s="1"/>
  <c r="AG87" i="2"/>
  <c r="K144" i="4" s="1"/>
  <c r="L144" i="4" s="1"/>
  <c r="M144" i="4" s="1"/>
  <c r="BU87" i="2"/>
  <c r="U92" i="6" s="1"/>
  <c r="AG176" i="2"/>
  <c r="K233" i="4" s="1"/>
  <c r="L233" i="4" s="1"/>
  <c r="BU176" i="2"/>
  <c r="U181" i="6" s="1"/>
  <c r="AG58" i="2"/>
  <c r="K115" i="4" s="1"/>
  <c r="L115" i="4" s="1"/>
  <c r="BU58" i="2"/>
  <c r="U63" i="6" s="1"/>
  <c r="AG28" i="2"/>
  <c r="K85" i="4" s="1"/>
  <c r="L85" i="4" s="1"/>
  <c r="M85" i="4" s="1"/>
  <c r="N85" i="4" s="1"/>
  <c r="BU28" i="2"/>
  <c r="U33" i="6" s="1"/>
  <c r="AG172" i="2"/>
  <c r="K229" i="4" s="1"/>
  <c r="L229" i="4" s="1"/>
  <c r="BU172" i="2"/>
  <c r="U177" i="6" s="1"/>
  <c r="AG134" i="2"/>
  <c r="K191" i="4" s="1"/>
  <c r="L191" i="4" s="1"/>
  <c r="M191" i="4" s="1"/>
  <c r="N191" i="4" s="1"/>
  <c r="BU134" i="2"/>
  <c r="U139" i="6" s="1"/>
  <c r="AG42" i="2"/>
  <c r="K99" i="4" s="1"/>
  <c r="L99" i="4" s="1"/>
  <c r="BU42" i="2"/>
  <c r="U47" i="6" s="1"/>
  <c r="AG137" i="2"/>
  <c r="K194" i="4" s="1"/>
  <c r="L194" i="4" s="1"/>
  <c r="BU137" i="2"/>
  <c r="U142" i="6" s="1"/>
  <c r="AG57" i="2"/>
  <c r="K114" i="4" s="1"/>
  <c r="L114" i="4" s="1"/>
  <c r="M114" i="4" s="1"/>
  <c r="N114" i="4" s="1"/>
  <c r="BU57" i="2"/>
  <c r="U62" i="6" s="1"/>
  <c r="AG127" i="2"/>
  <c r="K184" i="4" s="1"/>
  <c r="BU127" i="2"/>
  <c r="U132" i="6" s="1"/>
  <c r="AG113" i="2"/>
  <c r="K170" i="4" s="1"/>
  <c r="L170" i="4" s="1"/>
  <c r="BU113" i="2"/>
  <c r="U118" i="6" s="1"/>
  <c r="AG121" i="2"/>
  <c r="K178" i="4" s="1"/>
  <c r="L178" i="4" s="1"/>
  <c r="M178" i="4" s="1"/>
  <c r="BU121" i="2"/>
  <c r="U126" i="6" s="1"/>
  <c r="AG156" i="2"/>
  <c r="K213" i="4" s="1"/>
  <c r="L213" i="4" s="1"/>
  <c r="M213" i="4" s="1"/>
  <c r="N213" i="4" s="1"/>
  <c r="BU156" i="2"/>
  <c r="U161" i="6" s="1"/>
  <c r="AG153" i="2"/>
  <c r="K210" i="4" s="1"/>
  <c r="BU153" i="2"/>
  <c r="U158" i="6" s="1"/>
  <c r="AG21" i="2"/>
  <c r="K78" i="4" s="1"/>
  <c r="BU21" i="2"/>
  <c r="U26" i="6" s="1"/>
  <c r="AG169" i="2"/>
  <c r="K226" i="4" s="1"/>
  <c r="BU169" i="2"/>
  <c r="U174" i="6" s="1"/>
  <c r="AG164" i="2"/>
  <c r="K221" i="4" s="1"/>
  <c r="L221" i="4" s="1"/>
  <c r="BU164" i="2"/>
  <c r="U169" i="6" s="1"/>
  <c r="AG111" i="2"/>
  <c r="K168" i="4" s="1"/>
  <c r="BU111" i="2"/>
  <c r="U116" i="6" s="1"/>
  <c r="AG140" i="2"/>
  <c r="K197" i="4" s="1"/>
  <c r="BU140" i="2"/>
  <c r="U145" i="6" s="1"/>
  <c r="AG16" i="2"/>
  <c r="K73" i="4" s="1"/>
  <c r="L73" i="4" s="1"/>
  <c r="BU16" i="2"/>
  <c r="AG150" i="2"/>
  <c r="K207" i="4" s="1"/>
  <c r="L207" i="4" s="1"/>
  <c r="M207" i="4" s="1"/>
  <c r="BU150" i="2"/>
  <c r="U155" i="6" s="1"/>
  <c r="AG158" i="2"/>
  <c r="K215" i="4" s="1"/>
  <c r="L215" i="4" s="1"/>
  <c r="BU158" i="2"/>
  <c r="U163" i="6" s="1"/>
  <c r="AG182" i="2"/>
  <c r="K239" i="4" s="1"/>
  <c r="L239" i="4" s="1"/>
  <c r="M239" i="4" s="1"/>
  <c r="BU182" i="2"/>
  <c r="U187" i="6" s="1"/>
  <c r="AG102" i="2"/>
  <c r="K159" i="4" s="1"/>
  <c r="BU102" i="2"/>
  <c r="U107" i="6" s="1"/>
  <c r="AG70" i="2"/>
  <c r="K127" i="4" s="1"/>
  <c r="L127" i="4" s="1"/>
  <c r="BU70" i="2"/>
  <c r="U75" i="6" s="1"/>
  <c r="AG183" i="2"/>
  <c r="K240" i="4" s="1"/>
  <c r="AC240" i="4" s="1"/>
  <c r="BU183" i="2"/>
  <c r="U188" i="6" s="1"/>
  <c r="AR26" i="2"/>
  <c r="AS26" i="2" s="1"/>
  <c r="AT26" i="2" s="1"/>
  <c r="AR18" i="2"/>
  <c r="AS18" i="2" s="1"/>
  <c r="AT18" i="2" s="1"/>
  <c r="AR53" i="2"/>
  <c r="AS53" i="2" s="1"/>
  <c r="AT53" i="2" s="1"/>
  <c r="AR108" i="2"/>
  <c r="AS108" i="2" s="1"/>
  <c r="AT108" i="2" s="1"/>
  <c r="AR165" i="2"/>
  <c r="AR23" i="2"/>
  <c r="AS23" i="2" s="1"/>
  <c r="AT23" i="2" s="1"/>
  <c r="AR36" i="2"/>
  <c r="AS36" i="2" s="1"/>
  <c r="AT36" i="2" s="1"/>
  <c r="M41" i="6" s="1"/>
  <c r="AR24" i="2"/>
  <c r="AS24" i="2" s="1"/>
  <c r="AT24" i="2" s="1"/>
  <c r="AR104" i="2"/>
  <c r="AS104" i="2" s="1"/>
  <c r="AT104" i="2" s="1"/>
  <c r="AR72" i="2"/>
  <c r="AS72" i="2" s="1"/>
  <c r="AT72" i="2" s="1"/>
  <c r="AR173" i="2"/>
  <c r="AS173" i="2" s="1"/>
  <c r="AT173" i="2" s="1"/>
  <c r="AR120" i="2"/>
  <c r="AS120" i="2" s="1"/>
  <c r="AT120" i="2" s="1"/>
  <c r="AR41" i="2"/>
  <c r="AS41" i="2" s="1"/>
  <c r="AT41" i="2" s="1"/>
  <c r="AR149" i="2"/>
  <c r="AS149" i="2" s="1"/>
  <c r="AT149" i="2" s="1"/>
  <c r="AR63" i="2"/>
  <c r="AS63" i="2" s="1"/>
  <c r="AT63" i="2" s="1"/>
  <c r="AR157" i="2"/>
  <c r="AS157" i="2" s="1"/>
  <c r="AT157" i="2" s="1"/>
  <c r="M162" i="6" s="1"/>
  <c r="AR143" i="2"/>
  <c r="AS143" i="2" s="1"/>
  <c r="AT143" i="2" s="1"/>
  <c r="M148" i="6" s="1"/>
  <c r="AR148" i="2"/>
  <c r="AS148" i="2" s="1"/>
  <c r="AT148" i="2" s="1"/>
  <c r="AR170" i="2"/>
  <c r="AS170" i="2" s="1"/>
  <c r="AT170" i="2" s="1"/>
  <c r="AR142" i="2"/>
  <c r="AS142" i="2" s="1"/>
  <c r="AT142" i="2" s="1"/>
  <c r="AR172" i="2"/>
  <c r="AS172" i="2" s="1"/>
  <c r="AT172" i="2" s="1"/>
  <c r="AR38" i="2"/>
  <c r="AS38" i="2" s="1"/>
  <c r="AT38" i="2" s="1"/>
  <c r="AR51" i="2"/>
  <c r="AS51" i="2" s="1"/>
  <c r="AT51" i="2" s="1"/>
  <c r="AR164" i="2"/>
  <c r="AS164" i="2" s="1"/>
  <c r="AT164" i="2" s="1"/>
  <c r="AR121" i="2"/>
  <c r="AS121" i="2" s="1"/>
  <c r="AT121" i="2" s="1"/>
  <c r="AR117" i="2"/>
  <c r="AS117" i="2" s="1"/>
  <c r="AT117" i="2" s="1"/>
  <c r="AR123" i="2"/>
  <c r="AS123" i="2" s="1"/>
  <c r="AT123" i="2" s="1"/>
  <c r="AR25" i="2"/>
  <c r="AS25" i="2" s="1"/>
  <c r="AT25" i="2" s="1"/>
  <c r="AR42" i="2"/>
  <c r="AS42" i="2" s="1"/>
  <c r="AT42" i="2" s="1"/>
  <c r="AR61" i="2"/>
  <c r="AS61" i="2" s="1"/>
  <c r="AT61" i="2" s="1"/>
  <c r="AR34" i="2"/>
  <c r="AS34" i="2" s="1"/>
  <c r="AT34" i="2" s="1"/>
  <c r="AR176" i="2"/>
  <c r="AS176" i="2" s="1"/>
  <c r="AT176" i="2" s="1"/>
  <c r="AR28" i="2"/>
  <c r="AS28" i="2" s="1"/>
  <c r="AT28" i="2" s="1"/>
  <c r="M33" i="6" s="1"/>
  <c r="AR33" i="2"/>
  <c r="AS33" i="2" s="1"/>
  <c r="AT33" i="2" s="1"/>
  <c r="AR67" i="2"/>
  <c r="AS67" i="2" s="1"/>
  <c r="AT67" i="2" s="1"/>
  <c r="M72" i="6" s="1"/>
  <c r="AR83" i="2"/>
  <c r="AS83" i="2" s="1"/>
  <c r="AT83" i="2" s="1"/>
  <c r="AR101" i="2"/>
  <c r="AS101" i="2" s="1"/>
  <c r="AT101" i="2" s="1"/>
  <c r="AR92" i="2"/>
  <c r="AS92" i="2" s="1"/>
  <c r="AT92" i="2" s="1"/>
  <c r="AR47" i="2"/>
  <c r="AS47" i="2" s="1"/>
  <c r="AT47" i="2" s="1"/>
  <c r="AR182" i="2"/>
  <c r="AS182" i="2" s="1"/>
  <c r="AT182" i="2" s="1"/>
  <c r="M187" i="6" s="1"/>
  <c r="AR94" i="2"/>
  <c r="AS94" i="2" s="1"/>
  <c r="AT94" i="2" s="1"/>
  <c r="AR22" i="2"/>
  <c r="AS22" i="2" s="1"/>
  <c r="AT22" i="2" s="1"/>
  <c r="AR75" i="2"/>
  <c r="AS75" i="2" s="1"/>
  <c r="AT75" i="2" s="1"/>
  <c r="M80" i="6" s="1"/>
  <c r="AR37" i="2"/>
  <c r="AS37" i="2" s="1"/>
  <c r="AT37" i="2" s="1"/>
  <c r="AR96" i="2"/>
  <c r="AS96" i="2" s="1"/>
  <c r="AT96" i="2" s="1"/>
  <c r="M101" i="6" s="1"/>
  <c r="AR86" i="2"/>
  <c r="AS86" i="2" s="1"/>
  <c r="AT86" i="2" s="1"/>
  <c r="AR48" i="2"/>
  <c r="AS48" i="2" s="1"/>
  <c r="AT48" i="2" s="1"/>
  <c r="AR70" i="2"/>
  <c r="AS70" i="2" s="1"/>
  <c r="AT70" i="2" s="1"/>
  <c r="AR125" i="2"/>
  <c r="AS125" i="2" s="1"/>
  <c r="AT125" i="2" s="1"/>
  <c r="AR43" i="2"/>
  <c r="AS43" i="2" s="1"/>
  <c r="AT43" i="2" s="1"/>
  <c r="M48" i="6" s="1"/>
  <c r="AR30" i="2"/>
  <c r="AS30" i="2" s="1"/>
  <c r="AT30" i="2" s="1"/>
  <c r="AR183" i="2"/>
  <c r="AS183" i="2" s="1"/>
  <c r="AT183" i="2" s="1"/>
  <c r="AR144" i="2"/>
  <c r="AS144" i="2" s="1"/>
  <c r="AT144" i="2" s="1"/>
  <c r="AR16" i="2"/>
  <c r="AS16" i="2" s="1"/>
  <c r="AT16" i="2" s="1"/>
  <c r="M21" i="6" s="1"/>
  <c r="AR122" i="2"/>
  <c r="AS122" i="2" s="1"/>
  <c r="AT122" i="2" s="1"/>
  <c r="AR110" i="2"/>
  <c r="AS110" i="2" s="1"/>
  <c r="AT110" i="2" s="1"/>
  <c r="M115" i="6" s="1"/>
  <c r="AR161" i="2"/>
  <c r="AS161" i="2" s="1"/>
  <c r="AT161" i="2" s="1"/>
  <c r="AR29" i="2"/>
  <c r="AS29" i="2" s="1"/>
  <c r="AT29" i="2" s="1"/>
  <c r="AR139" i="2"/>
  <c r="AS139" i="2" s="1"/>
  <c r="AT139" i="2" s="1"/>
  <c r="M144" i="6" s="1"/>
  <c r="AR103" i="2"/>
  <c r="AS103" i="2" s="1"/>
  <c r="AT103" i="2" s="1"/>
  <c r="AR27" i="2"/>
  <c r="AS27" i="2" s="1"/>
  <c r="AT27" i="2" s="1"/>
  <c r="AR89" i="2"/>
  <c r="AS89" i="2" s="1"/>
  <c r="AT89" i="2" s="1"/>
  <c r="AR135" i="2"/>
  <c r="AS135" i="2" s="1"/>
  <c r="AT135" i="2" s="1"/>
  <c r="AR45" i="2"/>
  <c r="AS45" i="2" s="1"/>
  <c r="AT45" i="2" s="1"/>
  <c r="AR162" i="2"/>
  <c r="AS162" i="2" s="1"/>
  <c r="AT162" i="2" s="1"/>
  <c r="AR177" i="2"/>
  <c r="AS177" i="2" s="1"/>
  <c r="AT177" i="2" s="1"/>
  <c r="AR105" i="2"/>
  <c r="AS105" i="2" s="1"/>
  <c r="AT105" i="2" s="1"/>
  <c r="AR74" i="2"/>
  <c r="AS74" i="2" s="1"/>
  <c r="AT74" i="2" s="1"/>
  <c r="AR64" i="2"/>
  <c r="AS64" i="2" s="1"/>
  <c r="AT64" i="2" s="1"/>
  <c r="M69" i="6" s="1"/>
  <c r="AR166" i="2"/>
  <c r="AS166" i="2" s="1"/>
  <c r="AT166" i="2" s="1"/>
  <c r="AR141" i="2"/>
  <c r="AS141" i="2" s="1"/>
  <c r="AT141" i="2" s="1"/>
  <c r="AR174" i="2"/>
  <c r="AS174" i="2" s="1"/>
  <c r="AT174" i="2" s="1"/>
  <c r="AR95" i="2"/>
  <c r="AS95" i="2" s="1"/>
  <c r="AT95" i="2" s="1"/>
  <c r="AR81" i="2"/>
  <c r="AS81" i="2" s="1"/>
  <c r="AT81" i="2" s="1"/>
  <c r="AR126" i="2"/>
  <c r="AS126" i="2" s="1"/>
  <c r="AT126" i="2" s="1"/>
  <c r="AR114" i="2"/>
  <c r="AS114" i="2" s="1"/>
  <c r="AT114" i="2" s="1"/>
  <c r="AR91" i="2"/>
  <c r="AS91" i="2" s="1"/>
  <c r="AT91" i="2" s="1"/>
  <c r="AR54" i="2"/>
  <c r="AS54" i="2" s="1"/>
  <c r="AT54" i="2" s="1"/>
  <c r="M59" i="6" s="1"/>
  <c r="AR20" i="2"/>
  <c r="AS20" i="2" s="1"/>
  <c r="AT20" i="2" s="1"/>
  <c r="AR124" i="2"/>
  <c r="AS124" i="2" s="1"/>
  <c r="AT124" i="2" s="1"/>
  <c r="AR55" i="2"/>
  <c r="AS55" i="2" s="1"/>
  <c r="AT55" i="2" s="1"/>
  <c r="AR19" i="2"/>
  <c r="AS19" i="2" s="1"/>
  <c r="AT19" i="2" s="1"/>
  <c r="AR62" i="2"/>
  <c r="AS62" i="2" s="1"/>
  <c r="AT62" i="2" s="1"/>
  <c r="AR106" i="2"/>
  <c r="AS106" i="2" s="1"/>
  <c r="AT106" i="2" s="1"/>
  <c r="AR50" i="2"/>
  <c r="AS50" i="2" s="1"/>
  <c r="AT50" i="2" s="1"/>
  <c r="AR98" i="2"/>
  <c r="AS98" i="2" s="1"/>
  <c r="AT98" i="2" s="1"/>
  <c r="AR119" i="2"/>
  <c r="AS119" i="2" s="1"/>
  <c r="AT119" i="2" s="1"/>
  <c r="AR57" i="2"/>
  <c r="AS57" i="2" s="1"/>
  <c r="AT57" i="2" s="1"/>
  <c r="AR132" i="2"/>
  <c r="AS132" i="2" s="1"/>
  <c r="AT132" i="2" s="1"/>
  <c r="AR128" i="2"/>
  <c r="AS128" i="2" s="1"/>
  <c r="AT128" i="2" s="1"/>
  <c r="AR59" i="2"/>
  <c r="AS59" i="2" s="1"/>
  <c r="AT59" i="2" s="1"/>
  <c r="M64" i="6" s="1"/>
  <c r="AR15" i="2"/>
  <c r="AS15" i="2" s="1"/>
  <c r="AT15" i="2" s="1"/>
  <c r="AS165" i="2"/>
  <c r="AT165" i="2" s="1"/>
  <c r="AF129" i="2"/>
  <c r="AQ129" i="2"/>
  <c r="AF145" i="2"/>
  <c r="AQ145" i="2"/>
  <c r="AF134" i="2"/>
  <c r="AQ134" i="2"/>
  <c r="AF159" i="2"/>
  <c r="AQ159" i="2"/>
  <c r="AF17" i="2"/>
  <c r="AQ17" i="2"/>
  <c r="AF71" i="2"/>
  <c r="AQ71" i="2"/>
  <c r="AF168" i="2"/>
  <c r="AQ168" i="2"/>
  <c r="AF40" i="2"/>
  <c r="AQ40" i="2"/>
  <c r="AF35" i="2"/>
  <c r="AQ35" i="2"/>
  <c r="AF136" i="2"/>
  <c r="AQ136" i="2"/>
  <c r="AF179" i="2"/>
  <c r="AQ179" i="2"/>
  <c r="AF76" i="2"/>
  <c r="AQ76" i="2"/>
  <c r="AF102" i="2"/>
  <c r="AQ102" i="2"/>
  <c r="AF78" i="2"/>
  <c r="AQ78" i="2"/>
  <c r="AF158" i="2"/>
  <c r="AQ158" i="2"/>
  <c r="AF82" i="2"/>
  <c r="AQ82" i="2"/>
  <c r="AF93" i="2"/>
  <c r="AQ93" i="2"/>
  <c r="AF138" i="2"/>
  <c r="AQ138" i="2"/>
  <c r="AF90" i="2"/>
  <c r="AQ90" i="2"/>
  <c r="AF49" i="2"/>
  <c r="AQ49" i="2"/>
  <c r="AF58" i="2"/>
  <c r="AQ58" i="2"/>
  <c r="AF137" i="2"/>
  <c r="AQ137" i="2"/>
  <c r="AF85" i="2"/>
  <c r="AQ85" i="2"/>
  <c r="AF156" i="2"/>
  <c r="AQ156" i="2"/>
  <c r="AF44" i="2"/>
  <c r="AQ44" i="2"/>
  <c r="AF68" i="2"/>
  <c r="AQ68" i="2"/>
  <c r="AF169" i="2"/>
  <c r="AQ169" i="2"/>
  <c r="AF118" i="2"/>
  <c r="AQ118" i="2"/>
  <c r="AF167" i="2"/>
  <c r="AQ167" i="2"/>
  <c r="AF116" i="2"/>
  <c r="AQ116" i="2"/>
  <c r="AF113" i="2"/>
  <c r="AQ113" i="2"/>
  <c r="AF69" i="2"/>
  <c r="AQ69" i="2"/>
  <c r="AF73" i="2"/>
  <c r="AQ73" i="2"/>
  <c r="AF181" i="2"/>
  <c r="AQ181" i="2"/>
  <c r="AF171" i="2"/>
  <c r="AQ171" i="2"/>
  <c r="AF60" i="2"/>
  <c r="AQ60" i="2"/>
  <c r="AF130" i="2"/>
  <c r="AQ130" i="2"/>
  <c r="AF52" i="2"/>
  <c r="AQ52" i="2"/>
  <c r="AF178" i="2"/>
  <c r="AQ178" i="2"/>
  <c r="AF99" i="2"/>
  <c r="AQ99" i="2"/>
  <c r="AF140" i="2"/>
  <c r="AQ140" i="2"/>
  <c r="AF111" i="2"/>
  <c r="AQ111" i="2"/>
  <c r="AF133" i="2"/>
  <c r="AQ133" i="2"/>
  <c r="AF80" i="2"/>
  <c r="AQ80" i="2"/>
  <c r="AF147" i="2"/>
  <c r="AQ147" i="2"/>
  <c r="AF163" i="2"/>
  <c r="AQ163" i="2"/>
  <c r="AF84" i="2"/>
  <c r="AQ84" i="2"/>
  <c r="AF160" i="2"/>
  <c r="AQ160" i="2"/>
  <c r="AF146" i="2"/>
  <c r="AQ146" i="2"/>
  <c r="AF66" i="2"/>
  <c r="AQ66" i="2"/>
  <c r="AF65" i="2"/>
  <c r="AQ65" i="2"/>
  <c r="AF31" i="2"/>
  <c r="AQ31" i="2"/>
  <c r="AF127" i="2"/>
  <c r="AQ127" i="2"/>
  <c r="AF154" i="2"/>
  <c r="AQ154" i="2"/>
  <c r="AF180" i="2"/>
  <c r="AQ180" i="2"/>
  <c r="AF151" i="2"/>
  <c r="AQ151" i="2"/>
  <c r="AF32" i="2"/>
  <c r="AQ32" i="2"/>
  <c r="AF21" i="2"/>
  <c r="AQ21" i="2"/>
  <c r="AF77" i="2"/>
  <c r="AQ77" i="2"/>
  <c r="AF79" i="2"/>
  <c r="AQ79" i="2"/>
  <c r="AF115" i="2"/>
  <c r="AQ115" i="2"/>
  <c r="AF87" i="2"/>
  <c r="AQ87" i="2"/>
  <c r="AF152" i="2"/>
  <c r="AQ152" i="2"/>
  <c r="AF97" i="2"/>
  <c r="AQ97" i="2"/>
  <c r="AF46" i="2"/>
  <c r="AQ46" i="2"/>
  <c r="AF107" i="2"/>
  <c r="AQ107" i="2"/>
  <c r="AF56" i="2"/>
  <c r="AQ56" i="2"/>
  <c r="AF150" i="2"/>
  <c r="AQ150" i="2"/>
  <c r="AF39" i="2"/>
  <c r="AQ39" i="2"/>
  <c r="AF112" i="2"/>
  <c r="AQ112" i="2"/>
  <c r="AF109" i="2"/>
  <c r="AQ109" i="2"/>
  <c r="AF100" i="2"/>
  <c r="AQ100" i="2"/>
  <c r="AF175" i="2"/>
  <c r="AQ175" i="2"/>
  <c r="AF88" i="2"/>
  <c r="AQ88" i="2"/>
  <c r="AF153" i="2"/>
  <c r="AQ153" i="2"/>
  <c r="AF131" i="2"/>
  <c r="AQ131" i="2"/>
  <c r="AF155" i="2"/>
  <c r="AQ155" i="2"/>
  <c r="AN7" i="2"/>
  <c r="AG15" i="2"/>
  <c r="AM51" i="2"/>
  <c r="AM62" i="2"/>
  <c r="AM30" i="2"/>
  <c r="AM43" i="2"/>
  <c r="B81" i="1"/>
  <c r="B82" i="1" s="1"/>
  <c r="K130" i="4"/>
  <c r="AL169" i="4"/>
  <c r="AC169" i="4"/>
  <c r="AM143" i="4"/>
  <c r="AD143" i="4"/>
  <c r="K205" i="4"/>
  <c r="L205" i="4" s="1"/>
  <c r="M205" i="4" s="1"/>
  <c r="N205" i="4" s="1"/>
  <c r="AL183" i="4"/>
  <c r="AC183" i="4"/>
  <c r="AE236" i="4"/>
  <c r="AN236" i="4"/>
  <c r="AC139" i="4"/>
  <c r="AL139" i="4"/>
  <c r="K157" i="4"/>
  <c r="K128" i="4"/>
  <c r="L128" i="4" s="1"/>
  <c r="M128" i="4" s="1"/>
  <c r="N128" i="4" s="1"/>
  <c r="AF236" i="4"/>
  <c r="AO236" i="4"/>
  <c r="AE234" i="4"/>
  <c r="AN234" i="4"/>
  <c r="K187" i="4"/>
  <c r="K81" i="4"/>
  <c r="L81" i="4" s="1"/>
  <c r="M81" i="4" s="1"/>
  <c r="K95" i="4"/>
  <c r="L95" i="4" s="1"/>
  <c r="AC202" i="4"/>
  <c r="AL202" i="4"/>
  <c r="AM234" i="4"/>
  <c r="AD234" i="4"/>
  <c r="AL77" i="4"/>
  <c r="AC77" i="4"/>
  <c r="K182" i="4"/>
  <c r="L182" i="4" s="1"/>
  <c r="M182" i="4" s="1"/>
  <c r="K167" i="4"/>
  <c r="K121" i="4"/>
  <c r="L121" i="4" s="1"/>
  <c r="M121" i="4" s="1"/>
  <c r="N121" i="4" s="1"/>
  <c r="K93" i="4"/>
  <c r="L93" i="4" s="1"/>
  <c r="K189" i="4"/>
  <c r="L189" i="4" s="1"/>
  <c r="M189" i="4" s="1"/>
  <c r="N189" i="4" s="1"/>
  <c r="K83" i="4"/>
  <c r="L83" i="4" s="1"/>
  <c r="M83" i="4" s="1"/>
  <c r="AD201" i="4"/>
  <c r="AM236" i="4"/>
  <c r="AD236" i="4"/>
  <c r="AC234" i="4"/>
  <c r="AL234" i="4"/>
  <c r="M143" i="4"/>
  <c r="K237" i="4"/>
  <c r="L237" i="4" s="1"/>
  <c r="M237" i="4" s="1"/>
  <c r="K103" i="4"/>
  <c r="K120" i="4"/>
  <c r="L120" i="4" s="1"/>
  <c r="M120" i="4" s="1"/>
  <c r="AM183" i="4"/>
  <c r="AD183" i="4"/>
  <c r="AO201" i="4"/>
  <c r="AM132" i="4"/>
  <c r="AD132" i="4"/>
  <c r="AD202" i="4"/>
  <c r="AM202" i="4"/>
  <c r="AM77" i="4"/>
  <c r="AD77" i="4"/>
  <c r="AM139" i="4"/>
  <c r="AD139" i="4"/>
  <c r="K82" i="4"/>
  <c r="L82" i="4" s="1"/>
  <c r="M82" i="4" s="1"/>
  <c r="K192" i="4"/>
  <c r="AN201" i="4"/>
  <c r="AC132" i="4"/>
  <c r="AL132" i="4"/>
  <c r="K156" i="4"/>
  <c r="L156" i="4" s="1"/>
  <c r="M156" i="4" s="1"/>
  <c r="N156" i="4" s="1"/>
  <c r="K109" i="4"/>
  <c r="K105" i="4"/>
  <c r="L105" i="4" s="1"/>
  <c r="K163" i="4"/>
  <c r="L163" i="4" s="1"/>
  <c r="K220" i="4"/>
  <c r="K155" i="4"/>
  <c r="L155" i="4" s="1"/>
  <c r="K193" i="4"/>
  <c r="L193" i="4" s="1"/>
  <c r="K179" i="4"/>
  <c r="M183" i="4"/>
  <c r="O201" i="4"/>
  <c r="AC201" i="4"/>
  <c r="M132" i="4"/>
  <c r="O236" i="4"/>
  <c r="AL236" i="4"/>
  <c r="AC236" i="4"/>
  <c r="L181" i="4"/>
  <c r="AC181" i="4"/>
  <c r="AL181" i="4"/>
  <c r="M202" i="4"/>
  <c r="N234" i="4"/>
  <c r="L169" i="4"/>
  <c r="L230" i="4"/>
  <c r="AC230" i="4"/>
  <c r="AL230" i="4"/>
  <c r="M77" i="4"/>
  <c r="M139" i="4"/>
  <c r="AL143" i="4"/>
  <c r="AC143" i="4"/>
  <c r="AL137" i="4" l="1"/>
  <c r="AL212" i="4"/>
  <c r="L146" i="4"/>
  <c r="AL146" i="4"/>
  <c r="N116" i="4"/>
  <c r="AL116" i="4"/>
  <c r="AC116" i="4"/>
  <c r="AM116" i="4"/>
  <c r="AM137" i="4"/>
  <c r="AN137" i="4"/>
  <c r="AD116" i="4"/>
  <c r="AN116" i="4"/>
  <c r="AE101" i="6"/>
  <c r="AN101" i="6"/>
  <c r="AE148" i="6"/>
  <c r="AN148" i="6"/>
  <c r="AE59" i="6"/>
  <c r="AN59" i="6"/>
  <c r="AE80" i="6"/>
  <c r="AN80" i="6"/>
  <c r="AE41" i="6"/>
  <c r="AN41" i="6"/>
  <c r="AM212" i="4"/>
  <c r="AE33" i="6"/>
  <c r="AN33" i="6"/>
  <c r="AE69" i="6"/>
  <c r="AN69" i="6"/>
  <c r="AU182" i="6"/>
  <c r="AL182" i="6"/>
  <c r="AU33" i="6"/>
  <c r="AL33" i="6"/>
  <c r="AU122" i="6"/>
  <c r="AL122" i="6"/>
  <c r="AU169" i="6"/>
  <c r="AL169" i="6"/>
  <c r="AU154" i="6"/>
  <c r="AL154" i="6"/>
  <c r="AU170" i="6"/>
  <c r="AL170" i="6"/>
  <c r="AV141" i="6"/>
  <c r="AM141" i="6"/>
  <c r="AV68" i="6"/>
  <c r="AM68" i="6"/>
  <c r="AV76" i="6"/>
  <c r="AM76" i="6"/>
  <c r="AV69" i="6"/>
  <c r="AM69" i="6"/>
  <c r="AV59" i="6"/>
  <c r="AM59" i="6"/>
  <c r="AV53" i="6"/>
  <c r="AM53" i="6"/>
  <c r="AM30" i="6"/>
  <c r="AV30" i="6"/>
  <c r="AV29" i="6"/>
  <c r="AM29" i="6"/>
  <c r="AV143" i="6"/>
  <c r="AM143" i="6"/>
  <c r="AV115" i="6"/>
  <c r="AM115" i="6"/>
  <c r="AV104" i="6"/>
  <c r="AM104" i="6"/>
  <c r="AM105" i="6"/>
  <c r="AV105" i="6"/>
  <c r="AU67" i="6"/>
  <c r="AL67" i="6"/>
  <c r="AV176" i="6"/>
  <c r="AM176" i="6"/>
  <c r="AV41" i="6"/>
  <c r="AM41" i="6"/>
  <c r="AV153" i="6"/>
  <c r="AM153" i="6"/>
  <c r="AV147" i="6"/>
  <c r="AM147" i="6"/>
  <c r="AV164" i="6"/>
  <c r="AM164" i="6"/>
  <c r="AM43" i="6"/>
  <c r="AV43" i="6"/>
  <c r="AV112" i="6"/>
  <c r="AM112" i="6"/>
  <c r="AV135" i="6"/>
  <c r="AM135" i="6"/>
  <c r="AV185" i="6"/>
  <c r="AM185" i="6"/>
  <c r="AV149" i="6"/>
  <c r="AM149" i="6"/>
  <c r="AV127" i="6"/>
  <c r="AM127" i="6"/>
  <c r="AV31" i="6"/>
  <c r="AM31" i="6"/>
  <c r="AV137" i="6"/>
  <c r="AM137" i="6"/>
  <c r="AV103" i="6"/>
  <c r="AM103" i="6"/>
  <c r="AV168" i="6"/>
  <c r="AM168" i="6"/>
  <c r="AV166" i="6"/>
  <c r="AM166" i="6"/>
  <c r="AV165" i="6"/>
  <c r="AM165" i="6"/>
  <c r="AM22" i="6"/>
  <c r="AV22" i="6"/>
  <c r="AM140" i="6"/>
  <c r="AV140" i="6"/>
  <c r="AV111" i="6"/>
  <c r="AM111" i="6"/>
  <c r="AM125" i="6"/>
  <c r="AV125" i="6"/>
  <c r="AV167" i="6"/>
  <c r="AM167" i="6"/>
  <c r="AM36" i="6"/>
  <c r="AV36" i="6"/>
  <c r="AV183" i="6"/>
  <c r="AM183" i="6"/>
  <c r="AV57" i="6"/>
  <c r="AM57" i="6"/>
  <c r="AV151" i="6"/>
  <c r="AM151" i="6"/>
  <c r="AV77" i="6"/>
  <c r="AM77" i="6"/>
  <c r="AV130" i="6"/>
  <c r="AM130" i="6"/>
  <c r="N137" i="4"/>
  <c r="AF137" i="4" s="1"/>
  <c r="AC137" i="4"/>
  <c r="AE115" i="6"/>
  <c r="AN115" i="6"/>
  <c r="AE187" i="6"/>
  <c r="AN187" i="6"/>
  <c r="AE162" i="6"/>
  <c r="AN162" i="6"/>
  <c r="AV188" i="6"/>
  <c r="AM188" i="6"/>
  <c r="AV107" i="6"/>
  <c r="AM107" i="6"/>
  <c r="AV163" i="6"/>
  <c r="AM163" i="6"/>
  <c r="AV116" i="6"/>
  <c r="AM116" i="6"/>
  <c r="AV174" i="6"/>
  <c r="AM174" i="6"/>
  <c r="AV158" i="6"/>
  <c r="AM158" i="6"/>
  <c r="AV126" i="6"/>
  <c r="AM126" i="6"/>
  <c r="AM132" i="6"/>
  <c r="AV132" i="6"/>
  <c r="AV142" i="6"/>
  <c r="AM142" i="6"/>
  <c r="AV139" i="6"/>
  <c r="AM139" i="6"/>
  <c r="AV33" i="6"/>
  <c r="AM33" i="6"/>
  <c r="AV181" i="6"/>
  <c r="AM181" i="6"/>
  <c r="AV148" i="6"/>
  <c r="AM148" i="6"/>
  <c r="AV106" i="6"/>
  <c r="AM106" i="6"/>
  <c r="AM42" i="6"/>
  <c r="AV42" i="6"/>
  <c r="AV81" i="6"/>
  <c r="AM81" i="6"/>
  <c r="AM54" i="6"/>
  <c r="AV54" i="6"/>
  <c r="AV55" i="6"/>
  <c r="AM55" i="6"/>
  <c r="AM27" i="6"/>
  <c r="AV27" i="6"/>
  <c r="AV95" i="6"/>
  <c r="AM95" i="6"/>
  <c r="AM133" i="6"/>
  <c r="AV133" i="6"/>
  <c r="AV114" i="6"/>
  <c r="AM114" i="6"/>
  <c r="AV60" i="6"/>
  <c r="AM60" i="6"/>
  <c r="AV84" i="6"/>
  <c r="AM84" i="6"/>
  <c r="AV79" i="6"/>
  <c r="AM79" i="6"/>
  <c r="AU62" i="6"/>
  <c r="AL62" i="6"/>
  <c r="AL108" i="6"/>
  <c r="AU108" i="6"/>
  <c r="AV171" i="6"/>
  <c r="AM171" i="6"/>
  <c r="AM173" i="6"/>
  <c r="AV173" i="6"/>
  <c r="AV110" i="6"/>
  <c r="AM110" i="6"/>
  <c r="AM51" i="6"/>
  <c r="AV51" i="6"/>
  <c r="AV160" i="6"/>
  <c r="AM160" i="6"/>
  <c r="AU101" i="6"/>
  <c r="AL101" i="6"/>
  <c r="AU99" i="6"/>
  <c r="AL99" i="6"/>
  <c r="AU39" i="6"/>
  <c r="AL39" i="6"/>
  <c r="AU175" i="6"/>
  <c r="AL175" i="6"/>
  <c r="AU162" i="6"/>
  <c r="AL162" i="6"/>
  <c r="AU178" i="6"/>
  <c r="AL178" i="6"/>
  <c r="AU113" i="6"/>
  <c r="AL113" i="6"/>
  <c r="AU94" i="6"/>
  <c r="AL94" i="6"/>
  <c r="AL34" i="6"/>
  <c r="AU34" i="6"/>
  <c r="AU149" i="6"/>
  <c r="AL149" i="6"/>
  <c r="AV96" i="6"/>
  <c r="AM96" i="6"/>
  <c r="AV119" i="6"/>
  <c r="AM119" i="6"/>
  <c r="AM136" i="6"/>
  <c r="AV136" i="6"/>
  <c r="AV124" i="6"/>
  <c r="AM124" i="6"/>
  <c r="AV65" i="6"/>
  <c r="AM65" i="6"/>
  <c r="AE64" i="6"/>
  <c r="AN64" i="6"/>
  <c r="AE144" i="6"/>
  <c r="AN144" i="6"/>
  <c r="AE72" i="6"/>
  <c r="AN72" i="6"/>
  <c r="AU129" i="6"/>
  <c r="AL129" i="6"/>
  <c r="AL80" i="6"/>
  <c r="AU80" i="6"/>
  <c r="AU187" i="6"/>
  <c r="AL187" i="6"/>
  <c r="AU52" i="6"/>
  <c r="AL52" i="6"/>
  <c r="AL106" i="6"/>
  <c r="AU106" i="6"/>
  <c r="AU30" i="6"/>
  <c r="AL30" i="6"/>
  <c r="AU68" i="6"/>
  <c r="AL68" i="6"/>
  <c r="AV170" i="6"/>
  <c r="AM170" i="6"/>
  <c r="AV61" i="6"/>
  <c r="AM61" i="6"/>
  <c r="AV102" i="6"/>
  <c r="AM102" i="6"/>
  <c r="AV89" i="6"/>
  <c r="AM89" i="6"/>
  <c r="AV122" i="6"/>
  <c r="AM122" i="6"/>
  <c r="AV101" i="6"/>
  <c r="AM101" i="6"/>
  <c r="AV52" i="6"/>
  <c r="AM52" i="6"/>
  <c r="AM38" i="6"/>
  <c r="AV38" i="6"/>
  <c r="AV66" i="6"/>
  <c r="AM66" i="6"/>
  <c r="AV88" i="6"/>
  <c r="AM88" i="6"/>
  <c r="AV99" i="6"/>
  <c r="AM99" i="6"/>
  <c r="AV72" i="6"/>
  <c r="AM72" i="6"/>
  <c r="AU124" i="6"/>
  <c r="AL124" i="6"/>
  <c r="AU25" i="6"/>
  <c r="AL25" i="6"/>
  <c r="AU100" i="6"/>
  <c r="AL100" i="6"/>
  <c r="AU144" i="6"/>
  <c r="AL144" i="6"/>
  <c r="AL21" i="6"/>
  <c r="AU21" i="6"/>
  <c r="AV146" i="6"/>
  <c r="AM146" i="6"/>
  <c r="AV175" i="6"/>
  <c r="AM175" i="6"/>
  <c r="AV73" i="6"/>
  <c r="AM73" i="6"/>
  <c r="AV157" i="6"/>
  <c r="AM157" i="6"/>
  <c r="AV144" i="6"/>
  <c r="AM144" i="6"/>
  <c r="AM90" i="6"/>
  <c r="AV90" i="6"/>
  <c r="AM86" i="6"/>
  <c r="AV86" i="6"/>
  <c r="AV28" i="6"/>
  <c r="AM28" i="6"/>
  <c r="AV64" i="6"/>
  <c r="AM64" i="6"/>
  <c r="AV128" i="6"/>
  <c r="AM128" i="6"/>
  <c r="AV100" i="6"/>
  <c r="AM100" i="6"/>
  <c r="AV109" i="6"/>
  <c r="AM109" i="6"/>
  <c r="AV180" i="6"/>
  <c r="AM180" i="6"/>
  <c r="AV50" i="6"/>
  <c r="AM50" i="6"/>
  <c r="AV49" i="6"/>
  <c r="AM49" i="6"/>
  <c r="AV74" i="6"/>
  <c r="AM74" i="6"/>
  <c r="AV113" i="6"/>
  <c r="AM113" i="6"/>
  <c r="AV172" i="6"/>
  <c r="AM172" i="6"/>
  <c r="AV82" i="6"/>
  <c r="AM82" i="6"/>
  <c r="AV24" i="6"/>
  <c r="AM24" i="6"/>
  <c r="AV108" i="6"/>
  <c r="AM108" i="6"/>
  <c r="AV120" i="6"/>
  <c r="AM120" i="6"/>
  <c r="AV179" i="6"/>
  <c r="AM179" i="6"/>
  <c r="AV37" i="6"/>
  <c r="AM37" i="6"/>
  <c r="AV44" i="6"/>
  <c r="AM44" i="6"/>
  <c r="AM98" i="6"/>
  <c r="AV98" i="6"/>
  <c r="AM23" i="6"/>
  <c r="AV23" i="6"/>
  <c r="AV39" i="6"/>
  <c r="AM39" i="6"/>
  <c r="AU96" i="6"/>
  <c r="AL96" i="6"/>
  <c r="AD137" i="4"/>
  <c r="AE21" i="6"/>
  <c r="AN21" i="6"/>
  <c r="AE48" i="6"/>
  <c r="AN48" i="6"/>
  <c r="AV75" i="6"/>
  <c r="AM75" i="6"/>
  <c r="AV187" i="6"/>
  <c r="AM187" i="6"/>
  <c r="AV155" i="6"/>
  <c r="AM155" i="6"/>
  <c r="AV145" i="6"/>
  <c r="AM145" i="6"/>
  <c r="AV169" i="6"/>
  <c r="AM169" i="6"/>
  <c r="AM26" i="6"/>
  <c r="AV26" i="6"/>
  <c r="AV161" i="6"/>
  <c r="AM161" i="6"/>
  <c r="AM118" i="6"/>
  <c r="AV118" i="6"/>
  <c r="AM62" i="6"/>
  <c r="AV62" i="6"/>
  <c r="AV47" i="6"/>
  <c r="AM47" i="6"/>
  <c r="AV177" i="6"/>
  <c r="AM177" i="6"/>
  <c r="AV63" i="6"/>
  <c r="AM63" i="6"/>
  <c r="AV92" i="6"/>
  <c r="AM92" i="6"/>
  <c r="AV32" i="6"/>
  <c r="AM32" i="6"/>
  <c r="AV34" i="6"/>
  <c r="AM34" i="6"/>
  <c r="AV138" i="6"/>
  <c r="AM138" i="6"/>
  <c r="AV152" i="6"/>
  <c r="AM152" i="6"/>
  <c r="AV71" i="6"/>
  <c r="AM71" i="6"/>
  <c r="AV162" i="6"/>
  <c r="AM162" i="6"/>
  <c r="AV40" i="6"/>
  <c r="AM40" i="6"/>
  <c r="AV156" i="6"/>
  <c r="AM156" i="6"/>
  <c r="AV93" i="6"/>
  <c r="AM93" i="6"/>
  <c r="AV97" i="6"/>
  <c r="AM97" i="6"/>
  <c r="AV121" i="6"/>
  <c r="AM121" i="6"/>
  <c r="AV45" i="6"/>
  <c r="AM45" i="6"/>
  <c r="AV94" i="6"/>
  <c r="AM94" i="6"/>
  <c r="AU59" i="6"/>
  <c r="AL59" i="6"/>
  <c r="AL53" i="6"/>
  <c r="AU53" i="6"/>
  <c r="AV46" i="6"/>
  <c r="AM46" i="6"/>
  <c r="AM83" i="6"/>
  <c r="AV83" i="6"/>
  <c r="AV123" i="6"/>
  <c r="AM123" i="6"/>
  <c r="AV70" i="6"/>
  <c r="AM70" i="6"/>
  <c r="AV154" i="6"/>
  <c r="AM154" i="6"/>
  <c r="AV85" i="6"/>
  <c r="AM85" i="6"/>
  <c r="AL42" i="6"/>
  <c r="AU42" i="6"/>
  <c r="AU56" i="6"/>
  <c r="AL56" i="6"/>
  <c r="AU147" i="6"/>
  <c r="AL147" i="6"/>
  <c r="AU29" i="6"/>
  <c r="AL29" i="6"/>
  <c r="AU55" i="6"/>
  <c r="AL55" i="6"/>
  <c r="AU69" i="6"/>
  <c r="AL69" i="6"/>
  <c r="AU35" i="6"/>
  <c r="AL35" i="6"/>
  <c r="AU50" i="6"/>
  <c r="AL50" i="6"/>
  <c r="AV78" i="6"/>
  <c r="AM78" i="6"/>
  <c r="AV134" i="6"/>
  <c r="AM134" i="6"/>
  <c r="AM58" i="6"/>
  <c r="AV58" i="6"/>
  <c r="AV186" i="6"/>
  <c r="AM186" i="6"/>
  <c r="AV159" i="6"/>
  <c r="AM159" i="6"/>
  <c r="AC212" i="4"/>
  <c r="M212" i="4"/>
  <c r="AE212" i="4" s="1"/>
  <c r="AM201" i="4"/>
  <c r="AZ131" i="2"/>
  <c r="AV131" i="2"/>
  <c r="BC131" i="2"/>
  <c r="AY131" i="2"/>
  <c r="BB131" i="2"/>
  <c r="AX131" i="2"/>
  <c r="BA131" i="2"/>
  <c r="AW131" i="2"/>
  <c r="AZ88" i="2"/>
  <c r="AV88" i="2"/>
  <c r="BC88" i="2"/>
  <c r="AY88" i="2"/>
  <c r="BB88" i="2"/>
  <c r="AX88" i="2"/>
  <c r="BA88" i="2"/>
  <c r="AW88" i="2"/>
  <c r="AZ112" i="2"/>
  <c r="AV112" i="2"/>
  <c r="BC112" i="2"/>
  <c r="AY112" i="2"/>
  <c r="BB112" i="2"/>
  <c r="AX112" i="2"/>
  <c r="BA112" i="2"/>
  <c r="AW112" i="2"/>
  <c r="BJ112" i="2"/>
  <c r="BK112" i="2" s="1"/>
  <c r="BT112" i="2" s="1"/>
  <c r="T117" i="6" s="1"/>
  <c r="AZ107" i="2"/>
  <c r="AV107" i="2"/>
  <c r="BC107" i="2"/>
  <c r="AY107" i="2"/>
  <c r="BB107" i="2"/>
  <c r="AX107" i="2"/>
  <c r="BA107" i="2"/>
  <c r="BJ107" i="2"/>
  <c r="BK107" i="2" s="1"/>
  <c r="BT107" i="2" s="1"/>
  <c r="T112" i="6" s="1"/>
  <c r="AW107" i="2"/>
  <c r="AZ97" i="2"/>
  <c r="AV97" i="2"/>
  <c r="BC97" i="2"/>
  <c r="AY97" i="2"/>
  <c r="BB97" i="2"/>
  <c r="AX97" i="2"/>
  <c r="BA97" i="2"/>
  <c r="BJ97" i="2"/>
  <c r="BK97" i="2" s="1"/>
  <c r="BT97" i="2" s="1"/>
  <c r="T102" i="6" s="1"/>
  <c r="AW97" i="2"/>
  <c r="AZ79" i="2"/>
  <c r="AV79" i="2"/>
  <c r="BC79" i="2"/>
  <c r="AY79" i="2"/>
  <c r="BB79" i="2"/>
  <c r="AX79" i="2"/>
  <c r="BA79" i="2"/>
  <c r="AW79" i="2"/>
  <c r="BB151" i="2"/>
  <c r="AX151" i="2"/>
  <c r="AZ151" i="2"/>
  <c r="AY151" i="2"/>
  <c r="BC151" i="2"/>
  <c r="AW151" i="2"/>
  <c r="BA151" i="2"/>
  <c r="AV151" i="2"/>
  <c r="BB31" i="2"/>
  <c r="AX31" i="2"/>
  <c r="BA31" i="2"/>
  <c r="AW31" i="2"/>
  <c r="AZ31" i="2"/>
  <c r="AV31" i="2"/>
  <c r="BC31" i="2"/>
  <c r="BJ31" i="2"/>
  <c r="BK31" i="2" s="1"/>
  <c r="BT31" i="2" s="1"/>
  <c r="T36" i="6" s="1"/>
  <c r="AY31" i="2"/>
  <c r="BB66" i="2"/>
  <c r="AX66" i="2"/>
  <c r="BA66" i="2"/>
  <c r="AW66" i="2"/>
  <c r="AZ66" i="2"/>
  <c r="AV66" i="2"/>
  <c r="BC66" i="2"/>
  <c r="AY66" i="2"/>
  <c r="BC163" i="2"/>
  <c r="AY163" i="2"/>
  <c r="BB163" i="2"/>
  <c r="AX163" i="2"/>
  <c r="BA163" i="2"/>
  <c r="AW163" i="2"/>
  <c r="AZ163" i="2"/>
  <c r="AV163" i="2"/>
  <c r="BJ163" i="2"/>
  <c r="BK163" i="2" s="1"/>
  <c r="BT163" i="2" s="1"/>
  <c r="T168" i="6" s="1"/>
  <c r="AZ111" i="2"/>
  <c r="AV111" i="2"/>
  <c r="BC111" i="2"/>
  <c r="AY111" i="2"/>
  <c r="BB111" i="2"/>
  <c r="AX111" i="2"/>
  <c r="BA111" i="2"/>
  <c r="AW111" i="2"/>
  <c r="BB52" i="2"/>
  <c r="AX52" i="2"/>
  <c r="BA52" i="2"/>
  <c r="AW52" i="2"/>
  <c r="AZ52" i="2"/>
  <c r="AV52" i="2"/>
  <c r="BC52" i="2"/>
  <c r="AY52" i="2"/>
  <c r="BC181" i="2"/>
  <c r="AY181" i="2"/>
  <c r="AX181" i="2"/>
  <c r="BB181" i="2"/>
  <c r="AW181" i="2"/>
  <c r="BA181" i="2"/>
  <c r="AV181" i="2"/>
  <c r="AZ181" i="2"/>
  <c r="AZ116" i="2"/>
  <c r="AV116" i="2"/>
  <c r="BC116" i="2"/>
  <c r="AY116" i="2"/>
  <c r="BB116" i="2"/>
  <c r="AX116" i="2"/>
  <c r="BA116" i="2"/>
  <c r="AW116" i="2"/>
  <c r="BB68" i="2"/>
  <c r="AX68" i="2"/>
  <c r="BA68" i="2"/>
  <c r="AW68" i="2"/>
  <c r="AZ68" i="2"/>
  <c r="AV68" i="2"/>
  <c r="BC68" i="2"/>
  <c r="AY68" i="2"/>
  <c r="BC156" i="2"/>
  <c r="AY156" i="2"/>
  <c r="BB156" i="2"/>
  <c r="AX156" i="2"/>
  <c r="BA156" i="2"/>
  <c r="AW156" i="2"/>
  <c r="AZ156" i="2"/>
  <c r="AV156" i="2"/>
  <c r="BB49" i="2"/>
  <c r="AX49" i="2"/>
  <c r="BA49" i="2"/>
  <c r="AW49" i="2"/>
  <c r="AZ49" i="2"/>
  <c r="AV49" i="2"/>
  <c r="BC49" i="2"/>
  <c r="AY49" i="2"/>
  <c r="AZ82" i="2"/>
  <c r="AV82" i="2"/>
  <c r="BC82" i="2"/>
  <c r="AY82" i="2"/>
  <c r="BB82" i="2"/>
  <c r="AX82" i="2"/>
  <c r="BA82" i="2"/>
  <c r="AW82" i="2"/>
  <c r="AZ76" i="2"/>
  <c r="BC76" i="2"/>
  <c r="AY76" i="2"/>
  <c r="BB76" i="2"/>
  <c r="AX76" i="2"/>
  <c r="BA76" i="2"/>
  <c r="AW76" i="2"/>
  <c r="AV76" i="2"/>
  <c r="BJ76" i="2"/>
  <c r="BK76" i="2" s="1"/>
  <c r="BT76" i="2" s="1"/>
  <c r="T81" i="6" s="1"/>
  <c r="BB40" i="2"/>
  <c r="AX40" i="2"/>
  <c r="BA40" i="2"/>
  <c r="AW40" i="2"/>
  <c r="AZ40" i="2"/>
  <c r="AV40" i="2"/>
  <c r="BC40" i="2"/>
  <c r="AY40" i="2"/>
  <c r="BJ40" i="2"/>
  <c r="BK40" i="2" s="1"/>
  <c r="BT40" i="2" s="1"/>
  <c r="T45" i="6" s="1"/>
  <c r="BC159" i="2"/>
  <c r="AY159" i="2"/>
  <c r="BB159" i="2"/>
  <c r="AX159" i="2"/>
  <c r="BA159" i="2"/>
  <c r="AW159" i="2"/>
  <c r="AZ159" i="2"/>
  <c r="AV159" i="2"/>
  <c r="AZ145" i="2"/>
  <c r="AV145" i="2"/>
  <c r="BC145" i="2"/>
  <c r="AY145" i="2"/>
  <c r="BB145" i="2"/>
  <c r="AX145" i="2"/>
  <c r="BA145" i="2"/>
  <c r="AW145" i="2"/>
  <c r="AG43" i="2"/>
  <c r="K100" i="4" s="1"/>
  <c r="BU43" i="2"/>
  <c r="U48" i="6" s="1"/>
  <c r="L240" i="4"/>
  <c r="AD240" i="4" s="1"/>
  <c r="AG30" i="2"/>
  <c r="K87" i="4" s="1"/>
  <c r="L87" i="4" s="1"/>
  <c r="BU30" i="2"/>
  <c r="U35" i="6" s="1"/>
  <c r="AZ100" i="2"/>
  <c r="AV100" i="2"/>
  <c r="BC100" i="2"/>
  <c r="AY100" i="2"/>
  <c r="BB100" i="2"/>
  <c r="AX100" i="2"/>
  <c r="BA100" i="2"/>
  <c r="AW100" i="2"/>
  <c r="BJ100" i="2"/>
  <c r="BK100" i="2" s="1"/>
  <c r="BT100" i="2" s="1"/>
  <c r="T105" i="6" s="1"/>
  <c r="BB150" i="2"/>
  <c r="AX150" i="2"/>
  <c r="BC150" i="2"/>
  <c r="AW150" i="2"/>
  <c r="BA150" i="2"/>
  <c r="AV150" i="2"/>
  <c r="AZ150" i="2"/>
  <c r="AY150" i="2"/>
  <c r="AZ87" i="2"/>
  <c r="AV87" i="2"/>
  <c r="BC87" i="2"/>
  <c r="AY87" i="2"/>
  <c r="BB87" i="2"/>
  <c r="AX87" i="2"/>
  <c r="BA87" i="2"/>
  <c r="AW87" i="2"/>
  <c r="BB21" i="2"/>
  <c r="AX21" i="2"/>
  <c r="BA21" i="2"/>
  <c r="AW21" i="2"/>
  <c r="AZ21" i="2"/>
  <c r="AV21" i="2"/>
  <c r="AY21" i="2"/>
  <c r="BC21" i="2"/>
  <c r="BC154" i="2"/>
  <c r="AY154" i="2"/>
  <c r="BB154" i="2"/>
  <c r="AX154" i="2"/>
  <c r="BA154" i="2"/>
  <c r="AW154" i="2"/>
  <c r="AZ154" i="2"/>
  <c r="AV154" i="2"/>
  <c r="BC160" i="2"/>
  <c r="AY160" i="2"/>
  <c r="BB160" i="2"/>
  <c r="AX160" i="2"/>
  <c r="BA160" i="2"/>
  <c r="AW160" i="2"/>
  <c r="AZ160" i="2"/>
  <c r="AV160" i="2"/>
  <c r="BJ160" i="2"/>
  <c r="BK160" i="2" s="1"/>
  <c r="BT160" i="2" s="1"/>
  <c r="T165" i="6" s="1"/>
  <c r="AZ80" i="2"/>
  <c r="AV80" i="2"/>
  <c r="BC80" i="2"/>
  <c r="AY80" i="2"/>
  <c r="BB80" i="2"/>
  <c r="AX80" i="2"/>
  <c r="BA80" i="2"/>
  <c r="AW80" i="2"/>
  <c r="AZ99" i="2"/>
  <c r="AV99" i="2"/>
  <c r="BC99" i="2"/>
  <c r="AY99" i="2"/>
  <c r="BB99" i="2"/>
  <c r="AX99" i="2"/>
  <c r="BA99" i="2"/>
  <c r="AW99" i="2"/>
  <c r="BB60" i="2"/>
  <c r="AX60" i="2"/>
  <c r="BA60" i="2"/>
  <c r="AW60" i="2"/>
  <c r="AZ60" i="2"/>
  <c r="AV60" i="2"/>
  <c r="BC60" i="2"/>
  <c r="AY60" i="2"/>
  <c r="BB69" i="2"/>
  <c r="AX69" i="2"/>
  <c r="BA69" i="2"/>
  <c r="AW69" i="2"/>
  <c r="AZ69" i="2"/>
  <c r="AV69" i="2"/>
  <c r="BJ69" i="2"/>
  <c r="BK69" i="2" s="1"/>
  <c r="BT69" i="2" s="1"/>
  <c r="T74" i="6" s="1"/>
  <c r="AY69" i="2"/>
  <c r="BC69" i="2"/>
  <c r="AZ118" i="2"/>
  <c r="AV118" i="2"/>
  <c r="BC118" i="2"/>
  <c r="AY118" i="2"/>
  <c r="BB118" i="2"/>
  <c r="AX118" i="2"/>
  <c r="BA118" i="2"/>
  <c r="AW118" i="2"/>
  <c r="BJ118" i="2"/>
  <c r="BK118" i="2" s="1"/>
  <c r="BT118" i="2" s="1"/>
  <c r="T123" i="6" s="1"/>
  <c r="AZ137" i="2"/>
  <c r="AV137" i="2"/>
  <c r="BC137" i="2"/>
  <c r="AY137" i="2"/>
  <c r="BB137" i="2"/>
  <c r="AX137" i="2"/>
  <c r="BA137" i="2"/>
  <c r="AW137" i="2"/>
  <c r="AZ138" i="2"/>
  <c r="AV138" i="2"/>
  <c r="BC138" i="2"/>
  <c r="AY138" i="2"/>
  <c r="BB138" i="2"/>
  <c r="AX138" i="2"/>
  <c r="BA138" i="2"/>
  <c r="BJ138" i="2"/>
  <c r="BK138" i="2" s="1"/>
  <c r="BT138" i="2" s="1"/>
  <c r="T143" i="6" s="1"/>
  <c r="AW138" i="2"/>
  <c r="AZ78" i="2"/>
  <c r="AV78" i="2"/>
  <c r="BC78" i="2"/>
  <c r="AY78" i="2"/>
  <c r="BB78" i="2"/>
  <c r="AX78" i="2"/>
  <c r="BA78" i="2"/>
  <c r="AW78" i="2"/>
  <c r="BJ78" i="2"/>
  <c r="BK78" i="2" s="1"/>
  <c r="BT78" i="2" s="1"/>
  <c r="T83" i="6" s="1"/>
  <c r="AZ136" i="2"/>
  <c r="AV136" i="2"/>
  <c r="BC136" i="2"/>
  <c r="AY136" i="2"/>
  <c r="BB136" i="2"/>
  <c r="AX136" i="2"/>
  <c r="BA136" i="2"/>
  <c r="AW136" i="2"/>
  <c r="BJ136" i="2"/>
  <c r="BK136" i="2" s="1"/>
  <c r="BT136" i="2" s="1"/>
  <c r="T141" i="6" s="1"/>
  <c r="BB71" i="2"/>
  <c r="AX71" i="2"/>
  <c r="BA71" i="2"/>
  <c r="AW71" i="2"/>
  <c r="AZ71" i="2"/>
  <c r="AV71" i="2"/>
  <c r="BC71" i="2"/>
  <c r="AY71" i="2"/>
  <c r="AL201" i="4"/>
  <c r="AE201" i="4"/>
  <c r="AL240" i="4"/>
  <c r="AG62" i="2"/>
  <c r="K119" i="4" s="1"/>
  <c r="L119" i="4" s="1"/>
  <c r="BU62" i="2"/>
  <c r="U67" i="6" s="1"/>
  <c r="AG51" i="2"/>
  <c r="K108" i="4" s="1"/>
  <c r="L108" i="4" s="1"/>
  <c r="BU51" i="2"/>
  <c r="U56" i="6" s="1"/>
  <c r="BC155" i="2"/>
  <c r="AY155" i="2"/>
  <c r="BB155" i="2"/>
  <c r="AX155" i="2"/>
  <c r="BA155" i="2"/>
  <c r="AW155" i="2"/>
  <c r="AZ155" i="2"/>
  <c r="AV155" i="2"/>
  <c r="BC153" i="2"/>
  <c r="BB153" i="2"/>
  <c r="AX153" i="2"/>
  <c r="BA153" i="2"/>
  <c r="AZ153" i="2"/>
  <c r="AY153" i="2"/>
  <c r="AW153" i="2"/>
  <c r="AV153" i="2"/>
  <c r="BC175" i="2"/>
  <c r="AY175" i="2"/>
  <c r="AX175" i="2"/>
  <c r="BB175" i="2"/>
  <c r="AW175" i="2"/>
  <c r="BA175" i="2"/>
  <c r="AV175" i="2"/>
  <c r="AZ175" i="2"/>
  <c r="AZ109" i="2"/>
  <c r="AV109" i="2"/>
  <c r="BC109" i="2"/>
  <c r="AY109" i="2"/>
  <c r="BB109" i="2"/>
  <c r="AX109" i="2"/>
  <c r="BA109" i="2"/>
  <c r="AW109" i="2"/>
  <c r="BJ109" i="2"/>
  <c r="BK109" i="2" s="1"/>
  <c r="BT109" i="2" s="1"/>
  <c r="T114" i="6" s="1"/>
  <c r="BB39" i="2"/>
  <c r="AX39" i="2"/>
  <c r="BA39" i="2"/>
  <c r="AW39" i="2"/>
  <c r="AZ39" i="2"/>
  <c r="AV39" i="2"/>
  <c r="AY39" i="2"/>
  <c r="BC39" i="2"/>
  <c r="BJ39" i="2"/>
  <c r="BK39" i="2" s="1"/>
  <c r="BT39" i="2" s="1"/>
  <c r="T44" i="6" s="1"/>
  <c r="BB56" i="2"/>
  <c r="AX56" i="2"/>
  <c r="BA56" i="2"/>
  <c r="AW56" i="2"/>
  <c r="AZ56" i="2"/>
  <c r="AV56" i="2"/>
  <c r="BC56" i="2"/>
  <c r="AY56" i="2"/>
  <c r="BB46" i="2"/>
  <c r="AX46" i="2"/>
  <c r="BA46" i="2"/>
  <c r="AW46" i="2"/>
  <c r="AZ46" i="2"/>
  <c r="AV46" i="2"/>
  <c r="BC46" i="2"/>
  <c r="AY46" i="2"/>
  <c r="BB152" i="2"/>
  <c r="AX152" i="2"/>
  <c r="BC152" i="2"/>
  <c r="AW152" i="2"/>
  <c r="BA152" i="2"/>
  <c r="AV152" i="2"/>
  <c r="AZ152" i="2"/>
  <c r="BJ152" i="2"/>
  <c r="BK152" i="2" s="1"/>
  <c r="BT152" i="2" s="1"/>
  <c r="T157" i="6" s="1"/>
  <c r="AY152" i="2"/>
  <c r="AZ115" i="2"/>
  <c r="AV115" i="2"/>
  <c r="BC115" i="2"/>
  <c r="AY115" i="2"/>
  <c r="BB115" i="2"/>
  <c r="AX115" i="2"/>
  <c r="BA115" i="2"/>
  <c r="BJ115" i="2"/>
  <c r="BK115" i="2" s="1"/>
  <c r="BT115" i="2" s="1"/>
  <c r="T120" i="6" s="1"/>
  <c r="AW115" i="2"/>
  <c r="AZ77" i="2"/>
  <c r="AV77" i="2"/>
  <c r="BC77" i="2"/>
  <c r="AY77" i="2"/>
  <c r="BB77" i="2"/>
  <c r="AX77" i="2"/>
  <c r="BA77" i="2"/>
  <c r="AW77" i="2"/>
  <c r="BB32" i="2"/>
  <c r="AX32" i="2"/>
  <c r="BA32" i="2"/>
  <c r="AW32" i="2"/>
  <c r="AZ32" i="2"/>
  <c r="AV32" i="2"/>
  <c r="BC32" i="2"/>
  <c r="AY32" i="2"/>
  <c r="BC180" i="2"/>
  <c r="AY180" i="2"/>
  <c r="BA180" i="2"/>
  <c r="AV180" i="2"/>
  <c r="AZ180" i="2"/>
  <c r="AX180" i="2"/>
  <c r="AW180" i="2"/>
  <c r="BB180" i="2"/>
  <c r="AZ127" i="2"/>
  <c r="AV127" i="2"/>
  <c r="BC127" i="2"/>
  <c r="AY127" i="2"/>
  <c r="BB127" i="2"/>
  <c r="AX127" i="2"/>
  <c r="BA127" i="2"/>
  <c r="AW127" i="2"/>
  <c r="BJ127" i="2"/>
  <c r="BK127" i="2" s="1"/>
  <c r="BT127" i="2" s="1"/>
  <c r="T132" i="6" s="1"/>
  <c r="BB65" i="2"/>
  <c r="AX65" i="2"/>
  <c r="BA65" i="2"/>
  <c r="AW65" i="2"/>
  <c r="AZ65" i="2"/>
  <c r="AV65" i="2"/>
  <c r="BC65" i="2"/>
  <c r="AY65" i="2"/>
  <c r="AZ146" i="2"/>
  <c r="AV146" i="2"/>
  <c r="BC146" i="2"/>
  <c r="AY146" i="2"/>
  <c r="BB146" i="2"/>
  <c r="AX146" i="2"/>
  <c r="BA146" i="2"/>
  <c r="AW146" i="2"/>
  <c r="AZ84" i="2"/>
  <c r="AV84" i="2"/>
  <c r="BC84" i="2"/>
  <c r="AY84" i="2"/>
  <c r="BB84" i="2"/>
  <c r="AX84" i="2"/>
  <c r="BA84" i="2"/>
  <c r="AW84" i="2"/>
  <c r="BJ84" i="2"/>
  <c r="BK84" i="2" s="1"/>
  <c r="BT84" i="2" s="1"/>
  <c r="T89" i="6" s="1"/>
  <c r="BB147" i="2"/>
  <c r="AZ147" i="2"/>
  <c r="AV147" i="2"/>
  <c r="AY147" i="2"/>
  <c r="BC147" i="2"/>
  <c r="AX147" i="2"/>
  <c r="BA147" i="2"/>
  <c r="BJ147" i="2"/>
  <c r="BK147" i="2" s="1"/>
  <c r="BT147" i="2" s="1"/>
  <c r="T152" i="6" s="1"/>
  <c r="AW147" i="2"/>
  <c r="AZ133" i="2"/>
  <c r="AV133" i="2"/>
  <c r="BC133" i="2"/>
  <c r="AY133" i="2"/>
  <c r="BB133" i="2"/>
  <c r="AX133" i="2"/>
  <c r="BA133" i="2"/>
  <c r="BJ133" i="2"/>
  <c r="BK133" i="2" s="1"/>
  <c r="BT133" i="2" s="1"/>
  <c r="T138" i="6" s="1"/>
  <c r="AW133" i="2"/>
  <c r="AZ140" i="2"/>
  <c r="AV140" i="2"/>
  <c r="BC140" i="2"/>
  <c r="AY140" i="2"/>
  <c r="BB140" i="2"/>
  <c r="AX140" i="2"/>
  <c r="BA140" i="2"/>
  <c r="AW140" i="2"/>
  <c r="BJ140" i="2"/>
  <c r="BK140" i="2" s="1"/>
  <c r="BT140" i="2" s="1"/>
  <c r="T145" i="6" s="1"/>
  <c r="BC178" i="2"/>
  <c r="AY178" i="2"/>
  <c r="BA178" i="2"/>
  <c r="AV178" i="2"/>
  <c r="AZ178" i="2"/>
  <c r="AX178" i="2"/>
  <c r="BB178" i="2"/>
  <c r="AW178" i="2"/>
  <c r="AZ130" i="2"/>
  <c r="AV130" i="2"/>
  <c r="BC130" i="2"/>
  <c r="AY130" i="2"/>
  <c r="BB130" i="2"/>
  <c r="AX130" i="2"/>
  <c r="BA130" i="2"/>
  <c r="AW130" i="2"/>
  <c r="BC171" i="2"/>
  <c r="AY171" i="2"/>
  <c r="AX171" i="2"/>
  <c r="BB171" i="2"/>
  <c r="AW171" i="2"/>
  <c r="BA171" i="2"/>
  <c r="AV171" i="2"/>
  <c r="AZ171" i="2"/>
  <c r="BB73" i="2"/>
  <c r="AX73" i="2"/>
  <c r="BA73" i="2"/>
  <c r="AW73" i="2"/>
  <c r="AZ73" i="2"/>
  <c r="AV73" i="2"/>
  <c r="AY73" i="2"/>
  <c r="BC73" i="2"/>
  <c r="AZ113" i="2"/>
  <c r="AV113" i="2"/>
  <c r="BC113" i="2"/>
  <c r="AY113" i="2"/>
  <c r="BB113" i="2"/>
  <c r="AX113" i="2"/>
  <c r="BA113" i="2"/>
  <c r="AW113" i="2"/>
  <c r="BC167" i="2"/>
  <c r="AY167" i="2"/>
  <c r="BB167" i="2"/>
  <c r="AX167" i="2"/>
  <c r="BA167" i="2"/>
  <c r="AW167" i="2"/>
  <c r="AZ167" i="2"/>
  <c r="AV167" i="2"/>
  <c r="BJ167" i="2"/>
  <c r="BK167" i="2" s="1"/>
  <c r="BT167" i="2" s="1"/>
  <c r="T172" i="6" s="1"/>
  <c r="BC169" i="2"/>
  <c r="AY169" i="2"/>
  <c r="BB169" i="2"/>
  <c r="AX169" i="2"/>
  <c r="BA169" i="2"/>
  <c r="AW169" i="2"/>
  <c r="AZ169" i="2"/>
  <c r="AV169" i="2"/>
  <c r="BJ169" i="2"/>
  <c r="BK169" i="2" s="1"/>
  <c r="BT169" i="2" s="1"/>
  <c r="T174" i="6" s="1"/>
  <c r="BB44" i="2"/>
  <c r="AX44" i="2"/>
  <c r="BA44" i="2"/>
  <c r="AW44" i="2"/>
  <c r="AZ44" i="2"/>
  <c r="AV44" i="2"/>
  <c r="BC44" i="2"/>
  <c r="AY44" i="2"/>
  <c r="AZ85" i="2"/>
  <c r="AV85" i="2"/>
  <c r="BC85" i="2"/>
  <c r="AY85" i="2"/>
  <c r="BB85" i="2"/>
  <c r="AX85" i="2"/>
  <c r="BA85" i="2"/>
  <c r="AW85" i="2"/>
  <c r="BB58" i="2"/>
  <c r="AX58" i="2"/>
  <c r="BA58" i="2"/>
  <c r="AW58" i="2"/>
  <c r="AZ58" i="2"/>
  <c r="AV58" i="2"/>
  <c r="BC58" i="2"/>
  <c r="AY58" i="2"/>
  <c r="BJ58" i="2"/>
  <c r="BK58" i="2" s="1"/>
  <c r="BT58" i="2" s="1"/>
  <c r="T63" i="6" s="1"/>
  <c r="AZ90" i="2"/>
  <c r="AV90" i="2"/>
  <c r="BC90" i="2"/>
  <c r="AY90" i="2"/>
  <c r="BB90" i="2"/>
  <c r="AX90" i="2"/>
  <c r="BA90" i="2"/>
  <c r="AW90" i="2"/>
  <c r="AZ93" i="2"/>
  <c r="AV93" i="2"/>
  <c r="BC93" i="2"/>
  <c r="AY93" i="2"/>
  <c r="BB93" i="2"/>
  <c r="AX93" i="2"/>
  <c r="BA93" i="2"/>
  <c r="AW93" i="2"/>
  <c r="BC158" i="2"/>
  <c r="AY158" i="2"/>
  <c r="BB158" i="2"/>
  <c r="AX158" i="2"/>
  <c r="BA158" i="2"/>
  <c r="AW158" i="2"/>
  <c r="AZ158" i="2"/>
  <c r="AV158" i="2"/>
  <c r="AZ102" i="2"/>
  <c r="AV102" i="2"/>
  <c r="BC102" i="2"/>
  <c r="AY102" i="2"/>
  <c r="BB102" i="2"/>
  <c r="AX102" i="2"/>
  <c r="BA102" i="2"/>
  <c r="AW102" i="2"/>
  <c r="BJ102" i="2"/>
  <c r="BK102" i="2" s="1"/>
  <c r="BT102" i="2" s="1"/>
  <c r="T107" i="6" s="1"/>
  <c r="BC179" i="2"/>
  <c r="AY179" i="2"/>
  <c r="AX179" i="2"/>
  <c r="BB179" i="2"/>
  <c r="AW179" i="2"/>
  <c r="BA179" i="2"/>
  <c r="AV179" i="2"/>
  <c r="AZ179" i="2"/>
  <c r="BB35" i="2"/>
  <c r="AX35" i="2"/>
  <c r="BA35" i="2"/>
  <c r="AW35" i="2"/>
  <c r="AZ35" i="2"/>
  <c r="AV35" i="2"/>
  <c r="AY35" i="2"/>
  <c r="BC35" i="2"/>
  <c r="BC168" i="2"/>
  <c r="AY168" i="2"/>
  <c r="BB168" i="2"/>
  <c r="AX168" i="2"/>
  <c r="BA168" i="2"/>
  <c r="AW168" i="2"/>
  <c r="AZ168" i="2"/>
  <c r="AV168" i="2"/>
  <c r="BB17" i="2"/>
  <c r="AX17" i="2"/>
  <c r="BA17" i="2"/>
  <c r="AW17" i="2"/>
  <c r="AZ17" i="2"/>
  <c r="AV17" i="2"/>
  <c r="BC17" i="2"/>
  <c r="AY17" i="2"/>
  <c r="AZ134" i="2"/>
  <c r="AV134" i="2"/>
  <c r="BC134" i="2"/>
  <c r="AY134" i="2"/>
  <c r="BB134" i="2"/>
  <c r="AX134" i="2"/>
  <c r="BA134" i="2"/>
  <c r="AW134" i="2"/>
  <c r="BJ134" i="2"/>
  <c r="BK134" i="2" s="1"/>
  <c r="BT134" i="2" s="1"/>
  <c r="T139" i="6" s="1"/>
  <c r="AZ129" i="2"/>
  <c r="AV129" i="2"/>
  <c r="BC129" i="2"/>
  <c r="AY129" i="2"/>
  <c r="BB129" i="2"/>
  <c r="AX129" i="2"/>
  <c r="BA129" i="2"/>
  <c r="AW129" i="2"/>
  <c r="BJ129" i="2"/>
  <c r="BK129" i="2" s="1"/>
  <c r="BT129" i="2" s="1"/>
  <c r="T134" i="6" s="1"/>
  <c r="U21" i="6"/>
  <c r="AR155" i="2"/>
  <c r="AS155" i="2" s="1"/>
  <c r="AT155" i="2" s="1"/>
  <c r="AR153" i="2"/>
  <c r="AS153" i="2" s="1"/>
  <c r="AT153" i="2" s="1"/>
  <c r="AR175" i="2"/>
  <c r="AS175" i="2" s="1"/>
  <c r="AT175" i="2" s="1"/>
  <c r="AR109" i="2"/>
  <c r="AS109" i="2" s="1"/>
  <c r="AT109" i="2" s="1"/>
  <c r="M114" i="6" s="1"/>
  <c r="AN114" i="6" s="1"/>
  <c r="AR39" i="2"/>
  <c r="AS39" i="2" s="1"/>
  <c r="AT39" i="2" s="1"/>
  <c r="AR56" i="2"/>
  <c r="AR46" i="2"/>
  <c r="AS46" i="2" s="1"/>
  <c r="AT46" i="2" s="1"/>
  <c r="AR152" i="2"/>
  <c r="AS152" i="2" s="1"/>
  <c r="AT152" i="2" s="1"/>
  <c r="AR115" i="2"/>
  <c r="AS115" i="2" s="1"/>
  <c r="AT115" i="2" s="1"/>
  <c r="AR77" i="2"/>
  <c r="AS77" i="2" s="1"/>
  <c r="AT77" i="2" s="1"/>
  <c r="M82" i="6" s="1"/>
  <c r="AR32" i="2"/>
  <c r="AS32" i="2" s="1"/>
  <c r="AT32" i="2" s="1"/>
  <c r="AR180" i="2"/>
  <c r="AS180" i="2" s="1"/>
  <c r="AT180" i="2" s="1"/>
  <c r="AR127" i="2"/>
  <c r="AS127" i="2" s="1"/>
  <c r="AT127" i="2" s="1"/>
  <c r="AR65" i="2"/>
  <c r="AS65" i="2" s="1"/>
  <c r="AT65" i="2" s="1"/>
  <c r="AR146" i="2"/>
  <c r="AS146" i="2" s="1"/>
  <c r="AT146" i="2" s="1"/>
  <c r="M151" i="6" s="1"/>
  <c r="AR84" i="2"/>
  <c r="AS84" i="2" s="1"/>
  <c r="AT84" i="2" s="1"/>
  <c r="AR147" i="2"/>
  <c r="AS147" i="2" s="1"/>
  <c r="AT147" i="2" s="1"/>
  <c r="AR133" i="2"/>
  <c r="AS133" i="2" s="1"/>
  <c r="AT133" i="2" s="1"/>
  <c r="AR140" i="2"/>
  <c r="AS140" i="2" s="1"/>
  <c r="AT140" i="2" s="1"/>
  <c r="AR178" i="2"/>
  <c r="AS178" i="2" s="1"/>
  <c r="AT178" i="2" s="1"/>
  <c r="AR130" i="2"/>
  <c r="AS130" i="2" s="1"/>
  <c r="AT130" i="2" s="1"/>
  <c r="AR171" i="2"/>
  <c r="AS171" i="2" s="1"/>
  <c r="AT171" i="2" s="1"/>
  <c r="AR73" i="2"/>
  <c r="AS73" i="2" s="1"/>
  <c r="AT73" i="2" s="1"/>
  <c r="AR113" i="2"/>
  <c r="AS113" i="2" s="1"/>
  <c r="AT113" i="2" s="1"/>
  <c r="AR167" i="2"/>
  <c r="AS167" i="2" s="1"/>
  <c r="AT167" i="2" s="1"/>
  <c r="AR169" i="2"/>
  <c r="AS169" i="2" s="1"/>
  <c r="AT169" i="2" s="1"/>
  <c r="AR44" i="2"/>
  <c r="AS44" i="2" s="1"/>
  <c r="AT44" i="2" s="1"/>
  <c r="AR85" i="2"/>
  <c r="AS85" i="2" s="1"/>
  <c r="AT85" i="2" s="1"/>
  <c r="AR58" i="2"/>
  <c r="AS58" i="2" s="1"/>
  <c r="AT58" i="2" s="1"/>
  <c r="AR90" i="2"/>
  <c r="AS90" i="2" s="1"/>
  <c r="AT90" i="2" s="1"/>
  <c r="AR93" i="2"/>
  <c r="AS93" i="2" s="1"/>
  <c r="AT93" i="2" s="1"/>
  <c r="AR158" i="2"/>
  <c r="AS158" i="2" s="1"/>
  <c r="AT158" i="2" s="1"/>
  <c r="AR102" i="2"/>
  <c r="AS102" i="2" s="1"/>
  <c r="AT102" i="2" s="1"/>
  <c r="AR179" i="2"/>
  <c r="AS179" i="2" s="1"/>
  <c r="AT179" i="2" s="1"/>
  <c r="AR35" i="2"/>
  <c r="AS35" i="2" s="1"/>
  <c r="AT35" i="2" s="1"/>
  <c r="AR168" i="2"/>
  <c r="AS168" i="2" s="1"/>
  <c r="AT168" i="2" s="1"/>
  <c r="AR17" i="2"/>
  <c r="AR134" i="2"/>
  <c r="AS134" i="2" s="1"/>
  <c r="AT134" i="2" s="1"/>
  <c r="AM11" i="2"/>
  <c r="AR129" i="2"/>
  <c r="AS129" i="2" s="1"/>
  <c r="AT129" i="2" s="1"/>
  <c r="AR131" i="2"/>
  <c r="AS131" i="2" s="1"/>
  <c r="AT131" i="2" s="1"/>
  <c r="M136" i="6" s="1"/>
  <c r="AR88" i="2"/>
  <c r="AS88" i="2" s="1"/>
  <c r="AT88" i="2" s="1"/>
  <c r="AR100" i="2"/>
  <c r="AS100" i="2" s="1"/>
  <c r="AT100" i="2" s="1"/>
  <c r="AR112" i="2"/>
  <c r="AS112" i="2" s="1"/>
  <c r="AT112" i="2" s="1"/>
  <c r="M117" i="6" s="1"/>
  <c r="AR150" i="2"/>
  <c r="AS150" i="2" s="1"/>
  <c r="AT150" i="2" s="1"/>
  <c r="AR107" i="2"/>
  <c r="AR97" i="2"/>
  <c r="AS97" i="2" s="1"/>
  <c r="AT97" i="2" s="1"/>
  <c r="AR87" i="2"/>
  <c r="AS87" i="2" s="1"/>
  <c r="AT87" i="2" s="1"/>
  <c r="AR79" i="2"/>
  <c r="AS79" i="2" s="1"/>
  <c r="AT79" i="2" s="1"/>
  <c r="AR21" i="2"/>
  <c r="AS21" i="2" s="1"/>
  <c r="AT21" i="2" s="1"/>
  <c r="AR151" i="2"/>
  <c r="AS151" i="2" s="1"/>
  <c r="AT151" i="2" s="1"/>
  <c r="AR154" i="2"/>
  <c r="AS154" i="2" s="1"/>
  <c r="AT154" i="2" s="1"/>
  <c r="AR31" i="2"/>
  <c r="AS31" i="2" s="1"/>
  <c r="AT31" i="2" s="1"/>
  <c r="AR66" i="2"/>
  <c r="AS66" i="2" s="1"/>
  <c r="AT66" i="2" s="1"/>
  <c r="AR160" i="2"/>
  <c r="AS160" i="2" s="1"/>
  <c r="AT160" i="2" s="1"/>
  <c r="AR163" i="2"/>
  <c r="AS163" i="2" s="1"/>
  <c r="AT163" i="2" s="1"/>
  <c r="AR80" i="2"/>
  <c r="AS80" i="2" s="1"/>
  <c r="AT80" i="2" s="1"/>
  <c r="AR111" i="2"/>
  <c r="AS111" i="2" s="1"/>
  <c r="AT111" i="2" s="1"/>
  <c r="AR99" i="2"/>
  <c r="AS99" i="2" s="1"/>
  <c r="AT99" i="2" s="1"/>
  <c r="AR52" i="2"/>
  <c r="AS52" i="2" s="1"/>
  <c r="AT52" i="2" s="1"/>
  <c r="AR60" i="2"/>
  <c r="AS60" i="2" s="1"/>
  <c r="AT60" i="2" s="1"/>
  <c r="AR181" i="2"/>
  <c r="AS181" i="2" s="1"/>
  <c r="AT181" i="2" s="1"/>
  <c r="AR69" i="2"/>
  <c r="AS69" i="2" s="1"/>
  <c r="AT69" i="2" s="1"/>
  <c r="AR116" i="2"/>
  <c r="AS116" i="2" s="1"/>
  <c r="AT116" i="2" s="1"/>
  <c r="AR118" i="2"/>
  <c r="AS118" i="2" s="1"/>
  <c r="AT118" i="2" s="1"/>
  <c r="AR68" i="2"/>
  <c r="AS68" i="2" s="1"/>
  <c r="AT68" i="2" s="1"/>
  <c r="AR156" i="2"/>
  <c r="AS156" i="2" s="1"/>
  <c r="AT156" i="2" s="1"/>
  <c r="AR137" i="2"/>
  <c r="AS137" i="2" s="1"/>
  <c r="AT137" i="2" s="1"/>
  <c r="AR49" i="2"/>
  <c r="AS49" i="2" s="1"/>
  <c r="AT49" i="2" s="1"/>
  <c r="AR138" i="2"/>
  <c r="AS138" i="2" s="1"/>
  <c r="AT138" i="2" s="1"/>
  <c r="AR82" i="2"/>
  <c r="AS82" i="2" s="1"/>
  <c r="AT82" i="2" s="1"/>
  <c r="AR78" i="2"/>
  <c r="AS78" i="2" s="1"/>
  <c r="AT78" i="2" s="1"/>
  <c r="AR76" i="2"/>
  <c r="AS76" i="2" s="1"/>
  <c r="AT76" i="2" s="1"/>
  <c r="AR136" i="2"/>
  <c r="AS136" i="2" s="1"/>
  <c r="AT136" i="2" s="1"/>
  <c r="AR40" i="2"/>
  <c r="AS40" i="2" s="1"/>
  <c r="AT40" i="2" s="1"/>
  <c r="AR71" i="2"/>
  <c r="AS71" i="2" s="1"/>
  <c r="AT71" i="2" s="1"/>
  <c r="M76" i="6" s="1"/>
  <c r="AN76" i="6" s="1"/>
  <c r="AR159" i="2"/>
  <c r="AS159" i="2" s="1"/>
  <c r="AT159" i="2" s="1"/>
  <c r="AR145" i="2"/>
  <c r="AS145" i="2" s="1"/>
  <c r="AT145" i="2" s="1"/>
  <c r="M150" i="6" s="1"/>
  <c r="BE98" i="2"/>
  <c r="BN98" i="2" s="1"/>
  <c r="N103" i="6" s="1"/>
  <c r="M103" i="6"/>
  <c r="AN103" i="6" s="1"/>
  <c r="BE166" i="2"/>
  <c r="BN166" i="2" s="1"/>
  <c r="N171" i="6" s="1"/>
  <c r="M171" i="6"/>
  <c r="BE63" i="2"/>
  <c r="BN63" i="2" s="1"/>
  <c r="N68" i="6" s="1"/>
  <c r="M68" i="6"/>
  <c r="BE91" i="2"/>
  <c r="BN91" i="2" s="1"/>
  <c r="N96" i="6" s="1"/>
  <c r="M96" i="6"/>
  <c r="BE126" i="2"/>
  <c r="BN126" i="2" s="1"/>
  <c r="N131" i="6" s="1"/>
  <c r="M131" i="6"/>
  <c r="BE174" i="2"/>
  <c r="BN174" i="2" s="1"/>
  <c r="N179" i="6" s="1"/>
  <c r="M179" i="6"/>
  <c r="BE162" i="2"/>
  <c r="BF162" i="2" s="1"/>
  <c r="M167" i="6"/>
  <c r="AN167" i="6" s="1"/>
  <c r="BE135" i="2"/>
  <c r="BF135" i="2" s="1"/>
  <c r="M140" i="6"/>
  <c r="BE27" i="2"/>
  <c r="BN27" i="2" s="1"/>
  <c r="N32" i="6" s="1"/>
  <c r="M32" i="6"/>
  <c r="BE47" i="2"/>
  <c r="BN47" i="2" s="1"/>
  <c r="N52" i="6" s="1"/>
  <c r="M52" i="6"/>
  <c r="BE142" i="2"/>
  <c r="BN142" i="2" s="1"/>
  <c r="N147" i="6" s="1"/>
  <c r="M147" i="6"/>
  <c r="AN147" i="6" s="1"/>
  <c r="BE104" i="2"/>
  <c r="BN104" i="2" s="1"/>
  <c r="N109" i="6" s="1"/>
  <c r="M109" i="6"/>
  <c r="AN109" i="6" s="1"/>
  <c r="BE132" i="2"/>
  <c r="BN132" i="2" s="1"/>
  <c r="N137" i="6" s="1"/>
  <c r="M137" i="6"/>
  <c r="BE19" i="2"/>
  <c r="BN19" i="2" s="1"/>
  <c r="N24" i="6" s="1"/>
  <c r="M24" i="6"/>
  <c r="BE25" i="2"/>
  <c r="BN25" i="2" s="1"/>
  <c r="N30" i="6" s="1"/>
  <c r="M30" i="6"/>
  <c r="BE51" i="2"/>
  <c r="BN51" i="2" s="1"/>
  <c r="N56" i="6" s="1"/>
  <c r="M56" i="6"/>
  <c r="BE15" i="2"/>
  <c r="BN15" i="2" s="1"/>
  <c r="N20" i="6" s="1"/>
  <c r="M20" i="6"/>
  <c r="BE92" i="2"/>
  <c r="BF92" i="2" s="1"/>
  <c r="M97" i="6"/>
  <c r="AN97" i="6" s="1"/>
  <c r="BE33" i="2"/>
  <c r="BN33" i="2" s="1"/>
  <c r="N38" i="6" s="1"/>
  <c r="M38" i="6"/>
  <c r="BE164" i="2"/>
  <c r="BF164" i="2" s="1"/>
  <c r="M169" i="6"/>
  <c r="AN169" i="6" s="1"/>
  <c r="BE170" i="2"/>
  <c r="BN170" i="2" s="1"/>
  <c r="N175" i="6" s="1"/>
  <c r="M175" i="6"/>
  <c r="BE120" i="2"/>
  <c r="BF120" i="2" s="1"/>
  <c r="M125" i="6"/>
  <c r="AN125" i="6" s="1"/>
  <c r="BE24" i="2"/>
  <c r="BN24" i="2" s="1"/>
  <c r="N29" i="6" s="1"/>
  <c r="M29" i="6"/>
  <c r="AN29" i="6" s="1"/>
  <c r="BE26" i="2"/>
  <c r="BN26" i="2" s="1"/>
  <c r="N31" i="6" s="1"/>
  <c r="M31" i="6"/>
  <c r="BE119" i="2"/>
  <c r="BN119" i="2" s="1"/>
  <c r="N124" i="6" s="1"/>
  <c r="M124" i="6"/>
  <c r="BE55" i="2"/>
  <c r="BN55" i="2" s="1"/>
  <c r="N60" i="6" s="1"/>
  <c r="M60" i="6"/>
  <c r="BE161" i="2"/>
  <c r="BF161" i="2" s="1"/>
  <c r="M166" i="6"/>
  <c r="BE144" i="2"/>
  <c r="BN144" i="2" s="1"/>
  <c r="N149" i="6" s="1"/>
  <c r="M149" i="6"/>
  <c r="BE70" i="2"/>
  <c r="BF70" i="2" s="1"/>
  <c r="M75" i="6"/>
  <c r="AN75" i="6" s="1"/>
  <c r="BE94" i="2"/>
  <c r="BF94" i="2" s="1"/>
  <c r="M99" i="6"/>
  <c r="BE106" i="2"/>
  <c r="BN106" i="2" s="1"/>
  <c r="N111" i="6" s="1"/>
  <c r="M111" i="6"/>
  <c r="BE62" i="2"/>
  <c r="BN62" i="2" s="1"/>
  <c r="N67" i="6" s="1"/>
  <c r="M67" i="6"/>
  <c r="BE86" i="2"/>
  <c r="BF86" i="2" s="1"/>
  <c r="M91" i="6"/>
  <c r="BE117" i="2"/>
  <c r="BN117" i="2" s="1"/>
  <c r="N122" i="6" s="1"/>
  <c r="M122" i="6"/>
  <c r="AN122" i="6" s="1"/>
  <c r="BE41" i="2"/>
  <c r="BN41" i="2" s="1"/>
  <c r="N46" i="6" s="1"/>
  <c r="M46" i="6"/>
  <c r="BE141" i="2"/>
  <c r="BN141" i="2" s="1"/>
  <c r="N146" i="6" s="1"/>
  <c r="M146" i="6"/>
  <c r="BE177" i="2"/>
  <c r="BN177" i="2" s="1"/>
  <c r="N182" i="6" s="1"/>
  <c r="M182" i="6"/>
  <c r="BE89" i="2"/>
  <c r="BN89" i="2" s="1"/>
  <c r="N94" i="6" s="1"/>
  <c r="M94" i="6"/>
  <c r="BE29" i="2"/>
  <c r="BN29" i="2" s="1"/>
  <c r="N34" i="6" s="1"/>
  <c r="M34" i="6"/>
  <c r="BE125" i="2"/>
  <c r="BN125" i="2" s="1"/>
  <c r="N130" i="6" s="1"/>
  <c r="M130" i="6"/>
  <c r="AN130" i="6" s="1"/>
  <c r="BE48" i="2"/>
  <c r="BN48" i="2" s="1"/>
  <c r="N53" i="6" s="1"/>
  <c r="M53" i="6"/>
  <c r="BE34" i="2"/>
  <c r="BF34" i="2" s="1"/>
  <c r="M39" i="6"/>
  <c r="BE114" i="2"/>
  <c r="BN114" i="2" s="1"/>
  <c r="N119" i="6" s="1"/>
  <c r="M119" i="6"/>
  <c r="BE183" i="2"/>
  <c r="BF183" i="2" s="1"/>
  <c r="M188" i="6"/>
  <c r="BE37" i="2"/>
  <c r="BF37" i="2" s="1"/>
  <c r="M42" i="6"/>
  <c r="AN42" i="6" s="1"/>
  <c r="BE101" i="2"/>
  <c r="BF101" i="2" s="1"/>
  <c r="M106" i="6"/>
  <c r="AN106" i="6" s="1"/>
  <c r="BE61" i="2"/>
  <c r="BF61" i="2" s="1"/>
  <c r="M66" i="6"/>
  <c r="AN66" i="6" s="1"/>
  <c r="BE38" i="2"/>
  <c r="BN38" i="2" s="1"/>
  <c r="N43" i="6" s="1"/>
  <c r="M43" i="6"/>
  <c r="BE148" i="2"/>
  <c r="BN148" i="2" s="1"/>
  <c r="N153" i="6" s="1"/>
  <c r="M153" i="6"/>
  <c r="BE173" i="2"/>
  <c r="BF173" i="2" s="1"/>
  <c r="M178" i="6"/>
  <c r="BE23" i="2"/>
  <c r="BN23" i="2" s="1"/>
  <c r="N28" i="6" s="1"/>
  <c r="M28" i="6"/>
  <c r="BE124" i="2"/>
  <c r="BF124" i="2" s="1"/>
  <c r="M129" i="6"/>
  <c r="BE45" i="2"/>
  <c r="BN45" i="2" s="1"/>
  <c r="N50" i="6" s="1"/>
  <c r="M50" i="6"/>
  <c r="BE103" i="2"/>
  <c r="BN103" i="2" s="1"/>
  <c r="N108" i="6" s="1"/>
  <c r="M108" i="6"/>
  <c r="BE30" i="2"/>
  <c r="BN30" i="2" s="1"/>
  <c r="N35" i="6" s="1"/>
  <c r="M35" i="6"/>
  <c r="BE176" i="2"/>
  <c r="BN176" i="2" s="1"/>
  <c r="N181" i="6" s="1"/>
  <c r="M181" i="6"/>
  <c r="AN181" i="6" s="1"/>
  <c r="BE121" i="2"/>
  <c r="BN121" i="2" s="1"/>
  <c r="N126" i="6" s="1"/>
  <c r="M126" i="6"/>
  <c r="BE149" i="2"/>
  <c r="BN149" i="2" s="1"/>
  <c r="N154" i="6" s="1"/>
  <c r="M154" i="6"/>
  <c r="BE165" i="2"/>
  <c r="BN165" i="2" s="1"/>
  <c r="N170" i="6" s="1"/>
  <c r="M170" i="6"/>
  <c r="BE53" i="2"/>
  <c r="BF53" i="2" s="1"/>
  <c r="M58" i="6"/>
  <c r="BE57" i="2"/>
  <c r="BN57" i="2" s="1"/>
  <c r="N62" i="6" s="1"/>
  <c r="M62" i="6"/>
  <c r="BE81" i="2"/>
  <c r="BN81" i="2" s="1"/>
  <c r="N86" i="6" s="1"/>
  <c r="M86" i="6"/>
  <c r="AN86" i="6" s="1"/>
  <c r="BE105" i="2"/>
  <c r="BN105" i="2" s="1"/>
  <c r="N110" i="6" s="1"/>
  <c r="M110" i="6"/>
  <c r="BE18" i="2"/>
  <c r="BN18" i="2" s="1"/>
  <c r="N23" i="6" s="1"/>
  <c r="M23" i="6"/>
  <c r="AN23" i="6" s="1"/>
  <c r="BE123" i="2"/>
  <c r="BF123" i="2" s="1"/>
  <c r="M128" i="6"/>
  <c r="BE95" i="2"/>
  <c r="BN95" i="2" s="1"/>
  <c r="N100" i="6" s="1"/>
  <c r="M100" i="6"/>
  <c r="AN100" i="6" s="1"/>
  <c r="BE22" i="2"/>
  <c r="BN22" i="2" s="1"/>
  <c r="N27" i="6" s="1"/>
  <c r="M27" i="6"/>
  <c r="BE83" i="2"/>
  <c r="BN83" i="2" s="1"/>
  <c r="N88" i="6" s="1"/>
  <c r="M88" i="6"/>
  <c r="AN88" i="6" s="1"/>
  <c r="BE42" i="2"/>
  <c r="BN42" i="2" s="1"/>
  <c r="N47" i="6" s="1"/>
  <c r="M47" i="6"/>
  <c r="BE172" i="2"/>
  <c r="BN172" i="2" s="1"/>
  <c r="N177" i="6" s="1"/>
  <c r="M177" i="6"/>
  <c r="AN177" i="6" s="1"/>
  <c r="BE72" i="2"/>
  <c r="BF72" i="2" s="1"/>
  <c r="M77" i="6"/>
  <c r="AN77" i="6" s="1"/>
  <c r="BE108" i="2"/>
  <c r="BN108" i="2" s="1"/>
  <c r="N113" i="6" s="1"/>
  <c r="M113" i="6"/>
  <c r="AN113" i="6" s="1"/>
  <c r="BE128" i="2"/>
  <c r="BF128" i="2" s="1"/>
  <c r="M133" i="6"/>
  <c r="BE50" i="2"/>
  <c r="BF50" i="2" s="1"/>
  <c r="M55" i="6"/>
  <c r="AN55" i="6" s="1"/>
  <c r="BE20" i="2"/>
  <c r="BF20" i="2" s="1"/>
  <c r="M25" i="6"/>
  <c r="AN25" i="6" s="1"/>
  <c r="BE74" i="2"/>
  <c r="BN74" i="2" s="1"/>
  <c r="N79" i="6" s="1"/>
  <c r="M79" i="6"/>
  <c r="AN79" i="6" s="1"/>
  <c r="BE122" i="2"/>
  <c r="BF122" i="2" s="1"/>
  <c r="M127" i="6"/>
  <c r="BE96" i="2"/>
  <c r="BN96" i="2" s="1"/>
  <c r="N101" i="6" s="1"/>
  <c r="BE75" i="2"/>
  <c r="BE182" i="2"/>
  <c r="BN182" i="2" s="1"/>
  <c r="N187" i="6" s="1"/>
  <c r="BE28" i="2"/>
  <c r="BN28" i="2" s="1"/>
  <c r="N33" i="6" s="1"/>
  <c r="BE157" i="2"/>
  <c r="BE16" i="2"/>
  <c r="BF16" i="2" s="1"/>
  <c r="BE139" i="2"/>
  <c r="BE36" i="2"/>
  <c r="BE54" i="2"/>
  <c r="BN54" i="2" s="1"/>
  <c r="N59" i="6" s="1"/>
  <c r="BE67" i="2"/>
  <c r="BN67" i="2" s="1"/>
  <c r="N72" i="6" s="1"/>
  <c r="BE59" i="2"/>
  <c r="BE43" i="2"/>
  <c r="BF43" i="2" s="1"/>
  <c r="BE143" i="2"/>
  <c r="BN143" i="2" s="1"/>
  <c r="N148" i="6" s="1"/>
  <c r="BE64" i="2"/>
  <c r="BE110" i="2"/>
  <c r="AS107" i="2"/>
  <c r="AT107" i="2" s="1"/>
  <c r="AS56" i="2"/>
  <c r="AT56" i="2" s="1"/>
  <c r="K75" i="6"/>
  <c r="J75" i="6"/>
  <c r="K115" i="6"/>
  <c r="J115" i="6"/>
  <c r="J50" i="6"/>
  <c r="K50" i="6"/>
  <c r="K80" i="6"/>
  <c r="J80" i="6"/>
  <c r="K52" i="6"/>
  <c r="J52" i="6"/>
  <c r="J72" i="6"/>
  <c r="K72" i="6"/>
  <c r="J39" i="6"/>
  <c r="K39" i="6"/>
  <c r="K128" i="6"/>
  <c r="J128" i="6"/>
  <c r="J56" i="6"/>
  <c r="K56" i="6"/>
  <c r="J175" i="6"/>
  <c r="K175" i="6"/>
  <c r="K68" i="6"/>
  <c r="J68" i="6"/>
  <c r="K178" i="6"/>
  <c r="J178" i="6"/>
  <c r="K41" i="6"/>
  <c r="J41" i="6"/>
  <c r="K58" i="6"/>
  <c r="J58" i="6"/>
  <c r="J133" i="6"/>
  <c r="K133" i="6"/>
  <c r="K103" i="6"/>
  <c r="J103" i="6"/>
  <c r="K24" i="6"/>
  <c r="J24" i="6"/>
  <c r="J59" i="6"/>
  <c r="K59" i="6"/>
  <c r="J86" i="6"/>
  <c r="K86" i="6"/>
  <c r="J171" i="6"/>
  <c r="K171" i="6"/>
  <c r="K182" i="6"/>
  <c r="J182" i="6"/>
  <c r="K32" i="6"/>
  <c r="J32" i="6"/>
  <c r="K34" i="6"/>
  <c r="J34" i="6"/>
  <c r="K149" i="6"/>
  <c r="J149" i="6"/>
  <c r="K48" i="6"/>
  <c r="J48" i="6"/>
  <c r="K72" i="4"/>
  <c r="L72" i="4" s="1"/>
  <c r="AD72" i="4" s="1"/>
  <c r="K20" i="6"/>
  <c r="J20" i="6"/>
  <c r="K27" i="6"/>
  <c r="J27" i="6"/>
  <c r="J97" i="6"/>
  <c r="K97" i="6"/>
  <c r="J38" i="6"/>
  <c r="K38" i="6"/>
  <c r="K66" i="6"/>
  <c r="J66" i="6"/>
  <c r="K122" i="6"/>
  <c r="J122" i="6"/>
  <c r="K43" i="6"/>
  <c r="J43" i="6"/>
  <c r="K153" i="6"/>
  <c r="J153" i="6"/>
  <c r="J154" i="6"/>
  <c r="K154" i="6"/>
  <c r="K77" i="6"/>
  <c r="J77" i="6"/>
  <c r="K28" i="6"/>
  <c r="J28" i="6"/>
  <c r="K23" i="6"/>
  <c r="J23" i="6"/>
  <c r="J137" i="6"/>
  <c r="K137" i="6"/>
  <c r="K55" i="6"/>
  <c r="J55" i="6"/>
  <c r="J60" i="6"/>
  <c r="K60" i="6"/>
  <c r="J96" i="6"/>
  <c r="K96" i="6"/>
  <c r="J100" i="6"/>
  <c r="K100" i="6"/>
  <c r="K69" i="6"/>
  <c r="J69" i="6"/>
  <c r="K140" i="6"/>
  <c r="J140" i="6"/>
  <c r="K108" i="6"/>
  <c r="J108" i="6"/>
  <c r="K127" i="6"/>
  <c r="J127" i="6"/>
  <c r="K188" i="6"/>
  <c r="J188" i="6"/>
  <c r="K53" i="6"/>
  <c r="J53" i="6"/>
  <c r="J101" i="6"/>
  <c r="K101" i="6"/>
  <c r="K99" i="6"/>
  <c r="J99" i="6"/>
  <c r="K106" i="6"/>
  <c r="J106" i="6"/>
  <c r="J33" i="6"/>
  <c r="K33" i="6"/>
  <c r="K47" i="6"/>
  <c r="J47" i="6"/>
  <c r="K126" i="6"/>
  <c r="J126" i="6"/>
  <c r="K177" i="6"/>
  <c r="J177" i="6"/>
  <c r="K148" i="6"/>
  <c r="J148" i="6"/>
  <c r="J46" i="6"/>
  <c r="K46" i="6"/>
  <c r="K109" i="6"/>
  <c r="J109" i="6"/>
  <c r="K170" i="6"/>
  <c r="J170" i="6"/>
  <c r="K31" i="6"/>
  <c r="J31" i="6"/>
  <c r="K62" i="6"/>
  <c r="J62" i="6"/>
  <c r="J111" i="6"/>
  <c r="K111" i="6"/>
  <c r="K129" i="6"/>
  <c r="J129" i="6"/>
  <c r="K119" i="6"/>
  <c r="J119" i="6"/>
  <c r="K179" i="6"/>
  <c r="J179" i="6"/>
  <c r="K79" i="6"/>
  <c r="J79" i="6"/>
  <c r="K167" i="6"/>
  <c r="J167" i="6"/>
  <c r="K94" i="6"/>
  <c r="J94" i="6"/>
  <c r="K166" i="6"/>
  <c r="J166" i="6"/>
  <c r="J21" i="6"/>
  <c r="K21" i="6"/>
  <c r="K130" i="6"/>
  <c r="J130" i="6"/>
  <c r="J91" i="6"/>
  <c r="K91" i="6"/>
  <c r="J42" i="6"/>
  <c r="K42" i="6"/>
  <c r="K187" i="6"/>
  <c r="J187" i="6"/>
  <c r="K88" i="6"/>
  <c r="J88" i="6"/>
  <c r="K181" i="6"/>
  <c r="J181" i="6"/>
  <c r="J30" i="6"/>
  <c r="K30" i="6"/>
  <c r="J169" i="6"/>
  <c r="K169" i="6"/>
  <c r="J147" i="6"/>
  <c r="K147" i="6"/>
  <c r="J162" i="6"/>
  <c r="K162" i="6"/>
  <c r="J125" i="6"/>
  <c r="K125" i="6"/>
  <c r="J29" i="6"/>
  <c r="K29" i="6"/>
  <c r="J113" i="6"/>
  <c r="K113" i="6"/>
  <c r="K64" i="6"/>
  <c r="J64" i="6"/>
  <c r="K124" i="6"/>
  <c r="J124" i="6"/>
  <c r="K67" i="6"/>
  <c r="J67" i="6"/>
  <c r="K25" i="6"/>
  <c r="J25" i="6"/>
  <c r="K131" i="6"/>
  <c r="J131" i="6"/>
  <c r="K146" i="6"/>
  <c r="J146" i="6"/>
  <c r="K110" i="6"/>
  <c r="J110" i="6"/>
  <c r="K144" i="6"/>
  <c r="J144" i="6"/>
  <c r="K35" i="6"/>
  <c r="J35" i="6"/>
  <c r="AM7" i="2"/>
  <c r="AO180" i="4"/>
  <c r="AL180" i="4"/>
  <c r="AC180" i="4"/>
  <c r="AN180" i="4"/>
  <c r="AD180" i="4"/>
  <c r="AF180" i="4"/>
  <c r="AE180" i="4"/>
  <c r="AM180" i="4"/>
  <c r="AO156" i="4"/>
  <c r="AF156" i="4"/>
  <c r="O156" i="4"/>
  <c r="AN132" i="4"/>
  <c r="AE132" i="4"/>
  <c r="N132" i="4"/>
  <c r="AM235" i="4"/>
  <c r="AD235" i="4"/>
  <c r="M235" i="4"/>
  <c r="AE96" i="4"/>
  <c r="AN96" i="4"/>
  <c r="AC79" i="4"/>
  <c r="AL79" i="4"/>
  <c r="L79" i="4"/>
  <c r="AN120" i="4"/>
  <c r="AE120" i="4"/>
  <c r="AC165" i="4"/>
  <c r="AL165" i="4"/>
  <c r="L165" i="4"/>
  <c r="AL173" i="4"/>
  <c r="AC173" i="4"/>
  <c r="L173" i="4"/>
  <c r="AF121" i="4"/>
  <c r="AO121" i="4"/>
  <c r="O121" i="4"/>
  <c r="AL117" i="4"/>
  <c r="AC117" i="4"/>
  <c r="L117" i="4"/>
  <c r="AD194" i="4"/>
  <c r="AM194" i="4"/>
  <c r="M194" i="4"/>
  <c r="AF76" i="4"/>
  <c r="AO76" i="4"/>
  <c r="O76" i="4"/>
  <c r="AM147" i="4"/>
  <c r="AD147" i="4"/>
  <c r="AD227" i="4"/>
  <c r="AM227" i="4"/>
  <c r="M227" i="4"/>
  <c r="L226" i="4"/>
  <c r="AL226" i="4"/>
  <c r="AC226" i="4"/>
  <c r="AL98" i="4"/>
  <c r="AC98" i="4"/>
  <c r="L98" i="4"/>
  <c r="AM186" i="4"/>
  <c r="AD186" i="4"/>
  <c r="M186" i="4"/>
  <c r="AD170" i="4"/>
  <c r="AM170" i="4"/>
  <c r="M170" i="4"/>
  <c r="AM216" i="4"/>
  <c r="AD216" i="4"/>
  <c r="M216" i="4"/>
  <c r="AD174" i="4"/>
  <c r="AM174" i="4"/>
  <c r="M174" i="4"/>
  <c r="AM172" i="4"/>
  <c r="AD172" i="4"/>
  <c r="M172" i="4"/>
  <c r="AM80" i="4"/>
  <c r="AD80" i="4"/>
  <c r="M80" i="4"/>
  <c r="AE114" i="4"/>
  <c r="AN114" i="4"/>
  <c r="AD196" i="4"/>
  <c r="AM196" i="4"/>
  <c r="M196" i="4"/>
  <c r="AE140" i="4"/>
  <c r="AN140" i="4"/>
  <c r="N140" i="4"/>
  <c r="AN237" i="4"/>
  <c r="AE237" i="4"/>
  <c r="N237" i="4"/>
  <c r="AM127" i="4"/>
  <c r="AD127" i="4"/>
  <c r="M127" i="4"/>
  <c r="AN207" i="4"/>
  <c r="AE207" i="4"/>
  <c r="N207" i="4"/>
  <c r="AE208" i="4"/>
  <c r="AN208" i="4"/>
  <c r="AD73" i="4"/>
  <c r="AM73" i="4"/>
  <c r="M73" i="4"/>
  <c r="AF189" i="4"/>
  <c r="AO189" i="4"/>
  <c r="O189" i="4"/>
  <c r="AN125" i="4"/>
  <c r="AE125" i="4"/>
  <c r="N125" i="4"/>
  <c r="AM99" i="4"/>
  <c r="AD99" i="4"/>
  <c r="M99" i="4"/>
  <c r="AC225" i="4"/>
  <c r="AL225" i="4"/>
  <c r="L225" i="4"/>
  <c r="AF164" i="4"/>
  <c r="AO164" i="4"/>
  <c r="O164" i="4"/>
  <c r="AN182" i="4"/>
  <c r="AE182" i="4"/>
  <c r="N182" i="4"/>
  <c r="AO191" i="4"/>
  <c r="AF191" i="4"/>
  <c r="O191" i="4"/>
  <c r="AN81" i="4"/>
  <c r="AE81" i="4"/>
  <c r="N81" i="4"/>
  <c r="AF185" i="4"/>
  <c r="AO185" i="4"/>
  <c r="O185" i="4"/>
  <c r="L223" i="4"/>
  <c r="AL223" i="4"/>
  <c r="AC223" i="4"/>
  <c r="AE239" i="4"/>
  <c r="AN239" i="4"/>
  <c r="N239" i="4"/>
  <c r="AO205" i="4"/>
  <c r="AF205" i="4"/>
  <c r="O205" i="4"/>
  <c r="AF222" i="4"/>
  <c r="AO222" i="4"/>
  <c r="O222" i="4"/>
  <c r="AE183" i="4"/>
  <c r="AN183" i="4"/>
  <c r="N183" i="4"/>
  <c r="AD123" i="4"/>
  <c r="AM123" i="4"/>
  <c r="AO114" i="4"/>
  <c r="AF114" i="4"/>
  <c r="O114" i="4"/>
  <c r="AN83" i="4"/>
  <c r="AE83" i="4"/>
  <c r="AN153" i="4"/>
  <c r="AE153" i="4"/>
  <c r="N153" i="4"/>
  <c r="AN139" i="4"/>
  <c r="AE139" i="4"/>
  <c r="N139" i="4"/>
  <c r="AM230" i="4"/>
  <c r="AD230" i="4"/>
  <c r="M230" i="4"/>
  <c r="AM169" i="4"/>
  <c r="AD169" i="4"/>
  <c r="M169" i="4"/>
  <c r="AL179" i="4"/>
  <c r="AC179" i="4"/>
  <c r="L179" i="4"/>
  <c r="AM155" i="4"/>
  <c r="AD155" i="4"/>
  <c r="M155" i="4"/>
  <c r="AM219" i="4"/>
  <c r="AD219" i="4"/>
  <c r="M219" i="4"/>
  <c r="AE88" i="4"/>
  <c r="AN88" i="4"/>
  <c r="N88" i="4"/>
  <c r="AF84" i="4"/>
  <c r="AO84" i="4"/>
  <c r="O84" i="4"/>
  <c r="AO158" i="4"/>
  <c r="AF158" i="4"/>
  <c r="O158" i="4"/>
  <c r="AE156" i="4"/>
  <c r="AN156" i="4"/>
  <c r="AM107" i="4"/>
  <c r="AD107" i="4"/>
  <c r="M107" i="4"/>
  <c r="AN166" i="4"/>
  <c r="AE166" i="4"/>
  <c r="N166" i="4"/>
  <c r="AE149" i="4"/>
  <c r="AN149" i="4"/>
  <c r="N149" i="4"/>
  <c r="AE141" i="4"/>
  <c r="AN141" i="4"/>
  <c r="N141" i="4"/>
  <c r="AN82" i="4"/>
  <c r="AE82" i="4"/>
  <c r="N82" i="4"/>
  <c r="AN195" i="4"/>
  <c r="AE195" i="4"/>
  <c r="N195" i="4"/>
  <c r="AL111" i="4"/>
  <c r="AC111" i="4"/>
  <c r="L111" i="4"/>
  <c r="AM140" i="4"/>
  <c r="AD140" i="4"/>
  <c r="AL103" i="4"/>
  <c r="AC103" i="4"/>
  <c r="L103" i="4"/>
  <c r="AM237" i="4"/>
  <c r="AD237" i="4"/>
  <c r="AD207" i="4"/>
  <c r="AM207" i="4"/>
  <c r="AL113" i="4"/>
  <c r="AC113" i="4"/>
  <c r="L113" i="4"/>
  <c r="AN178" i="4"/>
  <c r="AE178" i="4"/>
  <c r="N178" i="4"/>
  <c r="AN110" i="4"/>
  <c r="AE110" i="4"/>
  <c r="N110" i="4"/>
  <c r="AM97" i="4"/>
  <c r="AD97" i="4"/>
  <c r="M97" i="4"/>
  <c r="AF85" i="4"/>
  <c r="AO85" i="4"/>
  <c r="O85" i="4"/>
  <c r="AM200" i="4"/>
  <c r="AD200" i="4"/>
  <c r="M200" i="4"/>
  <c r="AF94" i="4"/>
  <c r="AO94" i="4"/>
  <c r="O94" i="4"/>
  <c r="AL167" i="4"/>
  <c r="AC167" i="4"/>
  <c r="L167" i="4"/>
  <c r="AE91" i="4"/>
  <c r="AN91" i="4"/>
  <c r="N91" i="4"/>
  <c r="L217" i="4"/>
  <c r="AL217" i="4"/>
  <c r="AC217" i="4"/>
  <c r="AD238" i="4"/>
  <c r="AM238" i="4"/>
  <c r="M238" i="4"/>
  <c r="AE75" i="4"/>
  <c r="AN75" i="4"/>
  <c r="N75" i="4"/>
  <c r="AL129" i="4"/>
  <c r="AC129" i="4"/>
  <c r="L129" i="4"/>
  <c r="AF213" i="4"/>
  <c r="AO213" i="4"/>
  <c r="O213" i="4"/>
  <c r="AM233" i="4"/>
  <c r="AD233" i="4"/>
  <c r="M233" i="4"/>
  <c r="AO175" i="4"/>
  <c r="AF175" i="4"/>
  <c r="O175" i="4"/>
  <c r="AM181" i="4"/>
  <c r="AD181" i="4"/>
  <c r="M181" i="4"/>
  <c r="AC92" i="4"/>
  <c r="AL92" i="4"/>
  <c r="L92" i="4"/>
  <c r="AM74" i="4"/>
  <c r="AD74" i="4"/>
  <c r="M74" i="4"/>
  <c r="AL109" i="4"/>
  <c r="AC109" i="4"/>
  <c r="L109" i="4"/>
  <c r="AD133" i="4"/>
  <c r="AM133" i="4"/>
  <c r="M133" i="4"/>
  <c r="AM150" i="4"/>
  <c r="AD150" i="4"/>
  <c r="M150" i="4"/>
  <c r="AD152" i="4"/>
  <c r="AM152" i="4"/>
  <c r="AD126" i="4"/>
  <c r="AM126" i="4"/>
  <c r="M126" i="4"/>
  <c r="AM215" i="4"/>
  <c r="AD215" i="4"/>
  <c r="M215" i="4"/>
  <c r="AF208" i="4"/>
  <c r="AO208" i="4"/>
  <c r="O208" i="4"/>
  <c r="AD218" i="4"/>
  <c r="AM218" i="4"/>
  <c r="M218" i="4"/>
  <c r="AD203" i="4"/>
  <c r="AM203" i="4"/>
  <c r="M203" i="4"/>
  <c r="AM148" i="4"/>
  <c r="AD148" i="4"/>
  <c r="M148" i="4"/>
  <c r="AF228" i="4"/>
  <c r="AO228" i="4"/>
  <c r="O228" i="4"/>
  <c r="AL160" i="4"/>
  <c r="AC160" i="4"/>
  <c r="L160" i="4"/>
  <c r="AC124" i="4"/>
  <c r="AL124" i="4"/>
  <c r="L124" i="4"/>
  <c r="AD204" i="4"/>
  <c r="AM204" i="4"/>
  <c r="M204" i="4"/>
  <c r="M147" i="4"/>
  <c r="AD193" i="4"/>
  <c r="AM193" i="4"/>
  <c r="M193" i="4"/>
  <c r="AM145" i="4"/>
  <c r="AD145" i="4"/>
  <c r="M145" i="4"/>
  <c r="AD171" i="4"/>
  <c r="AM171" i="4"/>
  <c r="M171" i="4"/>
  <c r="AC220" i="4"/>
  <c r="AL220" i="4"/>
  <c r="L220" i="4"/>
  <c r="AL210" i="4"/>
  <c r="AC210" i="4"/>
  <c r="L210" i="4"/>
  <c r="AD112" i="4"/>
  <c r="AM112" i="4"/>
  <c r="M112" i="4"/>
  <c r="AM163" i="4"/>
  <c r="AD163" i="4"/>
  <c r="M163" i="4"/>
  <c r="AM115" i="4"/>
  <c r="AD115" i="4"/>
  <c r="M115" i="4"/>
  <c r="AM105" i="4"/>
  <c r="AD105" i="4"/>
  <c r="M105" i="4"/>
  <c r="AN84" i="4"/>
  <c r="AE84" i="4"/>
  <c r="AL231" i="4"/>
  <c r="AC231" i="4"/>
  <c r="L231" i="4"/>
  <c r="AN158" i="4"/>
  <c r="AE158" i="4"/>
  <c r="N96" i="4"/>
  <c r="L102" i="4"/>
  <c r="AL102" i="4"/>
  <c r="AC102" i="4"/>
  <c r="AM166" i="4"/>
  <c r="AD166" i="4"/>
  <c r="AL101" i="4"/>
  <c r="AC101" i="4"/>
  <c r="L101" i="4"/>
  <c r="AM149" i="4"/>
  <c r="AD149" i="4"/>
  <c r="AL209" i="4"/>
  <c r="AC209" i="4"/>
  <c r="L209" i="4"/>
  <c r="AD141" i="4"/>
  <c r="AM141" i="4"/>
  <c r="AC192" i="4"/>
  <c r="AL192" i="4"/>
  <c r="L192" i="4"/>
  <c r="AD82" i="4"/>
  <c r="AM82" i="4"/>
  <c r="AC162" i="4"/>
  <c r="AL162" i="4"/>
  <c r="L162" i="4"/>
  <c r="AM195" i="4"/>
  <c r="AD195" i="4"/>
  <c r="M123" i="4"/>
  <c r="M152" i="4"/>
  <c r="AM221" i="4"/>
  <c r="AD221" i="4"/>
  <c r="M221" i="4"/>
  <c r="N120" i="4"/>
  <c r="AE143" i="4"/>
  <c r="AN143" i="4"/>
  <c r="N143" i="4"/>
  <c r="N83" i="4"/>
  <c r="AM93" i="4"/>
  <c r="AD93" i="4"/>
  <c r="M93" i="4"/>
  <c r="AE188" i="4"/>
  <c r="AN188" i="4"/>
  <c r="N188" i="4"/>
  <c r="AE176" i="4"/>
  <c r="AN176" i="4"/>
  <c r="N176" i="4"/>
  <c r="AL138" i="4"/>
  <c r="AC138" i="4"/>
  <c r="L138" i="4"/>
  <c r="AL214" i="4"/>
  <c r="AC214" i="4"/>
  <c r="L214" i="4"/>
  <c r="AD95" i="4"/>
  <c r="AM95" i="4"/>
  <c r="M95" i="4"/>
  <c r="AN144" i="4"/>
  <c r="AE144" i="4"/>
  <c r="N144" i="4"/>
  <c r="AC118" i="4"/>
  <c r="AL118" i="4"/>
  <c r="L118" i="4"/>
  <c r="AL106" i="4"/>
  <c r="AC106" i="4"/>
  <c r="L106" i="4"/>
  <c r="AM131" i="4"/>
  <c r="AD131" i="4"/>
  <c r="M131" i="4"/>
  <c r="AM232" i="4"/>
  <c r="AD232" i="4"/>
  <c r="M232" i="4"/>
  <c r="AM154" i="4"/>
  <c r="AD154" i="4"/>
  <c r="M154" i="4"/>
  <c r="AO128" i="4"/>
  <c r="AF128" i="4"/>
  <c r="O128" i="4"/>
  <c r="AD136" i="4"/>
  <c r="AM136" i="4"/>
  <c r="M136" i="4"/>
  <c r="AD229" i="4"/>
  <c r="AM229" i="4"/>
  <c r="M229" i="4"/>
  <c r="L122" i="4"/>
  <c r="AL122" i="4"/>
  <c r="AC122" i="4"/>
  <c r="AL130" i="4"/>
  <c r="AC130" i="4"/>
  <c r="L130" i="4"/>
  <c r="AF116" i="4"/>
  <c r="AO116" i="4"/>
  <c r="O116" i="4"/>
  <c r="O137" i="4"/>
  <c r="AE202" i="4"/>
  <c r="AN202" i="4"/>
  <c r="N202" i="4"/>
  <c r="AC227" i="4"/>
  <c r="AL227" i="4"/>
  <c r="AL186" i="4"/>
  <c r="AC186" i="4"/>
  <c r="AC170" i="4"/>
  <c r="AL170" i="4"/>
  <c r="AL74" i="4"/>
  <c r="AC74" i="4"/>
  <c r="AC216" i="4"/>
  <c r="AL216" i="4"/>
  <c r="AC174" i="4"/>
  <c r="AL174" i="4"/>
  <c r="AC172" i="4"/>
  <c r="AL172" i="4"/>
  <c r="AC88" i="4"/>
  <c r="AL88" i="4"/>
  <c r="L190" i="4"/>
  <c r="AL190" i="4"/>
  <c r="AC190" i="4"/>
  <c r="AL133" i="4"/>
  <c r="AC133" i="4"/>
  <c r="AC80" i="4"/>
  <c r="AL80" i="4"/>
  <c r="AL107" i="4"/>
  <c r="AC107" i="4"/>
  <c r="AL221" i="4"/>
  <c r="AC221" i="4"/>
  <c r="AL126" i="4"/>
  <c r="AC126" i="4"/>
  <c r="AC196" i="4"/>
  <c r="AL196" i="4"/>
  <c r="AM146" i="4"/>
  <c r="AD146" i="4"/>
  <c r="M146" i="4"/>
  <c r="AL127" i="4"/>
  <c r="AC127" i="4"/>
  <c r="AL73" i="4"/>
  <c r="AC73" i="4"/>
  <c r="AE189" i="4"/>
  <c r="AN189" i="4"/>
  <c r="AL93" i="4"/>
  <c r="AC93" i="4"/>
  <c r="AL168" i="4"/>
  <c r="AC168" i="4"/>
  <c r="AM125" i="4"/>
  <c r="AD125" i="4"/>
  <c r="L199" i="4"/>
  <c r="AC199" i="4"/>
  <c r="AL199" i="4"/>
  <c r="AM178" i="4"/>
  <c r="AD178" i="4"/>
  <c r="AM188" i="4"/>
  <c r="AD188" i="4"/>
  <c r="L224" i="4"/>
  <c r="AL224" i="4"/>
  <c r="AC224" i="4"/>
  <c r="AM110" i="4"/>
  <c r="AD110" i="4"/>
  <c r="AN121" i="4"/>
  <c r="AE121" i="4"/>
  <c r="AL97" i="4"/>
  <c r="AC97" i="4"/>
  <c r="AE85" i="4"/>
  <c r="AN85" i="4"/>
  <c r="AM176" i="4"/>
  <c r="AD176" i="4"/>
  <c r="AM153" i="4"/>
  <c r="AD153" i="4"/>
  <c r="AN164" i="4"/>
  <c r="AE164" i="4"/>
  <c r="AE94" i="4"/>
  <c r="AN94" i="4"/>
  <c r="AL203" i="4"/>
  <c r="AC203" i="4"/>
  <c r="AD182" i="4"/>
  <c r="AM182" i="4"/>
  <c r="AM91" i="4"/>
  <c r="AD91" i="4"/>
  <c r="AL148" i="4"/>
  <c r="AC148" i="4"/>
  <c r="AN228" i="4"/>
  <c r="AE228" i="4"/>
  <c r="AE191" i="4"/>
  <c r="AN191" i="4"/>
  <c r="AC95" i="4"/>
  <c r="AL95" i="4"/>
  <c r="AM144" i="4"/>
  <c r="AD144" i="4"/>
  <c r="AM81" i="4"/>
  <c r="AD81" i="4"/>
  <c r="AC187" i="4"/>
  <c r="AL187" i="4"/>
  <c r="AD75" i="4"/>
  <c r="AM75" i="4"/>
  <c r="L159" i="4"/>
  <c r="AL159" i="4"/>
  <c r="AC159" i="4"/>
  <c r="AN185" i="4"/>
  <c r="AE185" i="4"/>
  <c r="AC232" i="4"/>
  <c r="AL232" i="4"/>
  <c r="AL154" i="4"/>
  <c r="AC154" i="4"/>
  <c r="AN128" i="4"/>
  <c r="AE128" i="4"/>
  <c r="AC136" i="4"/>
  <c r="AL136" i="4"/>
  <c r="AL229" i="4"/>
  <c r="AC229" i="4"/>
  <c r="AL142" i="4"/>
  <c r="AC142" i="4"/>
  <c r="AL89" i="4"/>
  <c r="AC89" i="4"/>
  <c r="L206" i="4"/>
  <c r="AL206" i="4"/>
  <c r="AC206" i="4"/>
  <c r="AM239" i="4"/>
  <c r="AD239" i="4"/>
  <c r="AE205" i="4"/>
  <c r="AN205" i="4"/>
  <c r="AN222" i="4"/>
  <c r="AE222" i="4"/>
  <c r="AE213" i="4"/>
  <c r="AN213" i="4"/>
  <c r="AL194" i="4"/>
  <c r="AC194" i="4"/>
  <c r="AE76" i="4"/>
  <c r="AN76" i="4"/>
  <c r="AL233" i="4"/>
  <c r="AC233" i="4"/>
  <c r="AN175" i="4"/>
  <c r="AE175" i="4"/>
  <c r="AC204" i="4"/>
  <c r="AL204" i="4"/>
  <c r="AM88" i="4"/>
  <c r="AD88" i="4"/>
  <c r="AM84" i="4"/>
  <c r="AD84" i="4"/>
  <c r="AM158" i="4"/>
  <c r="AD158" i="4"/>
  <c r="L86" i="4"/>
  <c r="AL86" i="4"/>
  <c r="AC86" i="4"/>
  <c r="AM96" i="4"/>
  <c r="AD96" i="4"/>
  <c r="AD156" i="4"/>
  <c r="AM156" i="4"/>
  <c r="AC166" i="4"/>
  <c r="AL166" i="4"/>
  <c r="AC149" i="4"/>
  <c r="AL149" i="4"/>
  <c r="AC141" i="4"/>
  <c r="AL141" i="4"/>
  <c r="AL82" i="4"/>
  <c r="AC82" i="4"/>
  <c r="AC195" i="4"/>
  <c r="AL195" i="4"/>
  <c r="AL123" i="4"/>
  <c r="AC123" i="4"/>
  <c r="AC152" i="4"/>
  <c r="AL152" i="4"/>
  <c r="AM120" i="4"/>
  <c r="AD120" i="4"/>
  <c r="AD114" i="4"/>
  <c r="AM114" i="4"/>
  <c r="L135" i="4"/>
  <c r="AL135" i="4"/>
  <c r="AC135" i="4"/>
  <c r="AC140" i="4"/>
  <c r="AL140" i="4"/>
  <c r="AL237" i="4"/>
  <c r="AC237" i="4"/>
  <c r="AL211" i="4"/>
  <c r="AC211" i="4"/>
  <c r="AM83" i="4"/>
  <c r="AD83" i="4"/>
  <c r="AL207" i="4"/>
  <c r="AC207" i="4"/>
  <c r="AD208" i="4"/>
  <c r="AM208" i="4"/>
  <c r="AM189" i="4"/>
  <c r="AD189" i="4"/>
  <c r="L197" i="4"/>
  <c r="AL197" i="4"/>
  <c r="AC197" i="4"/>
  <c r="L168" i="4"/>
  <c r="AL125" i="4"/>
  <c r="AC125" i="4"/>
  <c r="AC178" i="4"/>
  <c r="AL178" i="4"/>
  <c r="AC188" i="4"/>
  <c r="AL188" i="4"/>
  <c r="AC110" i="4"/>
  <c r="AL110" i="4"/>
  <c r="AD121" i="4"/>
  <c r="AM121" i="4"/>
  <c r="AM85" i="4"/>
  <c r="AD85" i="4"/>
  <c r="AC176" i="4"/>
  <c r="AL176" i="4"/>
  <c r="AC153" i="4"/>
  <c r="AL153" i="4"/>
  <c r="AM164" i="4"/>
  <c r="AD164" i="4"/>
  <c r="AM94" i="4"/>
  <c r="AD94" i="4"/>
  <c r="AL182" i="4"/>
  <c r="AC182" i="4"/>
  <c r="AC91" i="4"/>
  <c r="AL91" i="4"/>
  <c r="AD228" i="4"/>
  <c r="AM228" i="4"/>
  <c r="AM191" i="4"/>
  <c r="AD191" i="4"/>
  <c r="L177" i="4"/>
  <c r="AL177" i="4"/>
  <c r="AC177" i="4"/>
  <c r="AC144" i="4"/>
  <c r="AL144" i="4"/>
  <c r="AL81" i="4"/>
  <c r="AC81" i="4"/>
  <c r="L187" i="4"/>
  <c r="AC75" i="4"/>
  <c r="AL75" i="4"/>
  <c r="AC131" i="4"/>
  <c r="AL131" i="4"/>
  <c r="AD185" i="4"/>
  <c r="AM185" i="4"/>
  <c r="AL78" i="4"/>
  <c r="AC78" i="4"/>
  <c r="AD128" i="4"/>
  <c r="AM128" i="4"/>
  <c r="AL134" i="4"/>
  <c r="AC134" i="4"/>
  <c r="L142" i="4"/>
  <c r="AL90" i="4"/>
  <c r="AC90" i="4"/>
  <c r="L89" i="4"/>
  <c r="L157" i="4"/>
  <c r="AL157" i="4"/>
  <c r="AC157" i="4"/>
  <c r="AC239" i="4"/>
  <c r="AL239" i="4"/>
  <c r="AM205" i="4"/>
  <c r="AD205" i="4"/>
  <c r="AM222" i="4"/>
  <c r="AD222" i="4"/>
  <c r="AD213" i="4"/>
  <c r="AM213" i="4"/>
  <c r="AM76" i="4"/>
  <c r="AD76" i="4"/>
  <c r="AD175" i="4"/>
  <c r="AM175" i="4"/>
  <c r="AE77" i="4"/>
  <c r="AN77" i="4"/>
  <c r="N77" i="4"/>
  <c r="AF234" i="4"/>
  <c r="AO234" i="4"/>
  <c r="O234" i="4"/>
  <c r="AP236" i="4"/>
  <c r="AG236" i="4"/>
  <c r="P236" i="4"/>
  <c r="AG201" i="4"/>
  <c r="AP201" i="4"/>
  <c r="P201" i="4"/>
  <c r="AP180" i="4"/>
  <c r="AG180" i="4"/>
  <c r="P180" i="4"/>
  <c r="AL147" i="4"/>
  <c r="AC147" i="4"/>
  <c r="AC193" i="4"/>
  <c r="AL193" i="4"/>
  <c r="AC145" i="4"/>
  <c r="AL145" i="4"/>
  <c r="AL155" i="4"/>
  <c r="AC155" i="4"/>
  <c r="AL171" i="4"/>
  <c r="AC171" i="4"/>
  <c r="AC112" i="4"/>
  <c r="AL112" i="4"/>
  <c r="AL163" i="4"/>
  <c r="AC163" i="4"/>
  <c r="AC115" i="4"/>
  <c r="AL115" i="4"/>
  <c r="AL219" i="4"/>
  <c r="AC219" i="4"/>
  <c r="AL105" i="4"/>
  <c r="AC105" i="4"/>
  <c r="L104" i="4"/>
  <c r="AC104" i="4"/>
  <c r="AL104" i="4"/>
  <c r="AC84" i="4"/>
  <c r="AL84" i="4"/>
  <c r="AL158" i="4"/>
  <c r="AC158" i="4"/>
  <c r="AC235" i="4"/>
  <c r="AL235" i="4"/>
  <c r="AL96" i="4"/>
  <c r="AC96" i="4"/>
  <c r="L151" i="4"/>
  <c r="AL151" i="4"/>
  <c r="AC151" i="4"/>
  <c r="AC156" i="4"/>
  <c r="AL156" i="4"/>
  <c r="L161" i="4"/>
  <c r="AL161" i="4"/>
  <c r="AC161" i="4"/>
  <c r="AL150" i="4"/>
  <c r="AC150" i="4"/>
  <c r="L198" i="4"/>
  <c r="AL198" i="4"/>
  <c r="AC198" i="4"/>
  <c r="AC120" i="4"/>
  <c r="AL120" i="4"/>
  <c r="AL114" i="4"/>
  <c r="AC114" i="4"/>
  <c r="L211" i="4"/>
  <c r="AL215" i="4"/>
  <c r="AC215" i="4"/>
  <c r="AC83" i="4"/>
  <c r="AL83" i="4"/>
  <c r="AC208" i="4"/>
  <c r="AL208" i="4"/>
  <c r="AC189" i="4"/>
  <c r="AL189" i="4"/>
  <c r="AL218" i="4"/>
  <c r="AC218" i="4"/>
  <c r="L184" i="4"/>
  <c r="AL184" i="4"/>
  <c r="AC184" i="4"/>
  <c r="AL99" i="4"/>
  <c r="AC99" i="4"/>
  <c r="AL121" i="4"/>
  <c r="AC121" i="4"/>
  <c r="AL85" i="4"/>
  <c r="AC85" i="4"/>
  <c r="AL200" i="4"/>
  <c r="AC200" i="4"/>
  <c r="AL164" i="4"/>
  <c r="AC164" i="4"/>
  <c r="AC94" i="4"/>
  <c r="AL94" i="4"/>
  <c r="AL228" i="4"/>
  <c r="AC228" i="4"/>
  <c r="AL191" i="4"/>
  <c r="AC191" i="4"/>
  <c r="AL238" i="4"/>
  <c r="AC238" i="4"/>
  <c r="AC185" i="4"/>
  <c r="AL185" i="4"/>
  <c r="L78" i="4"/>
  <c r="AC128" i="4"/>
  <c r="AL128" i="4"/>
  <c r="L134" i="4"/>
  <c r="L90" i="4"/>
  <c r="AC205" i="4"/>
  <c r="AL205" i="4"/>
  <c r="AL222" i="4"/>
  <c r="AC222" i="4"/>
  <c r="AC213" i="4"/>
  <c r="AL213" i="4"/>
  <c r="AL76" i="4"/>
  <c r="AC76" i="4"/>
  <c r="AC175" i="4"/>
  <c r="AL175" i="4"/>
  <c r="AM240" i="4" l="1"/>
  <c r="AN212" i="4"/>
  <c r="N212" i="4"/>
  <c r="AO212" i="4" s="1"/>
  <c r="AO137" i="4"/>
  <c r="M240" i="4"/>
  <c r="AN240" i="4" s="1"/>
  <c r="AU139" i="6"/>
  <c r="AL139" i="6"/>
  <c r="AU143" i="6"/>
  <c r="AL143" i="6"/>
  <c r="AU36" i="6"/>
  <c r="AL36" i="6"/>
  <c r="AU172" i="6"/>
  <c r="AL172" i="6"/>
  <c r="AU120" i="6"/>
  <c r="AL120" i="6"/>
  <c r="AE82" i="6"/>
  <c r="AN82" i="6"/>
  <c r="AU63" i="6"/>
  <c r="AL63" i="6"/>
  <c r="AU44" i="6"/>
  <c r="AL44" i="6"/>
  <c r="AE151" i="6"/>
  <c r="AN151" i="6"/>
  <c r="AO33" i="6"/>
  <c r="AF33" i="6"/>
  <c r="AE127" i="6"/>
  <c r="AN127" i="6"/>
  <c r="AE128" i="6"/>
  <c r="AN128" i="6"/>
  <c r="AE110" i="6"/>
  <c r="AN110" i="6"/>
  <c r="AE62" i="6"/>
  <c r="AN62" i="6"/>
  <c r="AE126" i="6"/>
  <c r="AN126" i="6"/>
  <c r="AE35" i="6"/>
  <c r="AN35" i="6"/>
  <c r="AE50" i="6"/>
  <c r="AN50" i="6"/>
  <c r="AE28" i="6"/>
  <c r="AN28" i="6"/>
  <c r="AE119" i="6"/>
  <c r="AN119" i="6"/>
  <c r="AE182" i="6"/>
  <c r="AN182" i="6"/>
  <c r="AE91" i="6"/>
  <c r="AN91" i="6"/>
  <c r="AE111" i="6"/>
  <c r="AN111" i="6"/>
  <c r="AE166" i="6"/>
  <c r="AN166" i="6"/>
  <c r="AE175" i="6"/>
  <c r="AN175" i="6"/>
  <c r="AE38" i="6"/>
  <c r="AN38" i="6"/>
  <c r="AE20" i="6"/>
  <c r="C122" i="1"/>
  <c r="AN20" i="6"/>
  <c r="AE30" i="6"/>
  <c r="AN30" i="6"/>
  <c r="AE32" i="6"/>
  <c r="AN32" i="6"/>
  <c r="AE131" i="6"/>
  <c r="AN131" i="6"/>
  <c r="AE68" i="6"/>
  <c r="AN68" i="6"/>
  <c r="AE117" i="6"/>
  <c r="AN117" i="6"/>
  <c r="AU145" i="6"/>
  <c r="AL145" i="6"/>
  <c r="AV56" i="6"/>
  <c r="AM56" i="6"/>
  <c r="AU123" i="6"/>
  <c r="AL123" i="6"/>
  <c r="AU105" i="6"/>
  <c r="AL105" i="6"/>
  <c r="AV48" i="6"/>
  <c r="AM48" i="6"/>
  <c r="AO187" i="6"/>
  <c r="AF187" i="6"/>
  <c r="AO47" i="6"/>
  <c r="AF47" i="6"/>
  <c r="AO27" i="6"/>
  <c r="AF27" i="6"/>
  <c r="AO62" i="6"/>
  <c r="AF62" i="6"/>
  <c r="AO170" i="6"/>
  <c r="AF170" i="6"/>
  <c r="AF35" i="6"/>
  <c r="AO35" i="6"/>
  <c r="AO153" i="6"/>
  <c r="AF153" i="6"/>
  <c r="AO119" i="6"/>
  <c r="AF119" i="6"/>
  <c r="AO182" i="6"/>
  <c r="AF182" i="6"/>
  <c r="AO46" i="6"/>
  <c r="AF46" i="6"/>
  <c r="AF124" i="6"/>
  <c r="AO124" i="6"/>
  <c r="AO29" i="6"/>
  <c r="AF29" i="6"/>
  <c r="AO175" i="6"/>
  <c r="AF175" i="6"/>
  <c r="AO38" i="6"/>
  <c r="AF38" i="6"/>
  <c r="AO30" i="6"/>
  <c r="AF30" i="6"/>
  <c r="AO137" i="6"/>
  <c r="AF137" i="6"/>
  <c r="AO147" i="6"/>
  <c r="AF147" i="6"/>
  <c r="AF32" i="6"/>
  <c r="AO32" i="6"/>
  <c r="AO131" i="6"/>
  <c r="AF131" i="6"/>
  <c r="AO68" i="6"/>
  <c r="AF68" i="6"/>
  <c r="AO103" i="6"/>
  <c r="AF103" i="6"/>
  <c r="AU134" i="6"/>
  <c r="AL134" i="6"/>
  <c r="AU107" i="6"/>
  <c r="AL107" i="6"/>
  <c r="AU174" i="6"/>
  <c r="AL174" i="6"/>
  <c r="AU132" i="6"/>
  <c r="AL132" i="6"/>
  <c r="AU157" i="6"/>
  <c r="AL157" i="6"/>
  <c r="AU83" i="6"/>
  <c r="AL83" i="6"/>
  <c r="AV35" i="6"/>
  <c r="AM35" i="6"/>
  <c r="AF72" i="6"/>
  <c r="AO72" i="6"/>
  <c r="AE58" i="6"/>
  <c r="AN58" i="6"/>
  <c r="AE154" i="6"/>
  <c r="AN154" i="6"/>
  <c r="AE108" i="6"/>
  <c r="AN108" i="6"/>
  <c r="AE129" i="6"/>
  <c r="AN129" i="6"/>
  <c r="AE178" i="6"/>
  <c r="AN178" i="6"/>
  <c r="AE43" i="6"/>
  <c r="AN43" i="6"/>
  <c r="AE188" i="6"/>
  <c r="AN188" i="6"/>
  <c r="AE39" i="6"/>
  <c r="AN39" i="6"/>
  <c r="AE94" i="6"/>
  <c r="AN94" i="6"/>
  <c r="AE146" i="6"/>
  <c r="AN146" i="6"/>
  <c r="AE67" i="6"/>
  <c r="AN67" i="6"/>
  <c r="AE99" i="6"/>
  <c r="AN99" i="6"/>
  <c r="AE149" i="6"/>
  <c r="AN149" i="6"/>
  <c r="AE60" i="6"/>
  <c r="AN60" i="6"/>
  <c r="AE31" i="6"/>
  <c r="AN31" i="6"/>
  <c r="AE56" i="6"/>
  <c r="AN56" i="6"/>
  <c r="AE24" i="6"/>
  <c r="AN24" i="6"/>
  <c r="AE52" i="6"/>
  <c r="AN52" i="6"/>
  <c r="AE140" i="6"/>
  <c r="AN140" i="6"/>
  <c r="AE179" i="6"/>
  <c r="AN179" i="6"/>
  <c r="AE96" i="6"/>
  <c r="AN96" i="6"/>
  <c r="AE171" i="6"/>
  <c r="AN171" i="6"/>
  <c r="AE150" i="6"/>
  <c r="AN150" i="6"/>
  <c r="AU138" i="6"/>
  <c r="AL138" i="6"/>
  <c r="AV67" i="6"/>
  <c r="AM67" i="6"/>
  <c r="AL45" i="6"/>
  <c r="AU45" i="6"/>
  <c r="AU168" i="6"/>
  <c r="AL168" i="6"/>
  <c r="AU102" i="6"/>
  <c r="AL102" i="6"/>
  <c r="AF148" i="6"/>
  <c r="AO148" i="6"/>
  <c r="AO59" i="6"/>
  <c r="AF59" i="6"/>
  <c r="AO101" i="6"/>
  <c r="AF101" i="6"/>
  <c r="AO79" i="6"/>
  <c r="AF79" i="6"/>
  <c r="AO113" i="6"/>
  <c r="AF113" i="6"/>
  <c r="AF177" i="6"/>
  <c r="AO177" i="6"/>
  <c r="AF88" i="6"/>
  <c r="AO88" i="6"/>
  <c r="AO100" i="6"/>
  <c r="AF100" i="6"/>
  <c r="AO23" i="6"/>
  <c r="AF23" i="6"/>
  <c r="AO86" i="6"/>
  <c r="AF86" i="6"/>
  <c r="AO154" i="6"/>
  <c r="AF154" i="6"/>
  <c r="AO181" i="6"/>
  <c r="AF181" i="6"/>
  <c r="AF108" i="6"/>
  <c r="AO108" i="6"/>
  <c r="AO43" i="6"/>
  <c r="AF43" i="6"/>
  <c r="AO130" i="6"/>
  <c r="AF130" i="6"/>
  <c r="AO94" i="6"/>
  <c r="AF94" i="6"/>
  <c r="AO146" i="6"/>
  <c r="AF146" i="6"/>
  <c r="AO122" i="6"/>
  <c r="AF122" i="6"/>
  <c r="AO67" i="6"/>
  <c r="AF67" i="6"/>
  <c r="AO149" i="6"/>
  <c r="AF149" i="6"/>
  <c r="AF60" i="6"/>
  <c r="AO60" i="6"/>
  <c r="AO31" i="6"/>
  <c r="AF31" i="6"/>
  <c r="AF56" i="6"/>
  <c r="AO56" i="6"/>
  <c r="AF24" i="6"/>
  <c r="AO24" i="6"/>
  <c r="AO109" i="6"/>
  <c r="AF109" i="6"/>
  <c r="AO52" i="6"/>
  <c r="AF52" i="6"/>
  <c r="AO179" i="6"/>
  <c r="AF179" i="6"/>
  <c r="AF96" i="6"/>
  <c r="AO96" i="6"/>
  <c r="AO171" i="6"/>
  <c r="AF171" i="6"/>
  <c r="AU152" i="6"/>
  <c r="AL152" i="6"/>
  <c r="AL89" i="6"/>
  <c r="AU89" i="6"/>
  <c r="AU114" i="6"/>
  <c r="AL114" i="6"/>
  <c r="AU74" i="6"/>
  <c r="AL74" i="6"/>
  <c r="AU165" i="6"/>
  <c r="AL165" i="6"/>
  <c r="AU81" i="6"/>
  <c r="AL81" i="6"/>
  <c r="AU112" i="6"/>
  <c r="AL112" i="6"/>
  <c r="AU117" i="6"/>
  <c r="AL117" i="6"/>
  <c r="AE136" i="6"/>
  <c r="AN136" i="6"/>
  <c r="AE133" i="6"/>
  <c r="AN133" i="6"/>
  <c r="AE47" i="6"/>
  <c r="AN47" i="6"/>
  <c r="AE27" i="6"/>
  <c r="AN27" i="6"/>
  <c r="AE170" i="6"/>
  <c r="AN170" i="6"/>
  <c r="AE153" i="6"/>
  <c r="AN153" i="6"/>
  <c r="AE53" i="6"/>
  <c r="AN53" i="6"/>
  <c r="AE34" i="6"/>
  <c r="AN34" i="6"/>
  <c r="AE46" i="6"/>
  <c r="AN46" i="6"/>
  <c r="AE124" i="6"/>
  <c r="AN124" i="6"/>
  <c r="AE137" i="6"/>
  <c r="AN137" i="6"/>
  <c r="U15" i="6"/>
  <c r="AV21" i="6"/>
  <c r="AM21" i="6"/>
  <c r="K90" i="1"/>
  <c r="AU141" i="6"/>
  <c r="AL141" i="6"/>
  <c r="AO110" i="6"/>
  <c r="AF110" i="6"/>
  <c r="AO126" i="6"/>
  <c r="AF126" i="6"/>
  <c r="AO50" i="6"/>
  <c r="AF50" i="6"/>
  <c r="AF28" i="6"/>
  <c r="AO28" i="6"/>
  <c r="AO53" i="6"/>
  <c r="AF53" i="6"/>
  <c r="AO34" i="6"/>
  <c r="AF34" i="6"/>
  <c r="AO111" i="6"/>
  <c r="AF111" i="6"/>
  <c r="D122" i="1"/>
  <c r="AF20" i="6"/>
  <c r="AO20" i="6"/>
  <c r="AE113" i="6"/>
  <c r="AE88" i="6"/>
  <c r="AE23" i="6"/>
  <c r="AE106" i="6"/>
  <c r="AE66" i="6"/>
  <c r="AE42" i="6"/>
  <c r="AE75" i="6"/>
  <c r="AE29" i="6"/>
  <c r="AE147" i="6"/>
  <c r="AE167" i="6"/>
  <c r="AE103" i="6"/>
  <c r="AE79" i="6"/>
  <c r="AE55" i="6"/>
  <c r="AE177" i="6"/>
  <c r="AE100" i="6"/>
  <c r="AE86" i="6"/>
  <c r="AE181" i="6"/>
  <c r="AE130" i="6"/>
  <c r="AE122" i="6"/>
  <c r="AE125" i="6"/>
  <c r="AE169" i="6"/>
  <c r="AE97" i="6"/>
  <c r="AE109" i="6"/>
  <c r="AE76" i="6"/>
  <c r="AE114" i="6"/>
  <c r="BU10" i="2"/>
  <c r="AE25" i="6"/>
  <c r="AE77" i="6"/>
  <c r="BF149" i="2"/>
  <c r="BO149" i="2" s="1"/>
  <c r="O154" i="6" s="1"/>
  <c r="BF62" i="2"/>
  <c r="BG62" i="2" s="1"/>
  <c r="BH62" i="2" s="1"/>
  <c r="BN183" i="2"/>
  <c r="N188" i="6" s="1"/>
  <c r="BF26" i="2"/>
  <c r="BG26" i="2" s="1"/>
  <c r="BF38" i="2"/>
  <c r="BO38" i="2" s="1"/>
  <c r="O43" i="6" s="1"/>
  <c r="BN101" i="2"/>
  <c r="N106" i="6" s="1"/>
  <c r="BN53" i="2"/>
  <c r="N58" i="6" s="1"/>
  <c r="BF89" i="2"/>
  <c r="BO89" i="2" s="1"/>
  <c r="O94" i="6" s="1"/>
  <c r="BN94" i="2"/>
  <c r="N99" i="6" s="1"/>
  <c r="BF83" i="2"/>
  <c r="BG83" i="2" s="1"/>
  <c r="BF174" i="2"/>
  <c r="BO174" i="2" s="1"/>
  <c r="O179" i="6" s="1"/>
  <c r="BF81" i="2"/>
  <c r="BG81" i="2" s="1"/>
  <c r="BF176" i="2"/>
  <c r="BG176" i="2" s="1"/>
  <c r="BN164" i="2"/>
  <c r="N169" i="6" s="1"/>
  <c r="BF108" i="2"/>
  <c r="BG108" i="2" s="1"/>
  <c r="BF74" i="2"/>
  <c r="BG74" i="2" s="1"/>
  <c r="BF182" i="2"/>
  <c r="BG182" i="2" s="1"/>
  <c r="BF55" i="2"/>
  <c r="BO55" i="2" s="1"/>
  <c r="O60" i="6" s="1"/>
  <c r="BF104" i="2"/>
  <c r="BG104" i="2" s="1"/>
  <c r="BN173" i="2"/>
  <c r="N178" i="6" s="1"/>
  <c r="BF125" i="2"/>
  <c r="BG125" i="2" s="1"/>
  <c r="BF18" i="2"/>
  <c r="BO18" i="2" s="1"/>
  <c r="O23" i="6" s="1"/>
  <c r="BN92" i="2"/>
  <c r="N97" i="6" s="1"/>
  <c r="BF47" i="2"/>
  <c r="BO47" i="2" s="1"/>
  <c r="O52" i="6" s="1"/>
  <c r="BN50" i="2"/>
  <c r="N55" i="6" s="1"/>
  <c r="BF144" i="2"/>
  <c r="BG144" i="2" s="1"/>
  <c r="BF95" i="2"/>
  <c r="BG95" i="2" s="1"/>
  <c r="BF19" i="2"/>
  <c r="BO19" i="2" s="1"/>
  <c r="O24" i="6" s="1"/>
  <c r="BF51" i="2"/>
  <c r="BO51" i="2" s="1"/>
  <c r="O56" i="6" s="1"/>
  <c r="BN120" i="2"/>
  <c r="N125" i="6" s="1"/>
  <c r="BN135" i="2"/>
  <c r="N140" i="6" s="1"/>
  <c r="BF117" i="2"/>
  <c r="BO117" i="2" s="1"/>
  <c r="O122" i="6" s="1"/>
  <c r="BF172" i="2"/>
  <c r="BG172" i="2" s="1"/>
  <c r="BN124" i="2"/>
  <c r="N129" i="6" s="1"/>
  <c r="BF141" i="2"/>
  <c r="BG141" i="2" s="1"/>
  <c r="BF91" i="2"/>
  <c r="BO91" i="2" s="1"/>
  <c r="O96" i="6" s="1"/>
  <c r="BN34" i="2"/>
  <c r="N39" i="6" s="1"/>
  <c r="BF166" i="2"/>
  <c r="BG166" i="2" s="1"/>
  <c r="BF22" i="2"/>
  <c r="BG22" i="2" s="1"/>
  <c r="BF114" i="2"/>
  <c r="BG114" i="2" s="1"/>
  <c r="BF119" i="2"/>
  <c r="BO119" i="2" s="1"/>
  <c r="O124" i="6" s="1"/>
  <c r="BF15" i="2"/>
  <c r="BG15" i="2" s="1"/>
  <c r="BN162" i="2"/>
  <c r="N167" i="6" s="1"/>
  <c r="BF103" i="2"/>
  <c r="BO103" i="2" s="1"/>
  <c r="O108" i="6" s="1"/>
  <c r="BF33" i="2"/>
  <c r="BO33" i="2" s="1"/>
  <c r="O38" i="6" s="1"/>
  <c r="BN37" i="2"/>
  <c r="N42" i="6" s="1"/>
  <c r="BF45" i="2"/>
  <c r="BO45" i="2" s="1"/>
  <c r="O50" i="6" s="1"/>
  <c r="BN72" i="2"/>
  <c r="N77" i="6" s="1"/>
  <c r="BF121" i="2"/>
  <c r="BG121" i="2" s="1"/>
  <c r="BN16" i="2"/>
  <c r="N21" i="6" s="1"/>
  <c r="BF57" i="2"/>
  <c r="BO57" i="2" s="1"/>
  <c r="O62" i="6" s="1"/>
  <c r="BF132" i="2"/>
  <c r="BO132" i="2" s="1"/>
  <c r="O137" i="6" s="1"/>
  <c r="BF41" i="2"/>
  <c r="BO41" i="2" s="1"/>
  <c r="O46" i="6" s="1"/>
  <c r="BN86" i="2"/>
  <c r="N91" i="6" s="1"/>
  <c r="BN128" i="2"/>
  <c r="N133" i="6" s="1"/>
  <c r="BF48" i="2"/>
  <c r="BO48" i="2" s="1"/>
  <c r="O53" i="6" s="1"/>
  <c r="BN161" i="2"/>
  <c r="N166" i="6" s="1"/>
  <c r="BF42" i="2"/>
  <c r="BG42" i="2" s="1"/>
  <c r="BF30" i="2"/>
  <c r="BO30" i="2" s="1"/>
  <c r="O35" i="6" s="1"/>
  <c r="BF126" i="2"/>
  <c r="BG126" i="2" s="1"/>
  <c r="BF98" i="2"/>
  <c r="BG98" i="2" s="1"/>
  <c r="BN43" i="2"/>
  <c r="N48" i="6" s="1"/>
  <c r="BN70" i="2"/>
  <c r="N75" i="6" s="1"/>
  <c r="BF27" i="2"/>
  <c r="BO27" i="2" s="1"/>
  <c r="O32" i="6" s="1"/>
  <c r="BF63" i="2"/>
  <c r="BO63" i="2" s="1"/>
  <c r="O68" i="6" s="1"/>
  <c r="BN61" i="2"/>
  <c r="N66" i="6" s="1"/>
  <c r="BN122" i="2"/>
  <c r="N127" i="6" s="1"/>
  <c r="BN20" i="2"/>
  <c r="N25" i="6" s="1"/>
  <c r="BN123" i="2"/>
  <c r="N128" i="6" s="1"/>
  <c r="BF23" i="2"/>
  <c r="BO23" i="2" s="1"/>
  <c r="O28" i="6" s="1"/>
  <c r="BN59" i="2"/>
  <c r="N64" i="6" s="1"/>
  <c r="BF59" i="2"/>
  <c r="BG59" i="2" s="1"/>
  <c r="BF139" i="2"/>
  <c r="BG139" i="2" s="1"/>
  <c r="BN139" i="2"/>
  <c r="N144" i="6" s="1"/>
  <c r="BF165" i="2"/>
  <c r="BG165" i="2" s="1"/>
  <c r="BF28" i="2"/>
  <c r="BG28" i="2" s="1"/>
  <c r="BF29" i="2"/>
  <c r="BG29" i="2" s="1"/>
  <c r="BF177" i="2"/>
  <c r="BO177" i="2" s="1"/>
  <c r="O182" i="6" s="1"/>
  <c r="BF148" i="2"/>
  <c r="BG148" i="2" s="1"/>
  <c r="BF24" i="2"/>
  <c r="BG24" i="2" s="1"/>
  <c r="BF96" i="2"/>
  <c r="BG96" i="2" s="1"/>
  <c r="BF106" i="2"/>
  <c r="BG106" i="2" s="1"/>
  <c r="BF142" i="2"/>
  <c r="BO142" i="2" s="1"/>
  <c r="O147" i="6" s="1"/>
  <c r="BF105" i="2"/>
  <c r="BG105" i="2" s="1"/>
  <c r="BF67" i="2"/>
  <c r="BO67" i="2" s="1"/>
  <c r="O72" i="6" s="1"/>
  <c r="BF25" i="2"/>
  <c r="BO25" i="2" s="1"/>
  <c r="O30" i="6" s="1"/>
  <c r="BF170" i="2"/>
  <c r="BO170" i="2" s="1"/>
  <c r="O175" i="6" s="1"/>
  <c r="BE168" i="2"/>
  <c r="BN168" i="2" s="1"/>
  <c r="N173" i="6" s="1"/>
  <c r="M173" i="6"/>
  <c r="BE85" i="2"/>
  <c r="BN85" i="2" s="1"/>
  <c r="N90" i="6" s="1"/>
  <c r="M90" i="6"/>
  <c r="AN90" i="6" s="1"/>
  <c r="BE113" i="2"/>
  <c r="BF113" i="2" s="1"/>
  <c r="M118" i="6"/>
  <c r="BE133" i="2"/>
  <c r="BN133" i="2" s="1"/>
  <c r="N138" i="6" s="1"/>
  <c r="M138" i="6"/>
  <c r="BE84" i="2"/>
  <c r="BN84" i="2" s="1"/>
  <c r="N89" i="6" s="1"/>
  <c r="M89" i="6"/>
  <c r="BE153" i="2"/>
  <c r="BF153" i="2" s="1"/>
  <c r="M158" i="6"/>
  <c r="BE181" i="2"/>
  <c r="BN181" i="2" s="1"/>
  <c r="N186" i="6" s="1"/>
  <c r="M186" i="6"/>
  <c r="BE179" i="2"/>
  <c r="BF179" i="2" s="1"/>
  <c r="M184" i="6"/>
  <c r="BE158" i="2"/>
  <c r="BF158" i="2" s="1"/>
  <c r="M163" i="6"/>
  <c r="BE171" i="2"/>
  <c r="BN171" i="2" s="1"/>
  <c r="N176" i="6" s="1"/>
  <c r="M176" i="6"/>
  <c r="BE178" i="2"/>
  <c r="BN178" i="2" s="1"/>
  <c r="N183" i="6" s="1"/>
  <c r="M183" i="6"/>
  <c r="BE127" i="2"/>
  <c r="BF127" i="2" s="1"/>
  <c r="M132" i="6"/>
  <c r="BE90" i="2"/>
  <c r="BN90" i="2" s="1"/>
  <c r="N95" i="6" s="1"/>
  <c r="M95" i="6"/>
  <c r="BE169" i="2"/>
  <c r="BF169" i="2" s="1"/>
  <c r="M174" i="6"/>
  <c r="BE65" i="2"/>
  <c r="BF65" i="2" s="1"/>
  <c r="M70" i="6"/>
  <c r="BE21" i="2"/>
  <c r="BN21" i="2" s="1"/>
  <c r="N26" i="6" s="1"/>
  <c r="M26" i="6"/>
  <c r="BE88" i="2"/>
  <c r="BN88" i="2" s="1"/>
  <c r="N93" i="6" s="1"/>
  <c r="M93" i="6"/>
  <c r="BE102" i="2"/>
  <c r="BN102" i="2" s="1"/>
  <c r="N107" i="6" s="1"/>
  <c r="M107" i="6"/>
  <c r="BE140" i="2"/>
  <c r="BN140" i="2" s="1"/>
  <c r="N145" i="6" s="1"/>
  <c r="M145" i="6"/>
  <c r="BE155" i="2"/>
  <c r="BN155" i="2" s="1"/>
  <c r="N160" i="6" s="1"/>
  <c r="M160" i="6"/>
  <c r="BE58" i="2"/>
  <c r="BN58" i="2" s="1"/>
  <c r="N63" i="6" s="1"/>
  <c r="M63" i="6"/>
  <c r="BE31" i="2"/>
  <c r="BN31" i="2" s="1"/>
  <c r="N36" i="6" s="1"/>
  <c r="M36" i="6"/>
  <c r="BE79" i="2"/>
  <c r="BF79" i="2" s="1"/>
  <c r="M84" i="6"/>
  <c r="BE150" i="2"/>
  <c r="BN150" i="2" s="1"/>
  <c r="N155" i="6" s="1"/>
  <c r="M155" i="6"/>
  <c r="BE136" i="2"/>
  <c r="BN136" i="2" s="1"/>
  <c r="N141" i="6" s="1"/>
  <c r="M141" i="6"/>
  <c r="BE32" i="2"/>
  <c r="BN32" i="2" s="1"/>
  <c r="N37" i="6" s="1"/>
  <c r="M37" i="6"/>
  <c r="BE39" i="2"/>
  <c r="BF39" i="2" s="1"/>
  <c r="M44" i="6"/>
  <c r="BE40" i="2"/>
  <c r="BN40" i="2" s="1"/>
  <c r="N45" i="6" s="1"/>
  <c r="M45" i="6"/>
  <c r="BE80" i="2"/>
  <c r="BF80" i="2" s="1"/>
  <c r="M85" i="6"/>
  <c r="BE159" i="2"/>
  <c r="BF159" i="2" s="1"/>
  <c r="M164" i="6"/>
  <c r="BE99" i="2"/>
  <c r="BN99" i="2" s="1"/>
  <c r="N104" i="6" s="1"/>
  <c r="M104" i="6"/>
  <c r="BE66" i="2"/>
  <c r="BF66" i="2" s="1"/>
  <c r="M71" i="6"/>
  <c r="BE107" i="2"/>
  <c r="BN107" i="2" s="1"/>
  <c r="N112" i="6" s="1"/>
  <c r="M112" i="6"/>
  <c r="BE129" i="2"/>
  <c r="BF129" i="2" s="1"/>
  <c r="M134" i="6"/>
  <c r="BE73" i="2"/>
  <c r="BF73" i="2" s="1"/>
  <c r="M78" i="6"/>
  <c r="BE56" i="2"/>
  <c r="BF56" i="2" s="1"/>
  <c r="M61" i="6"/>
  <c r="BE60" i="2"/>
  <c r="BF60" i="2" s="1"/>
  <c r="M65" i="6"/>
  <c r="BE93" i="2"/>
  <c r="BF93" i="2" s="1"/>
  <c r="M98" i="6"/>
  <c r="BE163" i="2"/>
  <c r="BN163" i="2" s="1"/>
  <c r="N168" i="6" s="1"/>
  <c r="M168" i="6"/>
  <c r="BE154" i="2"/>
  <c r="BF154" i="2" s="1"/>
  <c r="M159" i="6"/>
  <c r="BE87" i="2"/>
  <c r="BN87" i="2" s="1"/>
  <c r="N92" i="6" s="1"/>
  <c r="M92" i="6"/>
  <c r="BE82" i="2"/>
  <c r="BN82" i="2" s="1"/>
  <c r="N87" i="6" s="1"/>
  <c r="M87" i="6"/>
  <c r="BE35" i="2"/>
  <c r="BF35" i="2" s="1"/>
  <c r="M40" i="6"/>
  <c r="AN40" i="6" s="1"/>
  <c r="BE167" i="2"/>
  <c r="BF167" i="2" s="1"/>
  <c r="M172" i="6"/>
  <c r="BE130" i="2"/>
  <c r="BN130" i="2" s="1"/>
  <c r="N135" i="6" s="1"/>
  <c r="M135" i="6"/>
  <c r="BE147" i="2"/>
  <c r="BN147" i="2" s="1"/>
  <c r="N152" i="6" s="1"/>
  <c r="M152" i="6"/>
  <c r="BE115" i="2"/>
  <c r="BF115" i="2" s="1"/>
  <c r="M120" i="6"/>
  <c r="BE175" i="2"/>
  <c r="BN175" i="2" s="1"/>
  <c r="N180" i="6" s="1"/>
  <c r="M180" i="6"/>
  <c r="BE137" i="2"/>
  <c r="BN137" i="2" s="1"/>
  <c r="N142" i="6" s="1"/>
  <c r="M142" i="6"/>
  <c r="BE76" i="2"/>
  <c r="BF76" i="2" s="1"/>
  <c r="M81" i="6"/>
  <c r="BE111" i="2"/>
  <c r="BN111" i="2" s="1"/>
  <c r="N116" i="6" s="1"/>
  <c r="M116" i="6"/>
  <c r="BE134" i="2"/>
  <c r="BF134" i="2" s="1"/>
  <c r="M139" i="6"/>
  <c r="BE78" i="2"/>
  <c r="BF78" i="2" s="1"/>
  <c r="M83" i="6"/>
  <c r="BO62" i="2"/>
  <c r="O67" i="6" s="1"/>
  <c r="BF143" i="2"/>
  <c r="BG143" i="2" s="1"/>
  <c r="BF54" i="2"/>
  <c r="BG54" i="2" s="1"/>
  <c r="BE44" i="2"/>
  <c r="BF44" i="2" s="1"/>
  <c r="M49" i="6"/>
  <c r="BE180" i="2"/>
  <c r="BN180" i="2" s="1"/>
  <c r="N185" i="6" s="1"/>
  <c r="M185" i="6"/>
  <c r="BE116" i="2"/>
  <c r="BN116" i="2" s="1"/>
  <c r="N121" i="6" s="1"/>
  <c r="M121" i="6"/>
  <c r="BE160" i="2"/>
  <c r="BF160" i="2" s="1"/>
  <c r="M165" i="6"/>
  <c r="BE151" i="2"/>
  <c r="BN151" i="2" s="1"/>
  <c r="N156" i="6" s="1"/>
  <c r="M156" i="6"/>
  <c r="BE97" i="2"/>
  <c r="BF97" i="2" s="1"/>
  <c r="M102" i="6"/>
  <c r="BE100" i="2"/>
  <c r="BN100" i="2" s="1"/>
  <c r="N105" i="6" s="1"/>
  <c r="M105" i="6"/>
  <c r="BE138" i="2"/>
  <c r="BN138" i="2" s="1"/>
  <c r="N143" i="6" s="1"/>
  <c r="M143" i="6"/>
  <c r="BE46" i="2"/>
  <c r="BN46" i="2" s="1"/>
  <c r="N51" i="6" s="1"/>
  <c r="M51" i="6"/>
  <c r="BE118" i="2"/>
  <c r="BN118" i="2" s="1"/>
  <c r="N123" i="6" s="1"/>
  <c r="M123" i="6"/>
  <c r="BE49" i="2"/>
  <c r="BN49" i="2" s="1"/>
  <c r="N54" i="6" s="1"/>
  <c r="M54" i="6"/>
  <c r="BE152" i="2"/>
  <c r="BF152" i="2" s="1"/>
  <c r="M157" i="6"/>
  <c r="BE156" i="2"/>
  <c r="BN156" i="2" s="1"/>
  <c r="N161" i="6" s="1"/>
  <c r="M161" i="6"/>
  <c r="BE68" i="2"/>
  <c r="BN68" i="2" s="1"/>
  <c r="N73" i="6" s="1"/>
  <c r="M73" i="6"/>
  <c r="AN73" i="6" s="1"/>
  <c r="BE69" i="2"/>
  <c r="BN69" i="2" s="1"/>
  <c r="N74" i="6" s="1"/>
  <c r="M74" i="6"/>
  <c r="BE52" i="2"/>
  <c r="BN52" i="2" s="1"/>
  <c r="N57" i="6" s="1"/>
  <c r="M57" i="6"/>
  <c r="BE71" i="2"/>
  <c r="BF71" i="2" s="1"/>
  <c r="BE77" i="2"/>
  <c r="BN77" i="2" s="1"/>
  <c r="N82" i="6" s="1"/>
  <c r="BE109" i="2"/>
  <c r="BN109" i="2" s="1"/>
  <c r="N114" i="6" s="1"/>
  <c r="BE112" i="2"/>
  <c r="BF112" i="2" s="1"/>
  <c r="BE145" i="2"/>
  <c r="BF145" i="2" s="1"/>
  <c r="BN36" i="2"/>
  <c r="N41" i="6" s="1"/>
  <c r="BF36" i="2"/>
  <c r="BN157" i="2"/>
  <c r="N162" i="6" s="1"/>
  <c r="BF157" i="2"/>
  <c r="BN75" i="2"/>
  <c r="N80" i="6" s="1"/>
  <c r="BF75" i="2"/>
  <c r="BE146" i="2"/>
  <c r="BF146" i="2" s="1"/>
  <c r="BE131" i="2"/>
  <c r="BN131" i="2" s="1"/>
  <c r="N136" i="6" s="1"/>
  <c r="BO92" i="2"/>
  <c r="O97" i="6" s="1"/>
  <c r="BG92" i="2"/>
  <c r="BG120" i="2"/>
  <c r="BO120" i="2"/>
  <c r="O125" i="6" s="1"/>
  <c r="BO43" i="2"/>
  <c r="O48" i="6" s="1"/>
  <c r="BG43" i="2"/>
  <c r="BG164" i="2"/>
  <c r="BO164" i="2"/>
  <c r="O169" i="6" s="1"/>
  <c r="BG94" i="2"/>
  <c r="BO94" i="2"/>
  <c r="O99" i="6" s="1"/>
  <c r="BN110" i="2"/>
  <c r="N115" i="6" s="1"/>
  <c r="BF110" i="2"/>
  <c r="BG50" i="2"/>
  <c r="BO50" i="2"/>
  <c r="O55" i="6" s="1"/>
  <c r="BG34" i="2"/>
  <c r="BO34" i="2"/>
  <c r="O39" i="6" s="1"/>
  <c r="BG70" i="2"/>
  <c r="BO70" i="2"/>
  <c r="O75" i="6" s="1"/>
  <c r="BG162" i="2"/>
  <c r="BO162" i="2"/>
  <c r="O167" i="6" s="1"/>
  <c r="BO61" i="2"/>
  <c r="O66" i="6" s="1"/>
  <c r="BG61" i="2"/>
  <c r="BO183" i="2"/>
  <c r="O188" i="6" s="1"/>
  <c r="BG183" i="2"/>
  <c r="BO135" i="2"/>
  <c r="O140" i="6" s="1"/>
  <c r="BG135" i="2"/>
  <c r="BG86" i="2"/>
  <c r="BO86" i="2"/>
  <c r="O91" i="6" s="1"/>
  <c r="BG101" i="2"/>
  <c r="BO101" i="2"/>
  <c r="O106" i="6" s="1"/>
  <c r="BN64" i="2"/>
  <c r="N69" i="6" s="1"/>
  <c r="BF64" i="2"/>
  <c r="BO53" i="2"/>
  <c r="O58" i="6" s="1"/>
  <c r="BG53" i="2"/>
  <c r="BO123" i="2"/>
  <c r="O128" i="6" s="1"/>
  <c r="BG123" i="2"/>
  <c r="BG16" i="2"/>
  <c r="BO16" i="2"/>
  <c r="O21" i="6" s="1"/>
  <c r="BG124" i="2"/>
  <c r="BO124" i="2"/>
  <c r="O129" i="6" s="1"/>
  <c r="BG122" i="2"/>
  <c r="BO122" i="2"/>
  <c r="O127" i="6" s="1"/>
  <c r="BO161" i="2"/>
  <c r="O166" i="6" s="1"/>
  <c r="BG161" i="2"/>
  <c r="BG173" i="2"/>
  <c r="BO173" i="2"/>
  <c r="O178" i="6" s="1"/>
  <c r="BO37" i="2"/>
  <c r="O42" i="6" s="1"/>
  <c r="BG37" i="2"/>
  <c r="BG20" i="2"/>
  <c r="BO20" i="2"/>
  <c r="O25" i="6" s="1"/>
  <c r="BG128" i="2"/>
  <c r="BO128" i="2"/>
  <c r="O133" i="6" s="1"/>
  <c r="BO72" i="2"/>
  <c r="O77" i="6" s="1"/>
  <c r="BG72" i="2"/>
  <c r="AC108" i="4"/>
  <c r="M72" i="4"/>
  <c r="AE72" i="4" s="1"/>
  <c r="AL108" i="4"/>
  <c r="AM72" i="4"/>
  <c r="AC72" i="4"/>
  <c r="AL72" i="4"/>
  <c r="J37" i="6"/>
  <c r="K37" i="6"/>
  <c r="K180" i="6"/>
  <c r="J180" i="6"/>
  <c r="J65" i="6"/>
  <c r="K65" i="6"/>
  <c r="K152" i="6"/>
  <c r="J152" i="6"/>
  <c r="K82" i="6"/>
  <c r="J82" i="6"/>
  <c r="J61" i="6"/>
  <c r="K61" i="6"/>
  <c r="K158" i="6"/>
  <c r="J158" i="6"/>
  <c r="K83" i="6"/>
  <c r="J83" i="6"/>
  <c r="K85" i="6"/>
  <c r="J85" i="6"/>
  <c r="K116" i="6"/>
  <c r="J116" i="6"/>
  <c r="K51" i="6"/>
  <c r="J51" i="6"/>
  <c r="K45" i="6"/>
  <c r="J45" i="6"/>
  <c r="J132" i="6"/>
  <c r="K132" i="6"/>
  <c r="J120" i="6"/>
  <c r="K120" i="6"/>
  <c r="J44" i="6"/>
  <c r="K44" i="6"/>
  <c r="K160" i="6"/>
  <c r="J160" i="6"/>
  <c r="K142" i="6"/>
  <c r="J142" i="6"/>
  <c r="J185" i="6"/>
  <c r="K185" i="6"/>
  <c r="J157" i="6"/>
  <c r="K157" i="6"/>
  <c r="K114" i="6"/>
  <c r="J114" i="6"/>
  <c r="K164" i="6"/>
  <c r="J164" i="6"/>
  <c r="K123" i="6"/>
  <c r="J123" i="6"/>
  <c r="K161" i="6"/>
  <c r="J161" i="6"/>
  <c r="K168" i="6"/>
  <c r="J168" i="6"/>
  <c r="K159" i="6"/>
  <c r="J159" i="6"/>
  <c r="J92" i="6"/>
  <c r="K92" i="6"/>
  <c r="K117" i="6"/>
  <c r="J117" i="6"/>
  <c r="K89" i="6"/>
  <c r="J89" i="6"/>
  <c r="J141" i="6"/>
  <c r="K141" i="6"/>
  <c r="K74" i="6"/>
  <c r="J74" i="6"/>
  <c r="AR7" i="2"/>
  <c r="J107" i="6"/>
  <c r="K107" i="6"/>
  <c r="K63" i="6"/>
  <c r="J63" i="6"/>
  <c r="J172" i="6"/>
  <c r="K172" i="6"/>
  <c r="K135" i="6"/>
  <c r="J135" i="6"/>
  <c r="K138" i="6"/>
  <c r="J138" i="6"/>
  <c r="K54" i="6"/>
  <c r="J54" i="6"/>
  <c r="J165" i="6"/>
  <c r="K165" i="6"/>
  <c r="J156" i="6"/>
  <c r="K156" i="6"/>
  <c r="J102" i="6"/>
  <c r="K102" i="6"/>
  <c r="K105" i="6"/>
  <c r="J105" i="6"/>
  <c r="K151" i="6"/>
  <c r="J151" i="6"/>
  <c r="K87" i="6"/>
  <c r="J87" i="6"/>
  <c r="K57" i="6"/>
  <c r="J57" i="6"/>
  <c r="J173" i="6"/>
  <c r="K173" i="6"/>
  <c r="K163" i="6"/>
  <c r="J163" i="6"/>
  <c r="K90" i="6"/>
  <c r="J90" i="6"/>
  <c r="K118" i="6"/>
  <c r="J118" i="6"/>
  <c r="K183" i="6"/>
  <c r="J183" i="6"/>
  <c r="J121" i="6"/>
  <c r="K121" i="6"/>
  <c r="K71" i="6"/>
  <c r="J71" i="6"/>
  <c r="K26" i="6"/>
  <c r="J26" i="6"/>
  <c r="J112" i="6"/>
  <c r="K112" i="6"/>
  <c r="K93" i="6"/>
  <c r="J93" i="6"/>
  <c r="K70" i="6"/>
  <c r="J70" i="6"/>
  <c r="K143" i="6"/>
  <c r="J143" i="6"/>
  <c r="K134" i="6"/>
  <c r="J134" i="6"/>
  <c r="J40" i="6"/>
  <c r="K40" i="6"/>
  <c r="K98" i="6"/>
  <c r="J98" i="6"/>
  <c r="J49" i="6"/>
  <c r="K49" i="6"/>
  <c r="J78" i="6"/>
  <c r="K78" i="6"/>
  <c r="J145" i="6"/>
  <c r="K145" i="6"/>
  <c r="J104" i="6"/>
  <c r="K104" i="6"/>
  <c r="J186" i="6"/>
  <c r="K186" i="6"/>
  <c r="K36" i="6"/>
  <c r="J36" i="6"/>
  <c r="J84" i="6"/>
  <c r="K84" i="6"/>
  <c r="K155" i="6"/>
  <c r="J155" i="6"/>
  <c r="K136" i="6"/>
  <c r="J136" i="6"/>
  <c r="J150" i="6"/>
  <c r="K150" i="6"/>
  <c r="J73" i="6"/>
  <c r="K73" i="6"/>
  <c r="J139" i="6"/>
  <c r="K139" i="6"/>
  <c r="K184" i="6"/>
  <c r="J184" i="6"/>
  <c r="K95" i="6"/>
  <c r="J95" i="6"/>
  <c r="K174" i="6"/>
  <c r="J174" i="6"/>
  <c r="J176" i="6"/>
  <c r="K176" i="6"/>
  <c r="J81" i="6"/>
  <c r="K81" i="6"/>
  <c r="J76" i="6"/>
  <c r="K76" i="6"/>
  <c r="AS17" i="2"/>
  <c r="AC87" i="4"/>
  <c r="AL87" i="4"/>
  <c r="AC119" i="4"/>
  <c r="AL119" i="4"/>
  <c r="C61" i="4"/>
  <c r="C62" i="4" s="1"/>
  <c r="L100" i="4"/>
  <c r="AL100" i="4"/>
  <c r="AC100" i="4"/>
  <c r="AM134" i="4"/>
  <c r="AD134" i="4"/>
  <c r="M134" i="4"/>
  <c r="AD104" i="4"/>
  <c r="AM104" i="4"/>
  <c r="M104" i="4"/>
  <c r="AQ201" i="4"/>
  <c r="AH201" i="4"/>
  <c r="Q201" i="4"/>
  <c r="AM142" i="4"/>
  <c r="AD142" i="4"/>
  <c r="M142" i="4"/>
  <c r="AD197" i="4"/>
  <c r="AM197" i="4"/>
  <c r="M197" i="4"/>
  <c r="AN154" i="4"/>
  <c r="AE154" i="4"/>
  <c r="N154" i="4"/>
  <c r="AF143" i="4"/>
  <c r="AO143" i="4"/>
  <c r="O143" i="4"/>
  <c r="AM192" i="4"/>
  <c r="AD192" i="4"/>
  <c r="M192" i="4"/>
  <c r="AN163" i="4"/>
  <c r="AE163" i="4"/>
  <c r="N163" i="4"/>
  <c r="AN204" i="4"/>
  <c r="AE204" i="4"/>
  <c r="N204" i="4"/>
  <c r="AN148" i="4"/>
  <c r="AE148" i="4"/>
  <c r="N148" i="4"/>
  <c r="AD109" i="4"/>
  <c r="AM109" i="4"/>
  <c r="M109" i="4"/>
  <c r="AF75" i="4"/>
  <c r="AO75" i="4"/>
  <c r="O75" i="4"/>
  <c r="AD217" i="4"/>
  <c r="AM217" i="4"/>
  <c r="M217" i="4"/>
  <c r="AE97" i="4"/>
  <c r="AN97" i="4"/>
  <c r="N97" i="4"/>
  <c r="AN169" i="4"/>
  <c r="AE169" i="4"/>
  <c r="N169" i="4"/>
  <c r="AP114" i="4"/>
  <c r="AG114" i="4"/>
  <c r="P114" i="4"/>
  <c r="AO239" i="4"/>
  <c r="AF239" i="4"/>
  <c r="O239" i="4"/>
  <c r="AN127" i="4"/>
  <c r="AE127" i="4"/>
  <c r="N127" i="4"/>
  <c r="AE216" i="4"/>
  <c r="AN216" i="4"/>
  <c r="N216" i="4"/>
  <c r="AD117" i="4"/>
  <c r="AM117" i="4"/>
  <c r="M117" i="4"/>
  <c r="AP121" i="4"/>
  <c r="AG121" i="4"/>
  <c r="P121" i="4"/>
  <c r="AM184" i="4"/>
  <c r="AD184" i="4"/>
  <c r="M184" i="4"/>
  <c r="AM151" i="4"/>
  <c r="AD151" i="4"/>
  <c r="M151" i="4"/>
  <c r="AQ180" i="4"/>
  <c r="AH180" i="4"/>
  <c r="Q180" i="4"/>
  <c r="AO77" i="4"/>
  <c r="AF77" i="4"/>
  <c r="O77" i="4"/>
  <c r="AM89" i="4"/>
  <c r="AD89" i="4"/>
  <c r="M89" i="4"/>
  <c r="AD187" i="4"/>
  <c r="AM187" i="4"/>
  <c r="M187" i="4"/>
  <c r="AM168" i="4"/>
  <c r="AD168" i="4"/>
  <c r="M168" i="4"/>
  <c r="AD86" i="4"/>
  <c r="AM86" i="4"/>
  <c r="M86" i="4"/>
  <c r="AD87" i="4"/>
  <c r="AM87" i="4"/>
  <c r="M87" i="4"/>
  <c r="AD119" i="4"/>
  <c r="AM119" i="4"/>
  <c r="M119" i="4"/>
  <c r="AD199" i="4"/>
  <c r="AM199" i="4"/>
  <c r="M199" i="4"/>
  <c r="AM130" i="4"/>
  <c r="AD130" i="4"/>
  <c r="M130" i="4"/>
  <c r="AG128" i="4"/>
  <c r="AP128" i="4"/>
  <c r="P128" i="4"/>
  <c r="AD106" i="4"/>
  <c r="AM106" i="4"/>
  <c r="M106" i="4"/>
  <c r="AM214" i="4"/>
  <c r="AD214" i="4"/>
  <c r="M214" i="4"/>
  <c r="AE93" i="4"/>
  <c r="AN93" i="4"/>
  <c r="N93" i="4"/>
  <c r="AD209" i="4"/>
  <c r="AM209" i="4"/>
  <c r="M209" i="4"/>
  <c r="AD102" i="4"/>
  <c r="AM102" i="4"/>
  <c r="M102" i="4"/>
  <c r="AM231" i="4"/>
  <c r="AD231" i="4"/>
  <c r="M231" i="4"/>
  <c r="AE115" i="4"/>
  <c r="AN115" i="4"/>
  <c r="N115" i="4"/>
  <c r="AM220" i="4"/>
  <c r="AD220" i="4"/>
  <c r="M220" i="4"/>
  <c r="AG228" i="4"/>
  <c r="AP228" i="4"/>
  <c r="P228" i="4"/>
  <c r="AN126" i="4"/>
  <c r="AE126" i="4"/>
  <c r="N126" i="4"/>
  <c r="AE133" i="4"/>
  <c r="AN133" i="4"/>
  <c r="N133" i="4"/>
  <c r="AN181" i="4"/>
  <c r="AE181" i="4"/>
  <c r="N181" i="4"/>
  <c r="AD129" i="4"/>
  <c r="AM129" i="4"/>
  <c r="M129" i="4"/>
  <c r="AF91" i="4"/>
  <c r="AO91" i="4"/>
  <c r="O91" i="4"/>
  <c r="AG85" i="4"/>
  <c r="AP85" i="4"/>
  <c r="P85" i="4"/>
  <c r="AD113" i="4"/>
  <c r="AM113" i="4"/>
  <c r="M113" i="4"/>
  <c r="AO82" i="4"/>
  <c r="AF82" i="4"/>
  <c r="O82" i="4"/>
  <c r="AN107" i="4"/>
  <c r="AE107" i="4"/>
  <c r="N107" i="4"/>
  <c r="AG84" i="4"/>
  <c r="AP84" i="4"/>
  <c r="P84" i="4"/>
  <c r="AD179" i="4"/>
  <c r="AM179" i="4"/>
  <c r="M179" i="4"/>
  <c r="AO183" i="4"/>
  <c r="AF183" i="4"/>
  <c r="O183" i="4"/>
  <c r="AG205" i="4"/>
  <c r="AP205" i="4"/>
  <c r="P205" i="4"/>
  <c r="AM223" i="4"/>
  <c r="AD223" i="4"/>
  <c r="M223" i="4"/>
  <c r="AG185" i="4"/>
  <c r="AP185" i="4"/>
  <c r="P185" i="4"/>
  <c r="AG191" i="4"/>
  <c r="AP191" i="4"/>
  <c r="P191" i="4"/>
  <c r="AN99" i="4"/>
  <c r="AE99" i="4"/>
  <c r="N99" i="4"/>
  <c r="AG189" i="4"/>
  <c r="AP189" i="4"/>
  <c r="P189" i="4"/>
  <c r="AF207" i="4"/>
  <c r="AO207" i="4"/>
  <c r="O207" i="4"/>
  <c r="AN196" i="4"/>
  <c r="AE196" i="4"/>
  <c r="N196" i="4"/>
  <c r="AN174" i="4"/>
  <c r="AE174" i="4"/>
  <c r="N174" i="4"/>
  <c r="AD98" i="4"/>
  <c r="AM98" i="4"/>
  <c r="M98" i="4"/>
  <c r="AE194" i="4"/>
  <c r="AN194" i="4"/>
  <c r="N194" i="4"/>
  <c r="AP156" i="4"/>
  <c r="AG156" i="4"/>
  <c r="P156" i="4"/>
  <c r="AM211" i="4"/>
  <c r="AD211" i="4"/>
  <c r="M211" i="4"/>
  <c r="AM157" i="4"/>
  <c r="AD157" i="4"/>
  <c r="M157" i="4"/>
  <c r="AM138" i="4"/>
  <c r="AD138" i="4"/>
  <c r="M138" i="4"/>
  <c r="AN123" i="4"/>
  <c r="AE123" i="4"/>
  <c r="N123" i="4"/>
  <c r="AN171" i="4"/>
  <c r="AE171" i="4"/>
  <c r="N171" i="4"/>
  <c r="AE235" i="4"/>
  <c r="AN235" i="4"/>
  <c r="N235" i="4"/>
  <c r="AP234" i="4"/>
  <c r="AG234" i="4"/>
  <c r="P234" i="4"/>
  <c r="AD159" i="4"/>
  <c r="AM159" i="4"/>
  <c r="M159" i="4"/>
  <c r="AD224" i="4"/>
  <c r="AM224" i="4"/>
  <c r="M224" i="4"/>
  <c r="AN146" i="4"/>
  <c r="AE146" i="4"/>
  <c r="N146" i="4"/>
  <c r="AP116" i="4"/>
  <c r="AG116" i="4"/>
  <c r="P116" i="4"/>
  <c r="AM122" i="4"/>
  <c r="AD122" i="4"/>
  <c r="M122" i="4"/>
  <c r="AE136" i="4"/>
  <c r="AN136" i="4"/>
  <c r="N136" i="4"/>
  <c r="AE131" i="4"/>
  <c r="AN131" i="4"/>
  <c r="N131" i="4"/>
  <c r="AE95" i="4"/>
  <c r="AN95" i="4"/>
  <c r="N95" i="4"/>
  <c r="AO188" i="4"/>
  <c r="AF188" i="4"/>
  <c r="O188" i="4"/>
  <c r="AD101" i="4"/>
  <c r="AM101" i="4"/>
  <c r="M101" i="4"/>
  <c r="AO96" i="4"/>
  <c r="AF96" i="4"/>
  <c r="O96" i="4"/>
  <c r="AN105" i="4"/>
  <c r="AE105" i="4"/>
  <c r="N105" i="4"/>
  <c r="AM210" i="4"/>
  <c r="AD210" i="4"/>
  <c r="M210" i="4"/>
  <c r="AD160" i="4"/>
  <c r="AM160" i="4"/>
  <c r="M160" i="4"/>
  <c r="AN215" i="4"/>
  <c r="AE215" i="4"/>
  <c r="N215" i="4"/>
  <c r="AN150" i="4"/>
  <c r="AE150" i="4"/>
  <c r="N150" i="4"/>
  <c r="AM92" i="4"/>
  <c r="AD92" i="4"/>
  <c r="M92" i="4"/>
  <c r="AG213" i="4"/>
  <c r="AP213" i="4"/>
  <c r="P213" i="4"/>
  <c r="AN200" i="4"/>
  <c r="AE200" i="4"/>
  <c r="N200" i="4"/>
  <c r="AO178" i="4"/>
  <c r="AF178" i="4"/>
  <c r="O178" i="4"/>
  <c r="AM103" i="4"/>
  <c r="AD103" i="4"/>
  <c r="M103" i="4"/>
  <c r="AO195" i="4"/>
  <c r="AF195" i="4"/>
  <c r="O195" i="4"/>
  <c r="AO166" i="4"/>
  <c r="AF166" i="4"/>
  <c r="O166" i="4"/>
  <c r="AG158" i="4"/>
  <c r="AP158" i="4"/>
  <c r="P158" i="4"/>
  <c r="AE155" i="4"/>
  <c r="AN155" i="4"/>
  <c r="N155" i="4"/>
  <c r="AO139" i="4"/>
  <c r="AF139" i="4"/>
  <c r="O139" i="4"/>
  <c r="AM225" i="4"/>
  <c r="AD225" i="4"/>
  <c r="M225" i="4"/>
  <c r="AO140" i="4"/>
  <c r="AF140" i="4"/>
  <c r="O140" i="4"/>
  <c r="AN172" i="4"/>
  <c r="AE172" i="4"/>
  <c r="N172" i="4"/>
  <c r="AN186" i="4"/>
  <c r="AE186" i="4"/>
  <c r="N186" i="4"/>
  <c r="AM226" i="4"/>
  <c r="AD226" i="4"/>
  <c r="M226" i="4"/>
  <c r="AG76" i="4"/>
  <c r="AP76" i="4"/>
  <c r="P76" i="4"/>
  <c r="AM165" i="4"/>
  <c r="AD165" i="4"/>
  <c r="M165" i="4"/>
  <c r="AD108" i="4"/>
  <c r="AM108" i="4"/>
  <c r="M108" i="4"/>
  <c r="AM161" i="4"/>
  <c r="AD161" i="4"/>
  <c r="M161" i="4"/>
  <c r="AM177" i="4"/>
  <c r="AD177" i="4"/>
  <c r="M177" i="4"/>
  <c r="AM135" i="4"/>
  <c r="AD135" i="4"/>
  <c r="M135" i="4"/>
  <c r="AO202" i="4"/>
  <c r="AF202" i="4"/>
  <c r="O202" i="4"/>
  <c r="AM118" i="4"/>
  <c r="AD118" i="4"/>
  <c r="M118" i="4"/>
  <c r="AF83" i="4"/>
  <c r="AO83" i="4"/>
  <c r="O83" i="4"/>
  <c r="AN221" i="4"/>
  <c r="AE221" i="4"/>
  <c r="N221" i="4"/>
  <c r="AE193" i="4"/>
  <c r="AN193" i="4"/>
  <c r="N193" i="4"/>
  <c r="AE218" i="4"/>
  <c r="AN218" i="4"/>
  <c r="N218" i="4"/>
  <c r="AP175" i="4"/>
  <c r="AG175" i="4"/>
  <c r="P175" i="4"/>
  <c r="AD167" i="4"/>
  <c r="AM167" i="4"/>
  <c r="M167" i="4"/>
  <c r="AO141" i="4"/>
  <c r="AF141" i="4"/>
  <c r="O141" i="4"/>
  <c r="AF88" i="4"/>
  <c r="AO88" i="4"/>
  <c r="O88" i="4"/>
  <c r="AG222" i="4"/>
  <c r="AP222" i="4"/>
  <c r="P222" i="4"/>
  <c r="AO81" i="4"/>
  <c r="AF81" i="4"/>
  <c r="O81" i="4"/>
  <c r="AO182" i="4"/>
  <c r="AF182" i="4"/>
  <c r="O182" i="4"/>
  <c r="AO125" i="4"/>
  <c r="AF125" i="4"/>
  <c r="O125" i="4"/>
  <c r="AN73" i="4"/>
  <c r="AE73" i="4"/>
  <c r="N73" i="4"/>
  <c r="AM90" i="4"/>
  <c r="AD90" i="4"/>
  <c r="M90" i="4"/>
  <c r="AM78" i="4"/>
  <c r="AD78" i="4"/>
  <c r="M78" i="4"/>
  <c r="AD198" i="4"/>
  <c r="AM198" i="4"/>
  <c r="M198" i="4"/>
  <c r="AQ236" i="4"/>
  <c r="AH236" i="4"/>
  <c r="Q236" i="4"/>
  <c r="AD206" i="4"/>
  <c r="AM206" i="4"/>
  <c r="M206" i="4"/>
  <c r="AM190" i="4"/>
  <c r="AD190" i="4"/>
  <c r="M190" i="4"/>
  <c r="AP137" i="4"/>
  <c r="AG137" i="4"/>
  <c r="P137" i="4"/>
  <c r="AN229" i="4"/>
  <c r="AE229" i="4"/>
  <c r="N229" i="4"/>
  <c r="AN232" i="4"/>
  <c r="AE232" i="4"/>
  <c r="N232" i="4"/>
  <c r="AO144" i="4"/>
  <c r="AF144" i="4"/>
  <c r="O144" i="4"/>
  <c r="AO176" i="4"/>
  <c r="AF176" i="4"/>
  <c r="O176" i="4"/>
  <c r="AO120" i="4"/>
  <c r="AF120" i="4"/>
  <c r="O120" i="4"/>
  <c r="AN152" i="4"/>
  <c r="AE152" i="4"/>
  <c r="N152" i="4"/>
  <c r="AM162" i="4"/>
  <c r="AD162" i="4"/>
  <c r="M162" i="4"/>
  <c r="AE112" i="4"/>
  <c r="AN112" i="4"/>
  <c r="N112" i="4"/>
  <c r="AN145" i="4"/>
  <c r="AE145" i="4"/>
  <c r="N145" i="4"/>
  <c r="AN147" i="4"/>
  <c r="AE147" i="4"/>
  <c r="N147" i="4"/>
  <c r="AD124" i="4"/>
  <c r="AM124" i="4"/>
  <c r="M124" i="4"/>
  <c r="AE203" i="4"/>
  <c r="AN203" i="4"/>
  <c r="N203" i="4"/>
  <c r="AG208" i="4"/>
  <c r="AP208" i="4"/>
  <c r="P208" i="4"/>
  <c r="AN74" i="4"/>
  <c r="AE74" i="4"/>
  <c r="N74" i="4"/>
  <c r="AN233" i="4"/>
  <c r="AE233" i="4"/>
  <c r="N233" i="4"/>
  <c r="AN238" i="4"/>
  <c r="AE238" i="4"/>
  <c r="N238" i="4"/>
  <c r="AP94" i="4"/>
  <c r="AG94" i="4"/>
  <c r="P94" i="4"/>
  <c r="AO110" i="4"/>
  <c r="AF110" i="4"/>
  <c r="O110" i="4"/>
  <c r="AD111" i="4"/>
  <c r="AM111" i="4"/>
  <c r="M111" i="4"/>
  <c r="AO149" i="4"/>
  <c r="AF149" i="4"/>
  <c r="O149" i="4"/>
  <c r="AE219" i="4"/>
  <c r="AN219" i="4"/>
  <c r="N219" i="4"/>
  <c r="AN230" i="4"/>
  <c r="AE230" i="4"/>
  <c r="N230" i="4"/>
  <c r="AO153" i="4"/>
  <c r="AF153" i="4"/>
  <c r="O153" i="4"/>
  <c r="AP164" i="4"/>
  <c r="AG164" i="4"/>
  <c r="P164" i="4"/>
  <c r="AF237" i="4"/>
  <c r="AO237" i="4"/>
  <c r="O237" i="4"/>
  <c r="AN80" i="4"/>
  <c r="AE80" i="4"/>
  <c r="N80" i="4"/>
  <c r="AE170" i="4"/>
  <c r="AN170" i="4"/>
  <c r="N170" i="4"/>
  <c r="AN227" i="4"/>
  <c r="AE227" i="4"/>
  <c r="N227" i="4"/>
  <c r="AM173" i="4"/>
  <c r="AD173" i="4"/>
  <c r="M173" i="4"/>
  <c r="AM79" i="4"/>
  <c r="AD79" i="4"/>
  <c r="M79" i="4"/>
  <c r="AF132" i="4"/>
  <c r="AO132" i="4"/>
  <c r="O132" i="4"/>
  <c r="AF212" i="4" l="1"/>
  <c r="O212" i="4"/>
  <c r="N240" i="4"/>
  <c r="AE240" i="4"/>
  <c r="BP62" i="2"/>
  <c r="P67" i="6" s="1"/>
  <c r="AQ67" i="6" s="1"/>
  <c r="AV15" i="6"/>
  <c r="AM15" i="6"/>
  <c r="BG38" i="2"/>
  <c r="BH38" i="2" s="1"/>
  <c r="AP178" i="6"/>
  <c r="AG178" i="6"/>
  <c r="AP106" i="6"/>
  <c r="AG106" i="6"/>
  <c r="AG125" i="6"/>
  <c r="AP125" i="6"/>
  <c r="AF80" i="6"/>
  <c r="AO80" i="6"/>
  <c r="AO82" i="6"/>
  <c r="AF82" i="6"/>
  <c r="AE74" i="6"/>
  <c r="AN74" i="6"/>
  <c r="AE54" i="6"/>
  <c r="AN54" i="6"/>
  <c r="AE156" i="6"/>
  <c r="AN156" i="6"/>
  <c r="AE49" i="6"/>
  <c r="AN49" i="6"/>
  <c r="AF180" i="6"/>
  <c r="AO180" i="6"/>
  <c r="AO87" i="6"/>
  <c r="AF87" i="6"/>
  <c r="AO155" i="6"/>
  <c r="AF155" i="6"/>
  <c r="AO36" i="6"/>
  <c r="AF36" i="6"/>
  <c r="AF107" i="6"/>
  <c r="AO107" i="6"/>
  <c r="AO26" i="6"/>
  <c r="AF26" i="6"/>
  <c r="AO138" i="6"/>
  <c r="AF138" i="6"/>
  <c r="AP30" i="6"/>
  <c r="AG30" i="6"/>
  <c r="AO144" i="6"/>
  <c r="AF144" i="6"/>
  <c r="AO66" i="6"/>
  <c r="AF66" i="6"/>
  <c r="AO48" i="6"/>
  <c r="AF48" i="6"/>
  <c r="AO42" i="6"/>
  <c r="AF42" i="6"/>
  <c r="AO125" i="6"/>
  <c r="AF125" i="6"/>
  <c r="AO169" i="6"/>
  <c r="AF169" i="6"/>
  <c r="AP77" i="6"/>
  <c r="AG77" i="6"/>
  <c r="AP58" i="6"/>
  <c r="AG58" i="6"/>
  <c r="AG140" i="6"/>
  <c r="AP140" i="6"/>
  <c r="AP66" i="6"/>
  <c r="AG66" i="6"/>
  <c r="AO115" i="6"/>
  <c r="AF115" i="6"/>
  <c r="AO136" i="6"/>
  <c r="AF136" i="6"/>
  <c r="AO74" i="6"/>
  <c r="AF74" i="6"/>
  <c r="AO161" i="6"/>
  <c r="AF161" i="6"/>
  <c r="AO54" i="6"/>
  <c r="AF54" i="6"/>
  <c r="AO51" i="6"/>
  <c r="AF51" i="6"/>
  <c r="AO105" i="6"/>
  <c r="AF105" i="6"/>
  <c r="AO156" i="6"/>
  <c r="AF156" i="6"/>
  <c r="AO121" i="6"/>
  <c r="AF121" i="6"/>
  <c r="AE83" i="6"/>
  <c r="AN83" i="6"/>
  <c r="AE116" i="6"/>
  <c r="AN116" i="6"/>
  <c r="AE142" i="6"/>
  <c r="AN142" i="6"/>
  <c r="AE120" i="6"/>
  <c r="AN120" i="6"/>
  <c r="AE135" i="6"/>
  <c r="AN135" i="6"/>
  <c r="AE92" i="6"/>
  <c r="AN92" i="6"/>
  <c r="AE168" i="6"/>
  <c r="AN168" i="6"/>
  <c r="AE65" i="6"/>
  <c r="AN65" i="6"/>
  <c r="AE78" i="6"/>
  <c r="AN78" i="6"/>
  <c r="AE112" i="6"/>
  <c r="AN112" i="6"/>
  <c r="AE104" i="6"/>
  <c r="AN104" i="6"/>
  <c r="AE85" i="6"/>
  <c r="AN85" i="6"/>
  <c r="AE44" i="6"/>
  <c r="AN44" i="6"/>
  <c r="AE141" i="6"/>
  <c r="AN141" i="6"/>
  <c r="AE84" i="6"/>
  <c r="AN84" i="6"/>
  <c r="AE63" i="6"/>
  <c r="AN63" i="6"/>
  <c r="AE145" i="6"/>
  <c r="AN145" i="6"/>
  <c r="AE93" i="6"/>
  <c r="AN93" i="6"/>
  <c r="AE70" i="6"/>
  <c r="AN70" i="6"/>
  <c r="AE95" i="6"/>
  <c r="AN95" i="6"/>
  <c r="AE183" i="6"/>
  <c r="AN183" i="6"/>
  <c r="AE163" i="6"/>
  <c r="AN163" i="6"/>
  <c r="AE186" i="6"/>
  <c r="AN186" i="6"/>
  <c r="AE89" i="6"/>
  <c r="AN89" i="6"/>
  <c r="AE118" i="6"/>
  <c r="AN118" i="6"/>
  <c r="AE173" i="6"/>
  <c r="AN173" i="6"/>
  <c r="AP72" i="6"/>
  <c r="AG72" i="6"/>
  <c r="AO128" i="6"/>
  <c r="AF128" i="6"/>
  <c r="AG68" i="6"/>
  <c r="AP68" i="6"/>
  <c r="AO166" i="6"/>
  <c r="AF166" i="6"/>
  <c r="AP46" i="6"/>
  <c r="AG46" i="6"/>
  <c r="AP38" i="6"/>
  <c r="AG38" i="6"/>
  <c r="AP124" i="6"/>
  <c r="AG124" i="6"/>
  <c r="AO39" i="6"/>
  <c r="AF39" i="6"/>
  <c r="AP56" i="6"/>
  <c r="AG56" i="6"/>
  <c r="AO55" i="6"/>
  <c r="AF55" i="6"/>
  <c r="AO99" i="6"/>
  <c r="AF99" i="6"/>
  <c r="AP43" i="6"/>
  <c r="AG43" i="6"/>
  <c r="AP154" i="6"/>
  <c r="AG154" i="6"/>
  <c r="AP25" i="6"/>
  <c r="AG25" i="6"/>
  <c r="AP127" i="6"/>
  <c r="AG127" i="6"/>
  <c r="AG21" i="6"/>
  <c r="AP21" i="6"/>
  <c r="AP75" i="6"/>
  <c r="AG75" i="6"/>
  <c r="AP169" i="6"/>
  <c r="AG169" i="6"/>
  <c r="AP97" i="6"/>
  <c r="AG97" i="6"/>
  <c r="AO41" i="6"/>
  <c r="AF41" i="6"/>
  <c r="AE161" i="6"/>
  <c r="AN161" i="6"/>
  <c r="AE51" i="6"/>
  <c r="AN51" i="6"/>
  <c r="AE105" i="6"/>
  <c r="AN105" i="6"/>
  <c r="AE121" i="6"/>
  <c r="AN121" i="6"/>
  <c r="AP67" i="6"/>
  <c r="AG67" i="6"/>
  <c r="AF152" i="6"/>
  <c r="AO152" i="6"/>
  <c r="AO45" i="6"/>
  <c r="AF45" i="6"/>
  <c r="AF37" i="6"/>
  <c r="AO37" i="6"/>
  <c r="AO160" i="6"/>
  <c r="AF160" i="6"/>
  <c r="AO176" i="6"/>
  <c r="AF176" i="6"/>
  <c r="AO90" i="6"/>
  <c r="AF90" i="6"/>
  <c r="AP182" i="6"/>
  <c r="AG182" i="6"/>
  <c r="AP28" i="6"/>
  <c r="AG28" i="6"/>
  <c r="AO91" i="6"/>
  <c r="AF91" i="6"/>
  <c r="AF21" i="6"/>
  <c r="AO21" i="6"/>
  <c r="AO129" i="6"/>
  <c r="AF129" i="6"/>
  <c r="AP23" i="6"/>
  <c r="AG23" i="6"/>
  <c r="AP60" i="6"/>
  <c r="AG60" i="6"/>
  <c r="AO106" i="6"/>
  <c r="AF106" i="6"/>
  <c r="AP133" i="6"/>
  <c r="AG133" i="6"/>
  <c r="AP129" i="6"/>
  <c r="AG129" i="6"/>
  <c r="AP91" i="6"/>
  <c r="AG91" i="6"/>
  <c r="AP167" i="6"/>
  <c r="AG167" i="6"/>
  <c r="AP39" i="6"/>
  <c r="AG39" i="6"/>
  <c r="AP55" i="6"/>
  <c r="AG55" i="6"/>
  <c r="AP99" i="6"/>
  <c r="AG99" i="6"/>
  <c r="AO162" i="6"/>
  <c r="AF162" i="6"/>
  <c r="AE57" i="6"/>
  <c r="AN57" i="6"/>
  <c r="AE157" i="6"/>
  <c r="AN157" i="6"/>
  <c r="AE123" i="6"/>
  <c r="AN123" i="6"/>
  <c r="AE143" i="6"/>
  <c r="AN143" i="6"/>
  <c r="AE102" i="6"/>
  <c r="AN102" i="6"/>
  <c r="AE165" i="6"/>
  <c r="AN165" i="6"/>
  <c r="AE185" i="6"/>
  <c r="AN185" i="6"/>
  <c r="AO116" i="6"/>
  <c r="AF116" i="6"/>
  <c r="AO142" i="6"/>
  <c r="AF142" i="6"/>
  <c r="AO135" i="6"/>
  <c r="AF135" i="6"/>
  <c r="AF92" i="6"/>
  <c r="AO92" i="6"/>
  <c r="AF168" i="6"/>
  <c r="AO168" i="6"/>
  <c r="AO112" i="6"/>
  <c r="AF112" i="6"/>
  <c r="AO104" i="6"/>
  <c r="AF104" i="6"/>
  <c r="AF141" i="6"/>
  <c r="AO141" i="6"/>
  <c r="AO63" i="6"/>
  <c r="AF63" i="6"/>
  <c r="AO145" i="6"/>
  <c r="AF145" i="6"/>
  <c r="AO93" i="6"/>
  <c r="AF93" i="6"/>
  <c r="AO95" i="6"/>
  <c r="AF95" i="6"/>
  <c r="AO183" i="6"/>
  <c r="AF183" i="6"/>
  <c r="AO186" i="6"/>
  <c r="AF186" i="6"/>
  <c r="AO89" i="6"/>
  <c r="AF89" i="6"/>
  <c r="AO173" i="6"/>
  <c r="AF173" i="6"/>
  <c r="AO25" i="6"/>
  <c r="AF25" i="6"/>
  <c r="AG32" i="6"/>
  <c r="AP32" i="6"/>
  <c r="AG53" i="6"/>
  <c r="AP53" i="6"/>
  <c r="AP137" i="6"/>
  <c r="AG137" i="6"/>
  <c r="AF77" i="6"/>
  <c r="AO77" i="6"/>
  <c r="AP108" i="6"/>
  <c r="AG108" i="6"/>
  <c r="AG96" i="6"/>
  <c r="AP96" i="6"/>
  <c r="AP122" i="6"/>
  <c r="AG122" i="6"/>
  <c r="AG24" i="6"/>
  <c r="AP24" i="6"/>
  <c r="AG52" i="6"/>
  <c r="AP52" i="6"/>
  <c r="AO178" i="6"/>
  <c r="AF178" i="6"/>
  <c r="AP94" i="6"/>
  <c r="AG94" i="6"/>
  <c r="AP42" i="6"/>
  <c r="AG42" i="6"/>
  <c r="AP166" i="6"/>
  <c r="AG166" i="6"/>
  <c r="AP128" i="6"/>
  <c r="AG128" i="6"/>
  <c r="AO69" i="6"/>
  <c r="AF69" i="6"/>
  <c r="AP188" i="6"/>
  <c r="AG188" i="6"/>
  <c r="AG48" i="6"/>
  <c r="AP48" i="6"/>
  <c r="AO114" i="6"/>
  <c r="AF114" i="6"/>
  <c r="AO57" i="6"/>
  <c r="AF57" i="6"/>
  <c r="AO73" i="6"/>
  <c r="AF73" i="6"/>
  <c r="AO123" i="6"/>
  <c r="AF123" i="6"/>
  <c r="AO143" i="6"/>
  <c r="AF143" i="6"/>
  <c r="AO185" i="6"/>
  <c r="AF185" i="6"/>
  <c r="AE139" i="6"/>
  <c r="AN139" i="6"/>
  <c r="AE81" i="6"/>
  <c r="AN81" i="6"/>
  <c r="AE180" i="6"/>
  <c r="AN180" i="6"/>
  <c r="AE152" i="6"/>
  <c r="AN152" i="6"/>
  <c r="AE172" i="6"/>
  <c r="AN172" i="6"/>
  <c r="AE87" i="6"/>
  <c r="AN87" i="6"/>
  <c r="AE159" i="6"/>
  <c r="AN159" i="6"/>
  <c r="AE98" i="6"/>
  <c r="AN98" i="6"/>
  <c r="AE61" i="6"/>
  <c r="AN61" i="6"/>
  <c r="AE134" i="6"/>
  <c r="AN134" i="6"/>
  <c r="AE71" i="6"/>
  <c r="AN71" i="6"/>
  <c r="AE164" i="6"/>
  <c r="AN164" i="6"/>
  <c r="AE45" i="6"/>
  <c r="AN45" i="6"/>
  <c r="AE37" i="6"/>
  <c r="AN37" i="6"/>
  <c r="AE155" i="6"/>
  <c r="AN155" i="6"/>
  <c r="AE36" i="6"/>
  <c r="AN36" i="6"/>
  <c r="AE160" i="6"/>
  <c r="AN160" i="6"/>
  <c r="AE107" i="6"/>
  <c r="AN107" i="6"/>
  <c r="AE26" i="6"/>
  <c r="AN26" i="6"/>
  <c r="AE174" i="6"/>
  <c r="AN174" i="6"/>
  <c r="AE132" i="6"/>
  <c r="AN132" i="6"/>
  <c r="AE176" i="6"/>
  <c r="AN176" i="6"/>
  <c r="AE184" i="6"/>
  <c r="AN184" i="6"/>
  <c r="AE158" i="6"/>
  <c r="AN158" i="6"/>
  <c r="AE138" i="6"/>
  <c r="AN138" i="6"/>
  <c r="AP175" i="6"/>
  <c r="AG175" i="6"/>
  <c r="AG147" i="6"/>
  <c r="AP147" i="6"/>
  <c r="AF64" i="6"/>
  <c r="AO64" i="6"/>
  <c r="AO127" i="6"/>
  <c r="AF127" i="6"/>
  <c r="AO75" i="6"/>
  <c r="AF75" i="6"/>
  <c r="AP35" i="6"/>
  <c r="AG35" i="6"/>
  <c r="AO133" i="6"/>
  <c r="AF133" i="6"/>
  <c r="AG62" i="6"/>
  <c r="AP62" i="6"/>
  <c r="AP50" i="6"/>
  <c r="AG50" i="6"/>
  <c r="AO167" i="6"/>
  <c r="AF167" i="6"/>
  <c r="AF140" i="6"/>
  <c r="AO140" i="6"/>
  <c r="AO97" i="6"/>
  <c r="AF97" i="6"/>
  <c r="AP179" i="6"/>
  <c r="AG179" i="6"/>
  <c r="AO58" i="6"/>
  <c r="AF58" i="6"/>
  <c r="AF188" i="6"/>
  <c r="AO188" i="6"/>
  <c r="AE40" i="6"/>
  <c r="BG149" i="2"/>
  <c r="BP149" i="2" s="1"/>
  <c r="P154" i="6" s="1"/>
  <c r="AE73" i="6"/>
  <c r="AE90" i="6"/>
  <c r="BO83" i="2"/>
  <c r="O88" i="6" s="1"/>
  <c r="BO26" i="2"/>
  <c r="O31" i="6" s="1"/>
  <c r="BG47" i="2"/>
  <c r="BH47" i="2" s="1"/>
  <c r="BO81" i="2"/>
  <c r="O86" i="6" s="1"/>
  <c r="BG89" i="2"/>
  <c r="BP89" i="2" s="1"/>
  <c r="P94" i="6" s="1"/>
  <c r="BO74" i="2"/>
  <c r="O79" i="6" s="1"/>
  <c r="BO176" i="2"/>
  <c r="O181" i="6" s="1"/>
  <c r="BG117" i="2"/>
  <c r="BH117" i="2" s="1"/>
  <c r="BG91" i="2"/>
  <c r="BH91" i="2" s="1"/>
  <c r="BG19" i="2"/>
  <c r="BH19" i="2" s="1"/>
  <c r="BQ19" i="2" s="1"/>
  <c r="Q24" i="6" s="1"/>
  <c r="BO108" i="2"/>
  <c r="O113" i="6" s="1"/>
  <c r="BG174" i="2"/>
  <c r="BH174" i="2" s="1"/>
  <c r="BO95" i="2"/>
  <c r="O100" i="6" s="1"/>
  <c r="BG18" i="2"/>
  <c r="BP18" i="2" s="1"/>
  <c r="P23" i="6" s="1"/>
  <c r="BG55" i="2"/>
  <c r="BH55" i="2" s="1"/>
  <c r="BO144" i="2"/>
  <c r="O149" i="6" s="1"/>
  <c r="BO182" i="2"/>
  <c r="O187" i="6" s="1"/>
  <c r="BO104" i="2"/>
  <c r="O109" i="6" s="1"/>
  <c r="BO166" i="2"/>
  <c r="O171" i="6" s="1"/>
  <c r="BO141" i="2"/>
  <c r="O146" i="6" s="1"/>
  <c r="BO172" i="2"/>
  <c r="O177" i="6" s="1"/>
  <c r="BG51" i="2"/>
  <c r="BP51" i="2" s="1"/>
  <c r="P56" i="6" s="1"/>
  <c r="BO125" i="2"/>
  <c r="O130" i="6" s="1"/>
  <c r="BO15" i="2"/>
  <c r="O20" i="6" s="1"/>
  <c r="BO22" i="2"/>
  <c r="O27" i="6" s="1"/>
  <c r="BG33" i="2"/>
  <c r="BH33" i="2" s="1"/>
  <c r="BG119" i="2"/>
  <c r="BH119" i="2" s="1"/>
  <c r="BN79" i="2"/>
  <c r="N84" i="6" s="1"/>
  <c r="BO106" i="2"/>
  <c r="O111" i="6" s="1"/>
  <c r="BN39" i="2"/>
  <c r="N44" i="6" s="1"/>
  <c r="BO98" i="2"/>
  <c r="O103" i="6" s="1"/>
  <c r="BG132" i="2"/>
  <c r="BH132" i="2" s="1"/>
  <c r="BF46" i="2"/>
  <c r="BO46" i="2" s="1"/>
  <c r="O51" i="6" s="1"/>
  <c r="BO96" i="2"/>
  <c r="O101" i="6" s="1"/>
  <c r="BG48" i="2"/>
  <c r="BP48" i="2" s="1"/>
  <c r="P53" i="6" s="1"/>
  <c r="BG103" i="2"/>
  <c r="BH103" i="2" s="1"/>
  <c r="BO114" i="2"/>
  <c r="O119" i="6" s="1"/>
  <c r="BF151" i="2"/>
  <c r="BO151" i="2" s="1"/>
  <c r="O156" i="6" s="1"/>
  <c r="BO24" i="2"/>
  <c r="O29" i="6" s="1"/>
  <c r="BF180" i="2"/>
  <c r="BG180" i="2" s="1"/>
  <c r="BF181" i="2"/>
  <c r="BO181" i="2" s="1"/>
  <c r="O186" i="6" s="1"/>
  <c r="BF31" i="2"/>
  <c r="BO31" i="2" s="1"/>
  <c r="O36" i="6" s="1"/>
  <c r="BN113" i="2"/>
  <c r="N118" i="6" s="1"/>
  <c r="BN129" i="2"/>
  <c r="N134" i="6" s="1"/>
  <c r="BN65" i="2"/>
  <c r="N70" i="6" s="1"/>
  <c r="BN159" i="2"/>
  <c r="N164" i="6" s="1"/>
  <c r="BO28" i="2"/>
  <c r="O33" i="6" s="1"/>
  <c r="BG63" i="2"/>
  <c r="BP63" i="2" s="1"/>
  <c r="P68" i="6" s="1"/>
  <c r="BN158" i="2"/>
  <c r="N163" i="6" s="1"/>
  <c r="BO105" i="2"/>
  <c r="O110" i="6" s="1"/>
  <c r="BF140" i="2"/>
  <c r="BG140" i="2" s="1"/>
  <c r="BF168" i="2"/>
  <c r="BO168" i="2" s="1"/>
  <c r="O173" i="6" s="1"/>
  <c r="BN35" i="2"/>
  <c r="N40" i="6" s="1"/>
  <c r="BF136" i="2"/>
  <c r="BG136" i="2" s="1"/>
  <c r="BG41" i="2"/>
  <c r="BH41" i="2" s="1"/>
  <c r="BF107" i="2"/>
  <c r="BO107" i="2" s="1"/>
  <c r="O112" i="6" s="1"/>
  <c r="BF87" i="2"/>
  <c r="BO87" i="2" s="1"/>
  <c r="O92" i="6" s="1"/>
  <c r="BN169" i="2"/>
  <c r="N174" i="6" s="1"/>
  <c r="BF155" i="2"/>
  <c r="BO155" i="2" s="1"/>
  <c r="O160" i="6" s="1"/>
  <c r="BN153" i="2"/>
  <c r="N158" i="6" s="1"/>
  <c r="BF69" i="2"/>
  <c r="BO69" i="2" s="1"/>
  <c r="O74" i="6" s="1"/>
  <c r="BN152" i="2"/>
  <c r="N157" i="6" s="1"/>
  <c r="BF99" i="2"/>
  <c r="BG99" i="2" s="1"/>
  <c r="BN134" i="2"/>
  <c r="N139" i="6" s="1"/>
  <c r="BF133" i="2"/>
  <c r="BG133" i="2" s="1"/>
  <c r="BG177" i="2"/>
  <c r="BH177" i="2" s="1"/>
  <c r="BG45" i="2"/>
  <c r="BH45" i="2" s="1"/>
  <c r="BG25" i="2"/>
  <c r="BP25" i="2" s="1"/>
  <c r="P30" i="6" s="1"/>
  <c r="BG30" i="2"/>
  <c r="BP30" i="2" s="1"/>
  <c r="P35" i="6" s="1"/>
  <c r="BN127" i="2"/>
  <c r="N132" i="6" s="1"/>
  <c r="BN179" i="2"/>
  <c r="N184" i="6" s="1"/>
  <c r="BF102" i="2"/>
  <c r="BG102" i="2" s="1"/>
  <c r="BF156" i="2"/>
  <c r="BG156" i="2" s="1"/>
  <c r="BF21" i="2"/>
  <c r="BO21" i="2" s="1"/>
  <c r="O26" i="6" s="1"/>
  <c r="BN80" i="2"/>
  <c r="N85" i="6" s="1"/>
  <c r="BF85" i="2"/>
  <c r="BO85" i="2" s="1"/>
  <c r="O90" i="6" s="1"/>
  <c r="BO29" i="2"/>
  <c r="O34" i="6" s="1"/>
  <c r="BF49" i="2"/>
  <c r="BO49" i="2" s="1"/>
  <c r="O54" i="6" s="1"/>
  <c r="BF82" i="2"/>
  <c r="BO82" i="2" s="1"/>
  <c r="O87" i="6" s="1"/>
  <c r="BO121" i="2"/>
  <c r="O126" i="6" s="1"/>
  <c r="BG57" i="2"/>
  <c r="BH57" i="2" s="1"/>
  <c r="AN72" i="4"/>
  <c r="BO143" i="2"/>
  <c r="O148" i="6" s="1"/>
  <c r="BF118" i="2"/>
  <c r="BG118" i="2" s="1"/>
  <c r="BF68" i="2"/>
  <c r="BG68" i="2" s="1"/>
  <c r="BN44" i="2"/>
  <c r="N49" i="6" s="1"/>
  <c r="BF52" i="2"/>
  <c r="BO52" i="2" s="1"/>
  <c r="O57" i="6" s="1"/>
  <c r="BF131" i="2"/>
  <c r="BO131" i="2" s="1"/>
  <c r="O136" i="6" s="1"/>
  <c r="BF138" i="2"/>
  <c r="BG138" i="2" s="1"/>
  <c r="BN97" i="2"/>
  <c r="N102" i="6" s="1"/>
  <c r="BF100" i="2"/>
  <c r="BG100" i="2" s="1"/>
  <c r="BF109" i="2"/>
  <c r="BG109" i="2" s="1"/>
  <c r="BO126" i="2"/>
  <c r="O131" i="6" s="1"/>
  <c r="BO42" i="2"/>
  <c r="O47" i="6" s="1"/>
  <c r="BG27" i="2"/>
  <c r="BH27" i="2" s="1"/>
  <c r="BG67" i="2"/>
  <c r="BF178" i="2"/>
  <c r="BO178" i="2" s="1"/>
  <c r="O183" i="6" s="1"/>
  <c r="BF84" i="2"/>
  <c r="BO84" i="2" s="1"/>
  <c r="O89" i="6" s="1"/>
  <c r="BN93" i="2"/>
  <c r="N98" i="6" s="1"/>
  <c r="BN160" i="2"/>
  <c r="N165" i="6" s="1"/>
  <c r="BF147" i="2"/>
  <c r="BO147" i="2" s="1"/>
  <c r="O152" i="6" s="1"/>
  <c r="BN71" i="2"/>
  <c r="N76" i="6" s="1"/>
  <c r="BO59" i="2"/>
  <c r="O64" i="6" s="1"/>
  <c r="BN76" i="2"/>
  <c r="N81" i="6" s="1"/>
  <c r="BF116" i="2"/>
  <c r="BO116" i="2" s="1"/>
  <c r="O121" i="6" s="1"/>
  <c r="BN73" i="2"/>
  <c r="N78" i="6" s="1"/>
  <c r="BG23" i="2"/>
  <c r="BP23" i="2" s="1"/>
  <c r="P28" i="6" s="1"/>
  <c r="BF175" i="2"/>
  <c r="BO175" i="2" s="1"/>
  <c r="O180" i="6" s="1"/>
  <c r="BN167" i="2"/>
  <c r="N172" i="6" s="1"/>
  <c r="BF163" i="2"/>
  <c r="BO163" i="2" s="1"/>
  <c r="O168" i="6" s="1"/>
  <c r="BN60" i="2"/>
  <c r="N65" i="6" s="1"/>
  <c r="BG142" i="2"/>
  <c r="BH142" i="2" s="1"/>
  <c r="BN146" i="2"/>
  <c r="N151" i="6" s="1"/>
  <c r="BF150" i="2"/>
  <c r="BG150" i="2" s="1"/>
  <c r="BO148" i="2"/>
  <c r="O153" i="6" s="1"/>
  <c r="BO165" i="2"/>
  <c r="O170" i="6" s="1"/>
  <c r="BO139" i="2"/>
  <c r="O144" i="6" s="1"/>
  <c r="BG170" i="2"/>
  <c r="BP170" i="2" s="1"/>
  <c r="P175" i="6" s="1"/>
  <c r="BN115" i="2"/>
  <c r="N120" i="6" s="1"/>
  <c r="BF90" i="2"/>
  <c r="BG90" i="2" s="1"/>
  <c r="BF88" i="2"/>
  <c r="BO88" i="2" s="1"/>
  <c r="O93" i="6" s="1"/>
  <c r="BN145" i="2"/>
  <c r="N150" i="6" s="1"/>
  <c r="BF40" i="2"/>
  <c r="BG40" i="2" s="1"/>
  <c r="BF32" i="2"/>
  <c r="BO32" i="2" s="1"/>
  <c r="O37" i="6" s="1"/>
  <c r="BF171" i="2"/>
  <c r="BO171" i="2" s="1"/>
  <c r="O176" i="6" s="1"/>
  <c r="BN78" i="2"/>
  <c r="N83" i="6" s="1"/>
  <c r="BF58" i="2"/>
  <c r="BG58" i="2" s="1"/>
  <c r="BN56" i="2"/>
  <c r="N61" i="6" s="1"/>
  <c r="BN66" i="2"/>
  <c r="N71" i="6" s="1"/>
  <c r="BN154" i="2"/>
  <c r="N159" i="6" s="1"/>
  <c r="BN112" i="2"/>
  <c r="N117" i="6" s="1"/>
  <c r="BO54" i="2"/>
  <c r="O59" i="6" s="1"/>
  <c r="BF137" i="2"/>
  <c r="BG137" i="2" s="1"/>
  <c r="BF111" i="2"/>
  <c r="BO111" i="2" s="1"/>
  <c r="O116" i="6" s="1"/>
  <c r="BF77" i="2"/>
  <c r="BO77" i="2" s="1"/>
  <c r="O82" i="6" s="1"/>
  <c r="BF130" i="2"/>
  <c r="BG130" i="2" s="1"/>
  <c r="BO75" i="2"/>
  <c r="O80" i="6" s="1"/>
  <c r="BG75" i="2"/>
  <c r="BO36" i="2"/>
  <c r="O41" i="6" s="1"/>
  <c r="BG36" i="2"/>
  <c r="BG157" i="2"/>
  <c r="BO157" i="2"/>
  <c r="O162" i="6" s="1"/>
  <c r="BP20" i="2"/>
  <c r="P25" i="6" s="1"/>
  <c r="BH20" i="2"/>
  <c r="BH24" i="2"/>
  <c r="BP24" i="2"/>
  <c r="P29" i="6" s="1"/>
  <c r="BH148" i="2"/>
  <c r="BP148" i="2"/>
  <c r="P153" i="6" s="1"/>
  <c r="BH165" i="2"/>
  <c r="BP165" i="2"/>
  <c r="P170" i="6" s="1"/>
  <c r="BH54" i="2"/>
  <c r="BP54" i="2"/>
  <c r="P59" i="6" s="1"/>
  <c r="BH104" i="2"/>
  <c r="BP104" i="2"/>
  <c r="P109" i="6" s="1"/>
  <c r="BH22" i="2"/>
  <c r="BP22" i="2"/>
  <c r="P27" i="6" s="1"/>
  <c r="BH16" i="2"/>
  <c r="BP16" i="2"/>
  <c r="P21" i="6" s="1"/>
  <c r="BH42" i="2"/>
  <c r="BP42" i="2"/>
  <c r="P47" i="6" s="1"/>
  <c r="BH144" i="2"/>
  <c r="BP144" i="2"/>
  <c r="P149" i="6" s="1"/>
  <c r="BH101" i="2"/>
  <c r="BP101" i="2"/>
  <c r="P106" i="6" s="1"/>
  <c r="BH86" i="2"/>
  <c r="BP86" i="2"/>
  <c r="P91" i="6" s="1"/>
  <c r="BH183" i="2"/>
  <c r="BP183" i="2"/>
  <c r="P188" i="6" s="1"/>
  <c r="BH61" i="2"/>
  <c r="BP61" i="2"/>
  <c r="P66" i="6" s="1"/>
  <c r="BH139" i="2"/>
  <c r="BP139" i="2"/>
  <c r="P144" i="6" s="1"/>
  <c r="BP106" i="2"/>
  <c r="P111" i="6" s="1"/>
  <c r="BH106" i="2"/>
  <c r="BH164" i="2"/>
  <c r="BP164" i="2"/>
  <c r="P169" i="6" s="1"/>
  <c r="BH176" i="2"/>
  <c r="BP176" i="2"/>
  <c r="P181" i="6" s="1"/>
  <c r="BH126" i="2"/>
  <c r="BP126" i="2"/>
  <c r="P131" i="6" s="1"/>
  <c r="BP72" i="2"/>
  <c r="P77" i="6" s="1"/>
  <c r="BH72" i="2"/>
  <c r="BH29" i="2"/>
  <c r="BP29" i="2"/>
  <c r="P34" i="6" s="1"/>
  <c r="BH161" i="2"/>
  <c r="BP161" i="2"/>
  <c r="P166" i="6" s="1"/>
  <c r="BH53" i="2"/>
  <c r="BP53" i="2"/>
  <c r="P58" i="6" s="1"/>
  <c r="BH34" i="2"/>
  <c r="BP34" i="2"/>
  <c r="P39" i="6" s="1"/>
  <c r="BH108" i="2"/>
  <c r="BP108" i="2"/>
  <c r="P113" i="6" s="1"/>
  <c r="BH43" i="2"/>
  <c r="BP43" i="2"/>
  <c r="P48" i="6" s="1"/>
  <c r="BG146" i="2"/>
  <c r="BO146" i="2"/>
  <c r="O151" i="6" s="1"/>
  <c r="BO39" i="2"/>
  <c r="O44" i="6" s="1"/>
  <c r="BG39" i="2"/>
  <c r="BG169" i="2"/>
  <c r="BO169" i="2"/>
  <c r="O174" i="6" s="1"/>
  <c r="N72" i="4"/>
  <c r="AO72" i="4" s="1"/>
  <c r="BH37" i="2"/>
  <c r="BP37" i="2"/>
  <c r="P42" i="6" s="1"/>
  <c r="BP96" i="2"/>
  <c r="P101" i="6" s="1"/>
  <c r="BH96" i="2"/>
  <c r="BH81" i="2"/>
  <c r="BP81" i="2"/>
  <c r="P86" i="6" s="1"/>
  <c r="BP182" i="2"/>
  <c r="P187" i="6" s="1"/>
  <c r="BH182" i="2"/>
  <c r="BH149" i="2"/>
  <c r="BH59" i="2"/>
  <c r="BP59" i="2"/>
  <c r="P64" i="6" s="1"/>
  <c r="BP95" i="2"/>
  <c r="P100" i="6" s="1"/>
  <c r="BH95" i="2"/>
  <c r="BH143" i="2"/>
  <c r="BP143" i="2"/>
  <c r="P148" i="6" s="1"/>
  <c r="BH15" i="2"/>
  <c r="BP15" i="2"/>
  <c r="P20" i="6" s="1"/>
  <c r="BH98" i="2"/>
  <c r="BP98" i="2"/>
  <c r="P103" i="6" s="1"/>
  <c r="BH162" i="2"/>
  <c r="BP162" i="2"/>
  <c r="P167" i="6" s="1"/>
  <c r="BH121" i="2"/>
  <c r="BP121" i="2"/>
  <c r="P126" i="6" s="1"/>
  <c r="BH74" i="2"/>
  <c r="BP74" i="2"/>
  <c r="P79" i="6" s="1"/>
  <c r="BI62" i="2"/>
  <c r="BQ62" i="2"/>
  <c r="Q67" i="6" s="1"/>
  <c r="BH50" i="2"/>
  <c r="BP50" i="2"/>
  <c r="P55" i="6" s="1"/>
  <c r="BH94" i="2"/>
  <c r="BP94" i="2"/>
  <c r="P99" i="6" s="1"/>
  <c r="BP92" i="2"/>
  <c r="P97" i="6" s="1"/>
  <c r="BH92" i="2"/>
  <c r="BG153" i="2"/>
  <c r="BO153" i="2"/>
  <c r="O158" i="6" s="1"/>
  <c r="BO127" i="2"/>
  <c r="O132" i="6" s="1"/>
  <c r="BG127" i="2"/>
  <c r="BG113" i="2"/>
  <c r="BO113" i="2"/>
  <c r="O118" i="6" s="1"/>
  <c r="BO179" i="2"/>
  <c r="O184" i="6" s="1"/>
  <c r="BG179" i="2"/>
  <c r="BO65" i="2"/>
  <c r="O70" i="6" s="1"/>
  <c r="BG65" i="2"/>
  <c r="BO97" i="2"/>
  <c r="O102" i="6" s="1"/>
  <c r="BG97" i="2"/>
  <c r="BG160" i="2"/>
  <c r="BO160" i="2"/>
  <c r="O165" i="6" s="1"/>
  <c r="BG66" i="2"/>
  <c r="BO66" i="2"/>
  <c r="O71" i="6" s="1"/>
  <c r="BG134" i="2"/>
  <c r="BO134" i="2"/>
  <c r="O139" i="6" s="1"/>
  <c r="BO76" i="2"/>
  <c r="O81" i="6" s="1"/>
  <c r="BG76" i="2"/>
  <c r="BO115" i="2"/>
  <c r="O120" i="6" s="1"/>
  <c r="BG115" i="2"/>
  <c r="BO167" i="2"/>
  <c r="O172" i="6" s="1"/>
  <c r="BG167" i="2"/>
  <c r="BO35" i="2"/>
  <c r="O40" i="6" s="1"/>
  <c r="BG35" i="2"/>
  <c r="BG154" i="2"/>
  <c r="BO154" i="2"/>
  <c r="O159" i="6" s="1"/>
  <c r="BG145" i="2"/>
  <c r="BO145" i="2"/>
  <c r="O150" i="6" s="1"/>
  <c r="BG158" i="2"/>
  <c r="BO158" i="2"/>
  <c r="O163" i="6" s="1"/>
  <c r="BO79" i="2"/>
  <c r="O84" i="6" s="1"/>
  <c r="BG79" i="2"/>
  <c r="BG78" i="2"/>
  <c r="BO78" i="2"/>
  <c r="O83" i="6" s="1"/>
  <c r="BG152" i="2"/>
  <c r="BO152" i="2"/>
  <c r="O157" i="6" s="1"/>
  <c r="BO93" i="2"/>
  <c r="O98" i="6" s="1"/>
  <c r="BG93" i="2"/>
  <c r="BG60" i="2"/>
  <c r="BO60" i="2"/>
  <c r="O65" i="6" s="1"/>
  <c r="BG56" i="2"/>
  <c r="BO56" i="2"/>
  <c r="O61" i="6" s="1"/>
  <c r="BG129" i="2"/>
  <c r="BO129" i="2"/>
  <c r="O134" i="6" s="1"/>
  <c r="BP83" i="2"/>
  <c r="P88" i="6" s="1"/>
  <c r="BH83" i="2"/>
  <c r="BH123" i="2"/>
  <c r="BP123" i="2"/>
  <c r="P128" i="6" s="1"/>
  <c r="BG64" i="2"/>
  <c r="BO64" i="2"/>
  <c r="O69" i="6" s="1"/>
  <c r="BP114" i="2"/>
  <c r="P119" i="6" s="1"/>
  <c r="BH114" i="2"/>
  <c r="BH172" i="2"/>
  <c r="BP172" i="2"/>
  <c r="P177" i="6" s="1"/>
  <c r="BH70" i="2"/>
  <c r="BP70" i="2"/>
  <c r="P75" i="6" s="1"/>
  <c r="BH166" i="2"/>
  <c r="BP166" i="2"/>
  <c r="P171" i="6" s="1"/>
  <c r="BO159" i="2"/>
  <c r="O164" i="6" s="1"/>
  <c r="BG159" i="2"/>
  <c r="BG44" i="2"/>
  <c r="BO44" i="2"/>
  <c r="O49" i="6" s="1"/>
  <c r="BG112" i="2"/>
  <c r="BO112" i="2"/>
  <c r="O117" i="6" s="1"/>
  <c r="BO80" i="2"/>
  <c r="O85" i="6" s="1"/>
  <c r="BG80" i="2"/>
  <c r="BO71" i="2"/>
  <c r="O76" i="6" s="1"/>
  <c r="BG71" i="2"/>
  <c r="BO73" i="2"/>
  <c r="O78" i="6" s="1"/>
  <c r="BG73" i="2"/>
  <c r="BH105" i="2"/>
  <c r="BP105" i="2"/>
  <c r="P110" i="6" s="1"/>
  <c r="BH128" i="2"/>
  <c r="BP128" i="2"/>
  <c r="P133" i="6" s="1"/>
  <c r="BH26" i="2"/>
  <c r="BP26" i="2"/>
  <c r="P31" i="6" s="1"/>
  <c r="BP28" i="2"/>
  <c r="P33" i="6" s="1"/>
  <c r="BH28" i="2"/>
  <c r="BH173" i="2"/>
  <c r="BP173" i="2"/>
  <c r="P178" i="6" s="1"/>
  <c r="BH122" i="2"/>
  <c r="BP122" i="2"/>
  <c r="P127" i="6" s="1"/>
  <c r="BH124" i="2"/>
  <c r="BP124" i="2"/>
  <c r="P129" i="6" s="1"/>
  <c r="BH135" i="2"/>
  <c r="BP135" i="2"/>
  <c r="P140" i="6" s="1"/>
  <c r="BG110" i="2"/>
  <c r="BO110" i="2"/>
  <c r="O115" i="6" s="1"/>
  <c r="BH120" i="2"/>
  <c r="BP120" i="2"/>
  <c r="P125" i="6" s="1"/>
  <c r="BH141" i="2"/>
  <c r="BP141" i="2"/>
  <c r="P146" i="6" s="1"/>
  <c r="BH125" i="2"/>
  <c r="BP125" i="2"/>
  <c r="P130" i="6" s="1"/>
  <c r="AS7" i="2"/>
  <c r="AT17" i="2"/>
  <c r="AD100" i="4"/>
  <c r="AM100" i="4"/>
  <c r="M100" i="4"/>
  <c r="AH164" i="4"/>
  <c r="AQ164" i="4"/>
  <c r="Q164" i="4"/>
  <c r="AF152" i="4"/>
  <c r="AO152" i="4"/>
  <c r="O152" i="4"/>
  <c r="AP144" i="4"/>
  <c r="AG144" i="4"/>
  <c r="P144" i="4"/>
  <c r="AR236" i="4"/>
  <c r="AI236" i="4"/>
  <c r="R236" i="4"/>
  <c r="AG141" i="4"/>
  <c r="AP141" i="4"/>
  <c r="P141" i="4"/>
  <c r="AP202" i="4"/>
  <c r="AG202" i="4"/>
  <c r="P202" i="4"/>
  <c r="AN225" i="4"/>
  <c r="AE225" i="4"/>
  <c r="N225" i="4"/>
  <c r="AO200" i="4"/>
  <c r="AF200" i="4"/>
  <c r="O200" i="4"/>
  <c r="AG96" i="4"/>
  <c r="AP96" i="4"/>
  <c r="P96" i="4"/>
  <c r="AO131" i="4"/>
  <c r="AF131" i="4"/>
  <c r="O131" i="4"/>
  <c r="AO146" i="4"/>
  <c r="AF146" i="4"/>
  <c r="O146" i="4"/>
  <c r="AO235" i="4"/>
  <c r="AF235" i="4"/>
  <c r="O235" i="4"/>
  <c r="AE157" i="4"/>
  <c r="AN157" i="4"/>
  <c r="N157" i="4"/>
  <c r="AN98" i="4"/>
  <c r="AE98" i="4"/>
  <c r="N98" i="4"/>
  <c r="AQ189" i="4"/>
  <c r="AH189" i="4"/>
  <c r="Q189" i="4"/>
  <c r="AN223" i="4"/>
  <c r="AE223" i="4"/>
  <c r="N223" i="4"/>
  <c r="AQ84" i="4"/>
  <c r="AH84" i="4"/>
  <c r="Q84" i="4"/>
  <c r="AG91" i="4"/>
  <c r="AP91" i="4"/>
  <c r="P91" i="4"/>
  <c r="AO126" i="4"/>
  <c r="AF126" i="4"/>
  <c r="O126" i="4"/>
  <c r="AN231" i="4"/>
  <c r="AE231" i="4"/>
  <c r="N231" i="4"/>
  <c r="AN214" i="4"/>
  <c r="AE214" i="4"/>
  <c r="N214" i="4"/>
  <c r="AN199" i="4"/>
  <c r="AE199" i="4"/>
  <c r="N199" i="4"/>
  <c r="AE168" i="4"/>
  <c r="AN168" i="4"/>
  <c r="N168" i="4"/>
  <c r="AI180" i="4"/>
  <c r="AR180" i="4"/>
  <c r="R180" i="4"/>
  <c r="AF216" i="4"/>
  <c r="AO216" i="4"/>
  <c r="O216" i="4"/>
  <c r="AO97" i="4"/>
  <c r="AF97" i="4"/>
  <c r="O97" i="4"/>
  <c r="AF148" i="4"/>
  <c r="AO148" i="4"/>
  <c r="O148" i="4"/>
  <c r="AG143" i="4"/>
  <c r="AP143" i="4"/>
  <c r="P143" i="4"/>
  <c r="AN142" i="4"/>
  <c r="AE142" i="4"/>
  <c r="N142" i="4"/>
  <c r="AN79" i="4"/>
  <c r="AE79" i="4"/>
  <c r="N79" i="4"/>
  <c r="AP237" i="4"/>
  <c r="AG237" i="4"/>
  <c r="P237" i="4"/>
  <c r="AF219" i="4"/>
  <c r="AO219" i="4"/>
  <c r="O219" i="4"/>
  <c r="AH94" i="4"/>
  <c r="AQ94" i="4"/>
  <c r="Q94" i="4"/>
  <c r="AQ208" i="4"/>
  <c r="AH208" i="4"/>
  <c r="Q208" i="4"/>
  <c r="AO147" i="4"/>
  <c r="AF147" i="4"/>
  <c r="O147" i="4"/>
  <c r="AN162" i="4"/>
  <c r="AE162" i="4"/>
  <c r="N162" i="4"/>
  <c r="AG176" i="4"/>
  <c r="AP176" i="4"/>
  <c r="P176" i="4"/>
  <c r="AH137" i="4"/>
  <c r="AQ137" i="4"/>
  <c r="Q137" i="4"/>
  <c r="AN90" i="4"/>
  <c r="AE90" i="4"/>
  <c r="N90" i="4"/>
  <c r="AP182" i="4"/>
  <c r="AG182" i="4"/>
  <c r="P182" i="4"/>
  <c r="AP88" i="4"/>
  <c r="AG88" i="4"/>
  <c r="P88" i="4"/>
  <c r="AF218" i="4"/>
  <c r="AO218" i="4"/>
  <c r="O218" i="4"/>
  <c r="AN118" i="4"/>
  <c r="AE118" i="4"/>
  <c r="N118" i="4"/>
  <c r="AN161" i="4"/>
  <c r="AE161" i="4"/>
  <c r="N161" i="4"/>
  <c r="AH76" i="4"/>
  <c r="AQ76" i="4"/>
  <c r="Q76" i="4"/>
  <c r="AG140" i="4"/>
  <c r="AP140" i="4"/>
  <c r="P140" i="4"/>
  <c r="AQ158" i="4"/>
  <c r="AH158" i="4"/>
  <c r="Q158" i="4"/>
  <c r="AG178" i="4"/>
  <c r="AP178" i="4"/>
  <c r="P178" i="4"/>
  <c r="AO150" i="4"/>
  <c r="AF150" i="4"/>
  <c r="O150" i="4"/>
  <c r="AO105" i="4"/>
  <c r="AF105" i="4"/>
  <c r="O105" i="4"/>
  <c r="AO95" i="4"/>
  <c r="AF95" i="4"/>
  <c r="O95" i="4"/>
  <c r="AQ116" i="4"/>
  <c r="AH116" i="4"/>
  <c r="Q116" i="4"/>
  <c r="AH234" i="4"/>
  <c r="AQ234" i="4"/>
  <c r="Q234" i="4"/>
  <c r="AN138" i="4"/>
  <c r="AE138" i="4"/>
  <c r="N138" i="4"/>
  <c r="AO194" i="4"/>
  <c r="AF194" i="4"/>
  <c r="O194" i="4"/>
  <c r="AP207" i="4"/>
  <c r="AG207" i="4"/>
  <c r="P207" i="4"/>
  <c r="AH185" i="4"/>
  <c r="AQ185" i="4"/>
  <c r="Q185" i="4"/>
  <c r="AN179" i="4"/>
  <c r="AE179" i="4"/>
  <c r="N179" i="4"/>
  <c r="AQ85" i="4"/>
  <c r="AH85" i="4"/>
  <c r="Q85" i="4"/>
  <c r="AF133" i="4"/>
  <c r="AO133" i="4"/>
  <c r="O133" i="4"/>
  <c r="AF115" i="4"/>
  <c r="AO115" i="4"/>
  <c r="O115" i="4"/>
  <c r="AF93" i="4"/>
  <c r="AO93" i="4"/>
  <c r="O93" i="4"/>
  <c r="AE130" i="4"/>
  <c r="AN130" i="4"/>
  <c r="N130" i="4"/>
  <c r="AN86" i="4"/>
  <c r="AE86" i="4"/>
  <c r="N86" i="4"/>
  <c r="AP77" i="4"/>
  <c r="AG77" i="4"/>
  <c r="P77" i="4"/>
  <c r="AO169" i="4"/>
  <c r="AF169" i="4"/>
  <c r="O169" i="4"/>
  <c r="AN109" i="4"/>
  <c r="AE109" i="4"/>
  <c r="N109" i="4"/>
  <c r="AN192" i="4"/>
  <c r="AE192" i="4"/>
  <c r="N192" i="4"/>
  <c r="AE197" i="4"/>
  <c r="AN197" i="4"/>
  <c r="N197" i="4"/>
  <c r="AN134" i="4"/>
  <c r="AE134" i="4"/>
  <c r="N134" i="4"/>
  <c r="AE173" i="4"/>
  <c r="AN173" i="4"/>
  <c r="N173" i="4"/>
  <c r="AO238" i="4"/>
  <c r="AF238" i="4"/>
  <c r="O238" i="4"/>
  <c r="AE108" i="4"/>
  <c r="AN108" i="4"/>
  <c r="N108" i="4"/>
  <c r="AG132" i="4"/>
  <c r="AP132" i="4"/>
  <c r="P132" i="4"/>
  <c r="AO80" i="4"/>
  <c r="AF80" i="4"/>
  <c r="O80" i="4"/>
  <c r="AO230" i="4"/>
  <c r="AF230" i="4"/>
  <c r="O230" i="4"/>
  <c r="AG110" i="4"/>
  <c r="AP110" i="4"/>
  <c r="P110" i="4"/>
  <c r="AF74" i="4"/>
  <c r="AO74" i="4"/>
  <c r="O74" i="4"/>
  <c r="AN124" i="4"/>
  <c r="AE124" i="4"/>
  <c r="N124" i="4"/>
  <c r="AO112" i="4"/>
  <c r="AF112" i="4"/>
  <c r="O112" i="4"/>
  <c r="AO229" i="4"/>
  <c r="AF229" i="4"/>
  <c r="O229" i="4"/>
  <c r="AE78" i="4"/>
  <c r="AN78" i="4"/>
  <c r="N78" i="4"/>
  <c r="AP125" i="4"/>
  <c r="AG125" i="4"/>
  <c r="P125" i="4"/>
  <c r="AQ222" i="4"/>
  <c r="AH222" i="4"/>
  <c r="Q222" i="4"/>
  <c r="AH175" i="4"/>
  <c r="AQ175" i="4"/>
  <c r="Q175" i="4"/>
  <c r="AP83" i="4"/>
  <c r="AG83" i="4"/>
  <c r="P83" i="4"/>
  <c r="AE177" i="4"/>
  <c r="AN177" i="4"/>
  <c r="N177" i="4"/>
  <c r="AE165" i="4"/>
  <c r="AN165" i="4"/>
  <c r="N165" i="4"/>
  <c r="AF172" i="4"/>
  <c r="AO172" i="4"/>
  <c r="O172" i="4"/>
  <c r="AO155" i="4"/>
  <c r="AF155" i="4"/>
  <c r="O155" i="4"/>
  <c r="AE103" i="4"/>
  <c r="AN103" i="4"/>
  <c r="N103" i="4"/>
  <c r="AN92" i="4"/>
  <c r="AE92" i="4"/>
  <c r="N92" i="4"/>
  <c r="AE210" i="4"/>
  <c r="AN210" i="4"/>
  <c r="N210" i="4"/>
  <c r="AP188" i="4"/>
  <c r="AG188" i="4"/>
  <c r="P188" i="4"/>
  <c r="AE122" i="4"/>
  <c r="AN122" i="4"/>
  <c r="N122" i="4"/>
  <c r="AE159" i="4"/>
  <c r="AN159" i="4"/>
  <c r="N159" i="4"/>
  <c r="AF123" i="4"/>
  <c r="AO123" i="4"/>
  <c r="O123" i="4"/>
  <c r="AH156" i="4"/>
  <c r="AQ156" i="4"/>
  <c r="Q156" i="4"/>
  <c r="AF196" i="4"/>
  <c r="AO196" i="4"/>
  <c r="O196" i="4"/>
  <c r="AQ191" i="4"/>
  <c r="AH191" i="4"/>
  <c r="Q191" i="4"/>
  <c r="AG183" i="4"/>
  <c r="AP183" i="4"/>
  <c r="P183" i="4"/>
  <c r="AG82" i="4"/>
  <c r="AP82" i="4"/>
  <c r="P82" i="4"/>
  <c r="AN113" i="4"/>
  <c r="AE113" i="4"/>
  <c r="N113" i="4"/>
  <c r="AO181" i="4"/>
  <c r="AF181" i="4"/>
  <c r="O181" i="4"/>
  <c r="AN220" i="4"/>
  <c r="AE220" i="4"/>
  <c r="N220" i="4"/>
  <c r="AE209" i="4"/>
  <c r="AN209" i="4"/>
  <c r="N209" i="4"/>
  <c r="AQ128" i="4"/>
  <c r="AH128" i="4"/>
  <c r="Q128" i="4"/>
  <c r="AN87" i="4"/>
  <c r="AE87" i="4"/>
  <c r="N87" i="4"/>
  <c r="AN89" i="4"/>
  <c r="AE89" i="4"/>
  <c r="N89" i="4"/>
  <c r="AN184" i="4"/>
  <c r="AE184" i="4"/>
  <c r="N184" i="4"/>
  <c r="AQ121" i="4"/>
  <c r="AH121" i="4"/>
  <c r="Q121" i="4"/>
  <c r="AN117" i="4"/>
  <c r="AE117" i="4"/>
  <c r="N117" i="4"/>
  <c r="AH114" i="4"/>
  <c r="AQ114" i="4"/>
  <c r="Q114" i="4"/>
  <c r="AP75" i="4"/>
  <c r="AG75" i="4"/>
  <c r="P75" i="4"/>
  <c r="AO163" i="4"/>
  <c r="AF163" i="4"/>
  <c r="O163" i="4"/>
  <c r="AP212" i="4"/>
  <c r="AG212" i="4"/>
  <c r="P212" i="4"/>
  <c r="AN104" i="4"/>
  <c r="AE104" i="4"/>
  <c r="N104" i="4"/>
  <c r="AF227" i="4"/>
  <c r="AO227" i="4"/>
  <c r="O227" i="4"/>
  <c r="AP149" i="4"/>
  <c r="AG149" i="4"/>
  <c r="P149" i="4"/>
  <c r="AE190" i="4"/>
  <c r="AN190" i="4"/>
  <c r="N190" i="4"/>
  <c r="AP81" i="4"/>
  <c r="AG81" i="4"/>
  <c r="P81" i="4"/>
  <c r="AO193" i="4"/>
  <c r="AF193" i="4"/>
  <c r="O193" i="4"/>
  <c r="AN226" i="4"/>
  <c r="AE226" i="4"/>
  <c r="N226" i="4"/>
  <c r="AG166" i="4"/>
  <c r="AP166" i="4"/>
  <c r="P166" i="4"/>
  <c r="AO215" i="4"/>
  <c r="AF215" i="4"/>
  <c r="O215" i="4"/>
  <c r="AF170" i="4"/>
  <c r="AO170" i="4"/>
  <c r="O170" i="4"/>
  <c r="AP153" i="4"/>
  <c r="AG153" i="4"/>
  <c r="P153" i="4"/>
  <c r="AE111" i="4"/>
  <c r="AN111" i="4"/>
  <c r="N111" i="4"/>
  <c r="AF233" i="4"/>
  <c r="AO233" i="4"/>
  <c r="O233" i="4"/>
  <c r="AO203" i="4"/>
  <c r="AF203" i="4"/>
  <c r="O203" i="4"/>
  <c r="AF145" i="4"/>
  <c r="AO145" i="4"/>
  <c r="O145" i="4"/>
  <c r="AG120" i="4"/>
  <c r="AP120" i="4"/>
  <c r="P120" i="4"/>
  <c r="AF232" i="4"/>
  <c r="AO232" i="4"/>
  <c r="O232" i="4"/>
  <c r="AN206" i="4"/>
  <c r="AE206" i="4"/>
  <c r="N206" i="4"/>
  <c r="AE198" i="4"/>
  <c r="AN198" i="4"/>
  <c r="N198" i="4"/>
  <c r="AO73" i="4"/>
  <c r="AF73" i="4"/>
  <c r="O73" i="4"/>
  <c r="AN167" i="4"/>
  <c r="AE167" i="4"/>
  <c r="N167" i="4"/>
  <c r="AO221" i="4"/>
  <c r="AF221" i="4"/>
  <c r="O221" i="4"/>
  <c r="AE135" i="4"/>
  <c r="AN135" i="4"/>
  <c r="N135" i="4"/>
  <c r="AF240" i="4"/>
  <c r="AO240" i="4"/>
  <c r="O240" i="4"/>
  <c r="AO186" i="4"/>
  <c r="AF186" i="4"/>
  <c r="O186" i="4"/>
  <c r="AP139" i="4"/>
  <c r="AG139" i="4"/>
  <c r="P139" i="4"/>
  <c r="AP195" i="4"/>
  <c r="AG195" i="4"/>
  <c r="P195" i="4"/>
  <c r="AQ213" i="4"/>
  <c r="AH213" i="4"/>
  <c r="Q213" i="4"/>
  <c r="AE160" i="4"/>
  <c r="AN160" i="4"/>
  <c r="N160" i="4"/>
  <c r="AE101" i="4"/>
  <c r="AN101" i="4"/>
  <c r="N101" i="4"/>
  <c r="AO136" i="4"/>
  <c r="AF136" i="4"/>
  <c r="O136" i="4"/>
  <c r="AE224" i="4"/>
  <c r="AN224" i="4"/>
  <c r="N224" i="4"/>
  <c r="AO171" i="4"/>
  <c r="AF171" i="4"/>
  <c r="O171" i="4"/>
  <c r="AE211" i="4"/>
  <c r="AN211" i="4"/>
  <c r="N211" i="4"/>
  <c r="AF174" i="4"/>
  <c r="AO174" i="4"/>
  <c r="O174" i="4"/>
  <c r="AF99" i="4"/>
  <c r="AO99" i="4"/>
  <c r="O99" i="4"/>
  <c r="AH205" i="4"/>
  <c r="AQ205" i="4"/>
  <c r="Q205" i="4"/>
  <c r="AF107" i="4"/>
  <c r="AO107" i="4"/>
  <c r="O107" i="4"/>
  <c r="AN129" i="4"/>
  <c r="AE129" i="4"/>
  <c r="N129" i="4"/>
  <c r="AH228" i="4"/>
  <c r="AQ228" i="4"/>
  <c r="Q228" i="4"/>
  <c r="AN102" i="4"/>
  <c r="AE102" i="4"/>
  <c r="N102" i="4"/>
  <c r="AN106" i="4"/>
  <c r="AE106" i="4"/>
  <c r="N106" i="4"/>
  <c r="AN119" i="4"/>
  <c r="AE119" i="4"/>
  <c r="N119" i="4"/>
  <c r="AE187" i="4"/>
  <c r="AN187" i="4"/>
  <c r="N187" i="4"/>
  <c r="AN151" i="4"/>
  <c r="AE151" i="4"/>
  <c r="N151" i="4"/>
  <c r="AF127" i="4"/>
  <c r="AO127" i="4"/>
  <c r="O127" i="4"/>
  <c r="AP239" i="4"/>
  <c r="AG239" i="4"/>
  <c r="P239" i="4"/>
  <c r="AN217" i="4"/>
  <c r="AE217" i="4"/>
  <c r="N217" i="4"/>
  <c r="AO204" i="4"/>
  <c r="AF204" i="4"/>
  <c r="O204" i="4"/>
  <c r="AO154" i="4"/>
  <c r="AF154" i="4"/>
  <c r="O154" i="4"/>
  <c r="AR201" i="4"/>
  <c r="AI201" i="4"/>
  <c r="R201" i="4"/>
  <c r="BP38" i="2" l="1"/>
  <c r="P43" i="6" s="1"/>
  <c r="AQ43" i="6" s="1"/>
  <c r="BI19" i="2"/>
  <c r="BJ19" i="2" s="1"/>
  <c r="BK19" i="2" s="1"/>
  <c r="BT19" i="2" s="1"/>
  <c r="T24" i="6" s="1"/>
  <c r="AU24" i="6" s="1"/>
  <c r="AH67" i="6"/>
  <c r="BH89" i="2"/>
  <c r="BP19" i="2"/>
  <c r="P24" i="6" s="1"/>
  <c r="AQ24" i="6" s="1"/>
  <c r="AP173" i="6"/>
  <c r="AG173" i="6"/>
  <c r="AG100" i="6"/>
  <c r="AP100" i="6"/>
  <c r="AQ146" i="6"/>
  <c r="AH146" i="6"/>
  <c r="AP115" i="6"/>
  <c r="AG115" i="6"/>
  <c r="AL24" i="6"/>
  <c r="AH33" i="6"/>
  <c r="AQ33" i="6"/>
  <c r="AP78" i="6"/>
  <c r="AG78" i="6"/>
  <c r="AP85" i="6"/>
  <c r="AG85" i="6"/>
  <c r="AQ171" i="6"/>
  <c r="AH171" i="6"/>
  <c r="AQ177" i="6"/>
  <c r="AH177" i="6"/>
  <c r="AP69" i="6"/>
  <c r="AG69" i="6"/>
  <c r="AP61" i="6"/>
  <c r="AG61" i="6"/>
  <c r="AP83" i="6"/>
  <c r="AG83" i="6"/>
  <c r="AP163" i="6"/>
  <c r="AG163" i="6"/>
  <c r="AP159" i="6"/>
  <c r="AG159" i="6"/>
  <c r="AP71" i="6"/>
  <c r="AG71" i="6"/>
  <c r="AQ55" i="6"/>
  <c r="AH55" i="6"/>
  <c r="AQ79" i="6"/>
  <c r="AH79" i="6"/>
  <c r="AQ167" i="6"/>
  <c r="AH167" i="6"/>
  <c r="F122" i="1"/>
  <c r="AQ20" i="6"/>
  <c r="AH20" i="6"/>
  <c r="BP91" i="2"/>
  <c r="P96" i="6" s="1"/>
  <c r="AH25" i="6"/>
  <c r="AQ25" i="6"/>
  <c r="AP41" i="6"/>
  <c r="AG41" i="6"/>
  <c r="AP82" i="6"/>
  <c r="AG82" i="6"/>
  <c r="AO117" i="6"/>
  <c r="AF117" i="6"/>
  <c r="AF120" i="6"/>
  <c r="AO120" i="6"/>
  <c r="AP153" i="6"/>
  <c r="AG153" i="6"/>
  <c r="AO65" i="6"/>
  <c r="AF65" i="6"/>
  <c r="AQ28" i="6"/>
  <c r="AH28" i="6"/>
  <c r="AG64" i="6"/>
  <c r="AP64" i="6"/>
  <c r="AO98" i="6"/>
  <c r="AF98" i="6"/>
  <c r="AP57" i="6"/>
  <c r="AG57" i="6"/>
  <c r="AP148" i="6"/>
  <c r="AG148" i="6"/>
  <c r="AP87" i="6"/>
  <c r="AG87" i="6"/>
  <c r="AF85" i="6"/>
  <c r="AO85" i="6"/>
  <c r="AO184" i="6"/>
  <c r="AF184" i="6"/>
  <c r="AP160" i="6"/>
  <c r="AG160" i="6"/>
  <c r="AP33" i="6"/>
  <c r="AG33" i="6"/>
  <c r="AO118" i="6"/>
  <c r="AF118" i="6"/>
  <c r="AP29" i="6"/>
  <c r="AG29" i="6"/>
  <c r="AQ53" i="6"/>
  <c r="AH53" i="6"/>
  <c r="AG103" i="6"/>
  <c r="AP103" i="6"/>
  <c r="AG20" i="6"/>
  <c r="E122" i="1"/>
  <c r="AP20" i="6"/>
  <c r="AP146" i="6"/>
  <c r="AG146" i="6"/>
  <c r="AP149" i="6"/>
  <c r="AG149" i="6"/>
  <c r="AP86" i="6"/>
  <c r="AG86" i="6"/>
  <c r="AQ127" i="6"/>
  <c r="AH127" i="6"/>
  <c r="AP49" i="6"/>
  <c r="AG49" i="6"/>
  <c r="AP84" i="6"/>
  <c r="AG84" i="6"/>
  <c r="AP120" i="6"/>
  <c r="AG120" i="6"/>
  <c r="AQ86" i="6"/>
  <c r="AH86" i="6"/>
  <c r="AQ113" i="6"/>
  <c r="AH113" i="6"/>
  <c r="AQ34" i="6"/>
  <c r="AH34" i="6"/>
  <c r="AQ169" i="6"/>
  <c r="AH169" i="6"/>
  <c r="AQ188" i="6"/>
  <c r="AH188" i="6"/>
  <c r="AQ47" i="6"/>
  <c r="AH47" i="6"/>
  <c r="AQ27" i="6"/>
  <c r="AH27" i="6"/>
  <c r="AQ59" i="6"/>
  <c r="AH59" i="6"/>
  <c r="AO61" i="6"/>
  <c r="AF61" i="6"/>
  <c r="AP170" i="6"/>
  <c r="AG170" i="6"/>
  <c r="AO81" i="6"/>
  <c r="AF81" i="6"/>
  <c r="AP136" i="6"/>
  <c r="AG136" i="6"/>
  <c r="AP90" i="6"/>
  <c r="AG90" i="6"/>
  <c r="AQ30" i="6"/>
  <c r="AH30" i="6"/>
  <c r="AO158" i="6"/>
  <c r="AF158" i="6"/>
  <c r="AO134" i="6"/>
  <c r="AF134" i="6"/>
  <c r="AP187" i="6"/>
  <c r="AG187" i="6"/>
  <c r="AP88" i="6"/>
  <c r="AG88" i="6"/>
  <c r="AQ129" i="6"/>
  <c r="AH129" i="6"/>
  <c r="AQ178" i="6"/>
  <c r="AH178" i="6"/>
  <c r="AQ31" i="6"/>
  <c r="AH31" i="6"/>
  <c r="AQ110" i="6"/>
  <c r="AH110" i="6"/>
  <c r="AP117" i="6"/>
  <c r="AG117" i="6"/>
  <c r="AQ88" i="6"/>
  <c r="AH88" i="6"/>
  <c r="AP98" i="6"/>
  <c r="AG98" i="6"/>
  <c r="AP172" i="6"/>
  <c r="AG172" i="6"/>
  <c r="AP81" i="6"/>
  <c r="AG81" i="6"/>
  <c r="AP102" i="6"/>
  <c r="AG102" i="6"/>
  <c r="AP184" i="6"/>
  <c r="AG184" i="6"/>
  <c r="AP132" i="6"/>
  <c r="AG132" i="6"/>
  <c r="AQ97" i="6"/>
  <c r="AH97" i="6"/>
  <c r="AQ100" i="6"/>
  <c r="AH100" i="6"/>
  <c r="AP44" i="6"/>
  <c r="AG44" i="6"/>
  <c r="AQ48" i="6"/>
  <c r="AH48" i="6"/>
  <c r="AQ39" i="6"/>
  <c r="AH39" i="6"/>
  <c r="AQ166" i="6"/>
  <c r="AH166" i="6"/>
  <c r="AQ181" i="6"/>
  <c r="AH181" i="6"/>
  <c r="AQ66" i="6"/>
  <c r="AH66" i="6"/>
  <c r="AQ91" i="6"/>
  <c r="AH91" i="6"/>
  <c r="AQ149" i="6"/>
  <c r="AH149" i="6"/>
  <c r="AQ21" i="6"/>
  <c r="AH21" i="6"/>
  <c r="AQ109" i="6"/>
  <c r="AH109" i="6"/>
  <c r="AQ170" i="6"/>
  <c r="AH170" i="6"/>
  <c r="AH29" i="6"/>
  <c r="AQ29" i="6"/>
  <c r="AP162" i="6"/>
  <c r="AG162" i="6"/>
  <c r="AP116" i="6"/>
  <c r="AG116" i="6"/>
  <c r="AO159" i="6"/>
  <c r="AF159" i="6"/>
  <c r="AO83" i="6"/>
  <c r="AF83" i="6"/>
  <c r="AO150" i="6"/>
  <c r="AF150" i="6"/>
  <c r="AQ175" i="6"/>
  <c r="AH175" i="6"/>
  <c r="AP168" i="6"/>
  <c r="AG168" i="6"/>
  <c r="AO78" i="6"/>
  <c r="AF78" i="6"/>
  <c r="AO76" i="6"/>
  <c r="AF76" i="6"/>
  <c r="AP89" i="6"/>
  <c r="AG89" i="6"/>
  <c r="AP47" i="6"/>
  <c r="AG47" i="6"/>
  <c r="AO102" i="6"/>
  <c r="AF102" i="6"/>
  <c r="AF49" i="6"/>
  <c r="AO49" i="6"/>
  <c r="AP54" i="6"/>
  <c r="AG54" i="6"/>
  <c r="AP26" i="6"/>
  <c r="AG26" i="6"/>
  <c r="AF132" i="6"/>
  <c r="AO132" i="6"/>
  <c r="AO157" i="6"/>
  <c r="AF157" i="6"/>
  <c r="AO174" i="6"/>
  <c r="AF174" i="6"/>
  <c r="AP110" i="6"/>
  <c r="AG110" i="6"/>
  <c r="AO164" i="6"/>
  <c r="AF164" i="6"/>
  <c r="AP36" i="6"/>
  <c r="AG36" i="6"/>
  <c r="AP156" i="6"/>
  <c r="AG156" i="6"/>
  <c r="AP101" i="6"/>
  <c r="AG101" i="6"/>
  <c r="AF44" i="6"/>
  <c r="AO44" i="6"/>
  <c r="AP130" i="6"/>
  <c r="AG130" i="6"/>
  <c r="AP171" i="6"/>
  <c r="AG171" i="6"/>
  <c r="AP113" i="6"/>
  <c r="AG113" i="6"/>
  <c r="AP181" i="6"/>
  <c r="AG181" i="6"/>
  <c r="AQ133" i="6"/>
  <c r="AH133" i="6"/>
  <c r="AQ119" i="6"/>
  <c r="AH119" i="6"/>
  <c r="AG40" i="6"/>
  <c r="AP40" i="6"/>
  <c r="AP70" i="6"/>
  <c r="AG70" i="6"/>
  <c r="AH42" i="6"/>
  <c r="AQ42" i="6"/>
  <c r="AQ58" i="6"/>
  <c r="AH58" i="6"/>
  <c r="AQ131" i="6"/>
  <c r="AH131" i="6"/>
  <c r="AQ144" i="6"/>
  <c r="AH144" i="6"/>
  <c r="AQ106" i="6"/>
  <c r="AH106" i="6"/>
  <c r="AQ153" i="6"/>
  <c r="AH153" i="6"/>
  <c r="AP59" i="6"/>
  <c r="AG59" i="6"/>
  <c r="AG37" i="6"/>
  <c r="AP37" i="6"/>
  <c r="AP180" i="6"/>
  <c r="AG180" i="6"/>
  <c r="AO165" i="6"/>
  <c r="AF165" i="6"/>
  <c r="AP126" i="6"/>
  <c r="AG126" i="6"/>
  <c r="AO139" i="6"/>
  <c r="AF139" i="6"/>
  <c r="AG112" i="6"/>
  <c r="AP112" i="6"/>
  <c r="AQ68" i="6"/>
  <c r="AH68" i="6"/>
  <c r="AO84" i="6"/>
  <c r="AF84" i="6"/>
  <c r="AP177" i="6"/>
  <c r="AG177" i="6"/>
  <c r="AQ94" i="6"/>
  <c r="AH94" i="6"/>
  <c r="AH130" i="6"/>
  <c r="AQ130" i="6"/>
  <c r="AQ125" i="6"/>
  <c r="AH125" i="6"/>
  <c r="AQ140" i="6"/>
  <c r="AH140" i="6"/>
  <c r="AP76" i="6"/>
  <c r="AG76" i="6"/>
  <c r="AP164" i="6"/>
  <c r="AG164" i="6"/>
  <c r="AQ75" i="6"/>
  <c r="AH75" i="6"/>
  <c r="AQ128" i="6"/>
  <c r="AH128" i="6"/>
  <c r="AP134" i="6"/>
  <c r="AG134" i="6"/>
  <c r="AP65" i="6"/>
  <c r="AG65" i="6"/>
  <c r="AP157" i="6"/>
  <c r="AG157" i="6"/>
  <c r="AP150" i="6"/>
  <c r="AG150" i="6"/>
  <c r="AP139" i="6"/>
  <c r="AG139" i="6"/>
  <c r="AP165" i="6"/>
  <c r="AG165" i="6"/>
  <c r="AP118" i="6"/>
  <c r="AG118" i="6"/>
  <c r="AP158" i="6"/>
  <c r="AG158" i="6"/>
  <c r="AQ99" i="6"/>
  <c r="AH99" i="6"/>
  <c r="AI67" i="6"/>
  <c r="AR67" i="6"/>
  <c r="AQ126" i="6"/>
  <c r="AH126" i="6"/>
  <c r="AQ103" i="6"/>
  <c r="AH103" i="6"/>
  <c r="AQ148" i="6"/>
  <c r="AH148" i="6"/>
  <c r="AQ64" i="6"/>
  <c r="AH64" i="6"/>
  <c r="AQ187" i="6"/>
  <c r="AH187" i="6"/>
  <c r="AQ101" i="6"/>
  <c r="AH101" i="6"/>
  <c r="AP174" i="6"/>
  <c r="AG174" i="6"/>
  <c r="AG151" i="6"/>
  <c r="AP151" i="6"/>
  <c r="AH77" i="6"/>
  <c r="AQ77" i="6"/>
  <c r="AQ111" i="6"/>
  <c r="AH111" i="6"/>
  <c r="AP80" i="6"/>
  <c r="AG80" i="6"/>
  <c r="AO71" i="6"/>
  <c r="AF71" i="6"/>
  <c r="AP176" i="6"/>
  <c r="AG176" i="6"/>
  <c r="AG93" i="6"/>
  <c r="AP93" i="6"/>
  <c r="AG144" i="6"/>
  <c r="AP144" i="6"/>
  <c r="AO151" i="6"/>
  <c r="AF151" i="6"/>
  <c r="AO172" i="6"/>
  <c r="AF172" i="6"/>
  <c r="AG121" i="6"/>
  <c r="AP121" i="6"/>
  <c r="AP152" i="6"/>
  <c r="AG152" i="6"/>
  <c r="AP183" i="6"/>
  <c r="AG183" i="6"/>
  <c r="AP131" i="6"/>
  <c r="AG131" i="6"/>
  <c r="AP34" i="6"/>
  <c r="AG34" i="6"/>
  <c r="AQ35" i="6"/>
  <c r="AH35" i="6"/>
  <c r="AP74" i="6"/>
  <c r="AG74" i="6"/>
  <c r="AP92" i="6"/>
  <c r="AG92" i="6"/>
  <c r="AO40" i="6"/>
  <c r="AF40" i="6"/>
  <c r="AO163" i="6"/>
  <c r="AF163" i="6"/>
  <c r="AO70" i="6"/>
  <c r="AF70" i="6"/>
  <c r="AP186" i="6"/>
  <c r="AG186" i="6"/>
  <c r="AG119" i="6"/>
  <c r="AP119" i="6"/>
  <c r="AP51" i="6"/>
  <c r="AG51" i="6"/>
  <c r="AP111" i="6"/>
  <c r="AG111" i="6"/>
  <c r="AP27" i="6"/>
  <c r="AG27" i="6"/>
  <c r="AQ56" i="6"/>
  <c r="AH56" i="6"/>
  <c r="AP109" i="6"/>
  <c r="AG109" i="6"/>
  <c r="AQ23" i="6"/>
  <c r="AH23" i="6"/>
  <c r="AR24" i="6"/>
  <c r="AI24" i="6"/>
  <c r="AP79" i="6"/>
  <c r="AG79" i="6"/>
  <c r="AP31" i="6"/>
  <c r="AG31" i="6"/>
  <c r="AQ154" i="6"/>
  <c r="AH154" i="6"/>
  <c r="BP174" i="2"/>
  <c r="P179" i="6" s="1"/>
  <c r="BP47" i="2"/>
  <c r="P52" i="6" s="1"/>
  <c r="BP117" i="2"/>
  <c r="P122" i="6" s="1"/>
  <c r="BH18" i="2"/>
  <c r="BI18" i="2" s="1"/>
  <c r="BJ18" i="2" s="1"/>
  <c r="BK18" i="2" s="1"/>
  <c r="BT18" i="2" s="1"/>
  <c r="T23" i="6" s="1"/>
  <c r="BP55" i="2"/>
  <c r="P60" i="6" s="1"/>
  <c r="BP57" i="2"/>
  <c r="P62" i="6" s="1"/>
  <c r="O72" i="4"/>
  <c r="P72" i="4" s="1"/>
  <c r="BH63" i="2"/>
  <c r="BI63" i="2" s="1"/>
  <c r="BH48" i="2"/>
  <c r="BI48" i="2" s="1"/>
  <c r="BP132" i="2"/>
  <c r="P137" i="6" s="1"/>
  <c r="BP119" i="2"/>
  <c r="P124" i="6" s="1"/>
  <c r="BG49" i="2"/>
  <c r="BP49" i="2" s="1"/>
  <c r="P54" i="6" s="1"/>
  <c r="BH25" i="2"/>
  <c r="BI25" i="2" s="1"/>
  <c r="BO102" i="2"/>
  <c r="O107" i="6" s="1"/>
  <c r="BP103" i="2"/>
  <c r="P108" i="6" s="1"/>
  <c r="BG87" i="2"/>
  <c r="BP87" i="2" s="1"/>
  <c r="P92" i="6" s="1"/>
  <c r="BG69" i="2"/>
  <c r="BH69" i="2" s="1"/>
  <c r="BH51" i="2"/>
  <c r="BI51" i="2" s="1"/>
  <c r="BG46" i="2"/>
  <c r="BH46" i="2" s="1"/>
  <c r="BH30" i="2"/>
  <c r="BI30" i="2" s="1"/>
  <c r="BG82" i="2"/>
  <c r="BH82" i="2" s="1"/>
  <c r="BO136" i="2"/>
  <c r="O141" i="6" s="1"/>
  <c r="BG107" i="2"/>
  <c r="BH107" i="2" s="1"/>
  <c r="BO99" i="2"/>
  <c r="O104" i="6" s="1"/>
  <c r="BO118" i="2"/>
  <c r="O123" i="6" s="1"/>
  <c r="BG181" i="2"/>
  <c r="BH181" i="2" s="1"/>
  <c r="BG21" i="2"/>
  <c r="BH21" i="2" s="1"/>
  <c r="BP33" i="2"/>
  <c r="P38" i="6" s="1"/>
  <c r="BG52" i="2"/>
  <c r="BH52" i="2" s="1"/>
  <c r="BP177" i="2"/>
  <c r="P182" i="6" s="1"/>
  <c r="BG151" i="2"/>
  <c r="BP151" i="2" s="1"/>
  <c r="P156" i="6" s="1"/>
  <c r="BO140" i="2"/>
  <c r="O145" i="6" s="1"/>
  <c r="BG155" i="2"/>
  <c r="BH155" i="2" s="1"/>
  <c r="BP41" i="2"/>
  <c r="P46" i="6" s="1"/>
  <c r="BO138" i="2"/>
  <c r="O143" i="6" s="1"/>
  <c r="BG85" i="2"/>
  <c r="BP85" i="2" s="1"/>
  <c r="P90" i="6" s="1"/>
  <c r="BH23" i="2"/>
  <c r="BI23" i="2" s="1"/>
  <c r="BJ23" i="2" s="1"/>
  <c r="BK23" i="2" s="1"/>
  <c r="BT23" i="2" s="1"/>
  <c r="T28" i="6" s="1"/>
  <c r="BO156" i="2"/>
  <c r="O161" i="6" s="1"/>
  <c r="BO150" i="2"/>
  <c r="O155" i="6" s="1"/>
  <c r="BO109" i="2"/>
  <c r="O114" i="6" s="1"/>
  <c r="BO180" i="2"/>
  <c r="O185" i="6" s="1"/>
  <c r="BG84" i="2"/>
  <c r="BP84" i="2" s="1"/>
  <c r="P89" i="6" s="1"/>
  <c r="BG131" i="2"/>
  <c r="BH131" i="2" s="1"/>
  <c r="BO133" i="2"/>
  <c r="O138" i="6" s="1"/>
  <c r="AF72" i="4"/>
  <c r="BG31" i="2"/>
  <c r="BH31" i="2" s="1"/>
  <c r="BO100" i="2"/>
  <c r="O105" i="6" s="1"/>
  <c r="BG116" i="2"/>
  <c r="BH116" i="2" s="1"/>
  <c r="BP45" i="2"/>
  <c r="P50" i="6" s="1"/>
  <c r="BG168" i="2"/>
  <c r="BP168" i="2" s="1"/>
  <c r="P173" i="6" s="1"/>
  <c r="BG175" i="2"/>
  <c r="BH175" i="2" s="1"/>
  <c r="BH170" i="2"/>
  <c r="BI170" i="2" s="1"/>
  <c r="BO58" i="2"/>
  <c r="O63" i="6" s="1"/>
  <c r="BO40" i="2"/>
  <c r="O45" i="6" s="1"/>
  <c r="BO68" i="2"/>
  <c r="O73" i="6" s="1"/>
  <c r="BG111" i="2"/>
  <c r="BP111" i="2" s="1"/>
  <c r="P116" i="6" s="1"/>
  <c r="BG171" i="2"/>
  <c r="BP171" i="2" s="1"/>
  <c r="P176" i="6" s="1"/>
  <c r="BG88" i="2"/>
  <c r="BH88" i="2" s="1"/>
  <c r="BG32" i="2"/>
  <c r="BP32" i="2" s="1"/>
  <c r="P37" i="6" s="1"/>
  <c r="BP27" i="2"/>
  <c r="P32" i="6" s="1"/>
  <c r="BG178" i="2"/>
  <c r="BP178" i="2" s="1"/>
  <c r="P183" i="6" s="1"/>
  <c r="BG147" i="2"/>
  <c r="BP147" i="2" s="1"/>
  <c r="P152" i="6" s="1"/>
  <c r="BO90" i="2"/>
  <c r="O95" i="6" s="1"/>
  <c r="BP67" i="2"/>
  <c r="P72" i="6" s="1"/>
  <c r="BH67" i="2"/>
  <c r="BG77" i="2"/>
  <c r="BH77" i="2" s="1"/>
  <c r="BG163" i="2"/>
  <c r="BH163" i="2" s="1"/>
  <c r="BP142" i="2"/>
  <c r="P147" i="6" s="1"/>
  <c r="BO137" i="2"/>
  <c r="O142" i="6" s="1"/>
  <c r="BO130" i="2"/>
  <c r="O135" i="6" s="1"/>
  <c r="BE17" i="2"/>
  <c r="BN17" i="2" s="1"/>
  <c r="M22" i="6"/>
  <c r="BP36" i="2"/>
  <c r="P41" i="6" s="1"/>
  <c r="BH36" i="2"/>
  <c r="BH75" i="2"/>
  <c r="BP75" i="2"/>
  <c r="P80" i="6" s="1"/>
  <c r="BH157" i="2"/>
  <c r="BP157" i="2"/>
  <c r="P162" i="6" s="1"/>
  <c r="BP80" i="2"/>
  <c r="P85" i="6" s="1"/>
  <c r="BH80" i="2"/>
  <c r="BI103" i="2"/>
  <c r="BQ103" i="2"/>
  <c r="Q108" i="6" s="1"/>
  <c r="BI124" i="2"/>
  <c r="BQ124" i="2"/>
  <c r="Q129" i="6" s="1"/>
  <c r="BQ173" i="2"/>
  <c r="Q178" i="6" s="1"/>
  <c r="BI173" i="2"/>
  <c r="BI177" i="2"/>
  <c r="BQ177" i="2"/>
  <c r="Q182" i="6" s="1"/>
  <c r="BI128" i="2"/>
  <c r="BJ128" i="2" s="1"/>
  <c r="BK128" i="2" s="1"/>
  <c r="BT128" i="2" s="1"/>
  <c r="T133" i="6" s="1"/>
  <c r="BQ128" i="2"/>
  <c r="Q133" i="6" s="1"/>
  <c r="BH44" i="2"/>
  <c r="BP44" i="2"/>
  <c r="P49" i="6" s="1"/>
  <c r="BH90" i="2"/>
  <c r="BP90" i="2"/>
  <c r="P95" i="6" s="1"/>
  <c r="BI119" i="2"/>
  <c r="BQ119" i="2"/>
  <c r="Q124" i="6" s="1"/>
  <c r="BI70" i="2"/>
  <c r="BJ70" i="2" s="1"/>
  <c r="BK70" i="2" s="1"/>
  <c r="BT70" i="2" s="1"/>
  <c r="T75" i="6" s="1"/>
  <c r="BQ70" i="2"/>
  <c r="Q75" i="6" s="1"/>
  <c r="BI123" i="2"/>
  <c r="BJ123" i="2" s="1"/>
  <c r="BK123" i="2" s="1"/>
  <c r="BT123" i="2" s="1"/>
  <c r="T128" i="6" s="1"/>
  <c r="BQ123" i="2"/>
  <c r="Q128" i="6" s="1"/>
  <c r="BI45" i="2"/>
  <c r="BQ45" i="2"/>
  <c r="Q50" i="6" s="1"/>
  <c r="BP150" i="2"/>
  <c r="P155" i="6" s="1"/>
  <c r="BH150" i="2"/>
  <c r="BH56" i="2"/>
  <c r="BP56" i="2"/>
  <c r="P61" i="6" s="1"/>
  <c r="BH78" i="2"/>
  <c r="BP78" i="2"/>
  <c r="P83" i="6" s="1"/>
  <c r="BP158" i="2"/>
  <c r="P163" i="6" s="1"/>
  <c r="BH158" i="2"/>
  <c r="BH145" i="2"/>
  <c r="BP145" i="2"/>
  <c r="P150" i="6" s="1"/>
  <c r="BH180" i="2"/>
  <c r="BP180" i="2"/>
  <c r="P185" i="6" s="1"/>
  <c r="BH156" i="2"/>
  <c r="BP156" i="2"/>
  <c r="P161" i="6" s="1"/>
  <c r="BH66" i="2"/>
  <c r="BP66" i="2"/>
  <c r="P71" i="6" s="1"/>
  <c r="BH160" i="2"/>
  <c r="BP160" i="2"/>
  <c r="P165" i="6" s="1"/>
  <c r="BH113" i="2"/>
  <c r="BP113" i="2"/>
  <c r="P118" i="6" s="1"/>
  <c r="BH153" i="2"/>
  <c r="BP153" i="2"/>
  <c r="P158" i="6" s="1"/>
  <c r="BI94" i="2"/>
  <c r="BQ94" i="2"/>
  <c r="Q99" i="6" s="1"/>
  <c r="BS62" i="2"/>
  <c r="S67" i="6" s="1"/>
  <c r="BR62" i="2"/>
  <c r="R67" i="6" s="1"/>
  <c r="BQ121" i="2"/>
  <c r="Q126" i="6" s="1"/>
  <c r="BI121" i="2"/>
  <c r="BJ121" i="2" s="1"/>
  <c r="BK121" i="2" s="1"/>
  <c r="BT121" i="2" s="1"/>
  <c r="T126" i="6" s="1"/>
  <c r="BI98" i="2"/>
  <c r="BJ98" i="2" s="1"/>
  <c r="BK98" i="2" s="1"/>
  <c r="BT98" i="2" s="1"/>
  <c r="T103" i="6" s="1"/>
  <c r="BQ98" i="2"/>
  <c r="Q103" i="6" s="1"/>
  <c r="BI182" i="2"/>
  <c r="BQ182" i="2"/>
  <c r="Q187" i="6" s="1"/>
  <c r="BH58" i="2"/>
  <c r="BP58" i="2"/>
  <c r="P63" i="6" s="1"/>
  <c r="BH169" i="2"/>
  <c r="BP169" i="2"/>
  <c r="P174" i="6" s="1"/>
  <c r="BH68" i="2"/>
  <c r="BP68" i="2"/>
  <c r="P73" i="6" s="1"/>
  <c r="BH140" i="2"/>
  <c r="BP140" i="2"/>
  <c r="P145" i="6" s="1"/>
  <c r="BH146" i="2"/>
  <c r="BP146" i="2"/>
  <c r="P151" i="6" s="1"/>
  <c r="BI43" i="2"/>
  <c r="BJ43" i="2" s="1"/>
  <c r="BK43" i="2" s="1"/>
  <c r="BT43" i="2" s="1"/>
  <c r="T48" i="6" s="1"/>
  <c r="BQ43" i="2"/>
  <c r="Q48" i="6" s="1"/>
  <c r="BI161" i="2"/>
  <c r="BJ161" i="2" s="1"/>
  <c r="BK161" i="2" s="1"/>
  <c r="BT161" i="2" s="1"/>
  <c r="T166" i="6" s="1"/>
  <c r="BQ161" i="2"/>
  <c r="Q166" i="6" s="1"/>
  <c r="BQ117" i="2"/>
  <c r="Q122" i="6" s="1"/>
  <c r="BI117" i="2"/>
  <c r="BI126" i="2"/>
  <c r="BJ126" i="2" s="1"/>
  <c r="BK126" i="2" s="1"/>
  <c r="BT126" i="2" s="1"/>
  <c r="T131" i="6" s="1"/>
  <c r="BQ126" i="2"/>
  <c r="Q131" i="6" s="1"/>
  <c r="BI164" i="2"/>
  <c r="BQ164" i="2"/>
  <c r="Q169" i="6" s="1"/>
  <c r="BI139" i="2"/>
  <c r="BQ139" i="2"/>
  <c r="Q144" i="6" s="1"/>
  <c r="BI61" i="2"/>
  <c r="BJ61" i="2" s="1"/>
  <c r="BK61" i="2" s="1"/>
  <c r="BT61" i="2" s="1"/>
  <c r="T66" i="6" s="1"/>
  <c r="BQ61" i="2"/>
  <c r="Q66" i="6" s="1"/>
  <c r="BI41" i="2"/>
  <c r="BJ41" i="2" s="1"/>
  <c r="BK41" i="2" s="1"/>
  <c r="BT41" i="2" s="1"/>
  <c r="T46" i="6" s="1"/>
  <c r="BQ41" i="2"/>
  <c r="Q46" i="6" s="1"/>
  <c r="BI101" i="2"/>
  <c r="BQ101" i="2"/>
  <c r="Q106" i="6" s="1"/>
  <c r="BI42" i="2"/>
  <c r="BJ42" i="2" s="1"/>
  <c r="BK42" i="2" s="1"/>
  <c r="BT42" i="2" s="1"/>
  <c r="T47" i="6" s="1"/>
  <c r="BQ42" i="2"/>
  <c r="Q47" i="6" s="1"/>
  <c r="BI22" i="2"/>
  <c r="BJ22" i="2" s="1"/>
  <c r="BK22" i="2" s="1"/>
  <c r="BT22" i="2" s="1"/>
  <c r="T27" i="6" s="1"/>
  <c r="BQ22" i="2"/>
  <c r="Q27" i="6" s="1"/>
  <c r="BI54" i="2"/>
  <c r="BQ54" i="2"/>
  <c r="Q59" i="6" s="1"/>
  <c r="BI148" i="2"/>
  <c r="BJ148" i="2" s="1"/>
  <c r="BK148" i="2" s="1"/>
  <c r="BT148" i="2" s="1"/>
  <c r="T153" i="6" s="1"/>
  <c r="BQ148" i="2"/>
  <c r="Q153" i="6" s="1"/>
  <c r="BH136" i="2"/>
  <c r="BP136" i="2"/>
  <c r="P141" i="6" s="1"/>
  <c r="BI141" i="2"/>
  <c r="BJ141" i="2" s="1"/>
  <c r="BK141" i="2" s="1"/>
  <c r="BT141" i="2" s="1"/>
  <c r="T146" i="6" s="1"/>
  <c r="BQ141" i="2"/>
  <c r="Q146" i="6" s="1"/>
  <c r="BH137" i="2"/>
  <c r="BP137" i="2"/>
  <c r="P142" i="6" s="1"/>
  <c r="BS19" i="2"/>
  <c r="S24" i="6" s="1"/>
  <c r="BR19" i="2"/>
  <c r="R24" i="6" s="1"/>
  <c r="BH73" i="2"/>
  <c r="BP73" i="2"/>
  <c r="P78" i="6" s="1"/>
  <c r="BI114" i="2"/>
  <c r="BJ114" i="2" s="1"/>
  <c r="BK114" i="2" s="1"/>
  <c r="BT114" i="2" s="1"/>
  <c r="T119" i="6" s="1"/>
  <c r="BQ114" i="2"/>
  <c r="Q119" i="6" s="1"/>
  <c r="BH93" i="2"/>
  <c r="BP93" i="2"/>
  <c r="P98" i="6" s="1"/>
  <c r="BP76" i="2"/>
  <c r="P81" i="6" s="1"/>
  <c r="BH76" i="2"/>
  <c r="BH65" i="2"/>
  <c r="BP65" i="2"/>
  <c r="P70" i="6" s="1"/>
  <c r="BQ125" i="2"/>
  <c r="Q130" i="6" s="1"/>
  <c r="BI125" i="2"/>
  <c r="BJ125" i="2" s="1"/>
  <c r="BK125" i="2" s="1"/>
  <c r="BT125" i="2" s="1"/>
  <c r="T130" i="6" s="1"/>
  <c r="BI120" i="2"/>
  <c r="BJ120" i="2" s="1"/>
  <c r="BK120" i="2" s="1"/>
  <c r="BT120" i="2" s="1"/>
  <c r="T125" i="6" s="1"/>
  <c r="BQ120" i="2"/>
  <c r="Q125" i="6" s="1"/>
  <c r="BP110" i="2"/>
  <c r="P115" i="6" s="1"/>
  <c r="BH110" i="2"/>
  <c r="BI28" i="2"/>
  <c r="BQ28" i="2"/>
  <c r="Q33" i="6" s="1"/>
  <c r="BP71" i="2"/>
  <c r="P76" i="6" s="1"/>
  <c r="BH71" i="2"/>
  <c r="BQ83" i="2"/>
  <c r="Q88" i="6" s="1"/>
  <c r="BI83" i="2"/>
  <c r="BJ83" i="2" s="1"/>
  <c r="BK83" i="2" s="1"/>
  <c r="BT83" i="2" s="1"/>
  <c r="T88" i="6" s="1"/>
  <c r="BP79" i="2"/>
  <c r="P84" i="6" s="1"/>
  <c r="BH79" i="2"/>
  <c r="BP35" i="2"/>
  <c r="P40" i="6" s="1"/>
  <c r="BH35" i="2"/>
  <c r="BH115" i="2"/>
  <c r="BP115" i="2"/>
  <c r="P120" i="6" s="1"/>
  <c r="BH97" i="2"/>
  <c r="BP97" i="2"/>
  <c r="P102" i="6" s="1"/>
  <c r="BH179" i="2"/>
  <c r="BP179" i="2"/>
  <c r="P184" i="6" s="1"/>
  <c r="BH127" i="2"/>
  <c r="BP127" i="2"/>
  <c r="P132" i="6" s="1"/>
  <c r="BI92" i="2"/>
  <c r="BJ92" i="2" s="1"/>
  <c r="BK92" i="2" s="1"/>
  <c r="BT92" i="2" s="1"/>
  <c r="T97" i="6" s="1"/>
  <c r="BQ92" i="2"/>
  <c r="Q97" i="6" s="1"/>
  <c r="BI15" i="2"/>
  <c r="BJ15" i="2" s="1"/>
  <c r="BK15" i="2" s="1"/>
  <c r="BQ15" i="2"/>
  <c r="Q20" i="6" s="1"/>
  <c r="BI143" i="2"/>
  <c r="BJ143" i="2" s="1"/>
  <c r="BK143" i="2" s="1"/>
  <c r="BT143" i="2" s="1"/>
  <c r="T148" i="6" s="1"/>
  <c r="BQ143" i="2"/>
  <c r="Q148" i="6" s="1"/>
  <c r="BI59" i="2"/>
  <c r="BJ59" i="2" s="1"/>
  <c r="BK59" i="2" s="1"/>
  <c r="BT59" i="2" s="1"/>
  <c r="T64" i="6" s="1"/>
  <c r="BQ59" i="2"/>
  <c r="Q64" i="6" s="1"/>
  <c r="BI47" i="2"/>
  <c r="BQ47" i="2"/>
  <c r="Q52" i="6" s="1"/>
  <c r="BI81" i="2"/>
  <c r="BJ81" i="2" s="1"/>
  <c r="BK81" i="2" s="1"/>
  <c r="BT81" i="2" s="1"/>
  <c r="T86" i="6" s="1"/>
  <c r="BQ81" i="2"/>
  <c r="Q86" i="6" s="1"/>
  <c r="BI57" i="2"/>
  <c r="BQ57" i="2"/>
  <c r="Q62" i="6" s="1"/>
  <c r="BH39" i="2"/>
  <c r="BP39" i="2"/>
  <c r="P44" i="6" s="1"/>
  <c r="BQ91" i="2"/>
  <c r="Q96" i="6" s="1"/>
  <c r="BI91" i="2"/>
  <c r="BI72" i="2"/>
  <c r="BJ72" i="2" s="1"/>
  <c r="BK72" i="2" s="1"/>
  <c r="BT72" i="2" s="1"/>
  <c r="T77" i="6" s="1"/>
  <c r="BQ72" i="2"/>
  <c r="Q77" i="6" s="1"/>
  <c r="BI106" i="2"/>
  <c r="BJ106" i="2" s="1"/>
  <c r="BK106" i="2" s="1"/>
  <c r="BT106" i="2" s="1"/>
  <c r="T111" i="6" s="1"/>
  <c r="BQ106" i="2"/>
  <c r="Q111" i="6" s="1"/>
  <c r="BI174" i="2"/>
  <c r="BJ174" i="2" s="1"/>
  <c r="BK174" i="2" s="1"/>
  <c r="BT174" i="2" s="1"/>
  <c r="T179" i="6" s="1"/>
  <c r="BQ174" i="2"/>
  <c r="Q179" i="6" s="1"/>
  <c r="BI20" i="2"/>
  <c r="BQ20" i="2"/>
  <c r="Q25" i="6" s="1"/>
  <c r="BI38" i="2"/>
  <c r="BJ38" i="2" s="1"/>
  <c r="BK38" i="2" s="1"/>
  <c r="BT38" i="2" s="1"/>
  <c r="T43" i="6" s="1"/>
  <c r="BQ38" i="2"/>
  <c r="Q43" i="6" s="1"/>
  <c r="BI132" i="2"/>
  <c r="BJ132" i="2" s="1"/>
  <c r="BK132" i="2" s="1"/>
  <c r="BT132" i="2" s="1"/>
  <c r="T137" i="6" s="1"/>
  <c r="BQ132" i="2"/>
  <c r="Q137" i="6" s="1"/>
  <c r="BI135" i="2"/>
  <c r="BJ135" i="2" s="1"/>
  <c r="BK135" i="2" s="1"/>
  <c r="BT135" i="2" s="1"/>
  <c r="T140" i="6" s="1"/>
  <c r="BQ135" i="2"/>
  <c r="Q140" i="6" s="1"/>
  <c r="BH99" i="2"/>
  <c r="BP99" i="2"/>
  <c r="P104" i="6" s="1"/>
  <c r="BH159" i="2"/>
  <c r="BP159" i="2"/>
  <c r="P164" i="6" s="1"/>
  <c r="BH167" i="2"/>
  <c r="BP167" i="2"/>
  <c r="P172" i="6" s="1"/>
  <c r="BQ27" i="2"/>
  <c r="Q32" i="6" s="1"/>
  <c r="BI27" i="2"/>
  <c r="BJ27" i="2" s="1"/>
  <c r="BK27" i="2" s="1"/>
  <c r="BT27" i="2" s="1"/>
  <c r="T32" i="6" s="1"/>
  <c r="BQ149" i="2"/>
  <c r="Q154" i="6" s="1"/>
  <c r="BI149" i="2"/>
  <c r="BH130" i="2"/>
  <c r="BP130" i="2"/>
  <c r="P135" i="6" s="1"/>
  <c r="BI37" i="2"/>
  <c r="BQ37" i="2"/>
  <c r="Q42" i="6" s="1"/>
  <c r="BI142" i="2"/>
  <c r="BQ142" i="2"/>
  <c r="Q147" i="6" s="1"/>
  <c r="BI122" i="2"/>
  <c r="BJ122" i="2" s="1"/>
  <c r="BK122" i="2" s="1"/>
  <c r="BT122" i="2" s="1"/>
  <c r="T127" i="6" s="1"/>
  <c r="BQ122" i="2"/>
  <c r="Q127" i="6" s="1"/>
  <c r="BI26" i="2"/>
  <c r="BJ26" i="2" s="1"/>
  <c r="BK26" i="2" s="1"/>
  <c r="BT26" i="2" s="1"/>
  <c r="T31" i="6" s="1"/>
  <c r="BQ26" i="2"/>
  <c r="Q31" i="6" s="1"/>
  <c r="BI105" i="2"/>
  <c r="BJ105" i="2" s="1"/>
  <c r="BK105" i="2" s="1"/>
  <c r="BT105" i="2" s="1"/>
  <c r="T110" i="6" s="1"/>
  <c r="BQ105" i="2"/>
  <c r="Q110" i="6" s="1"/>
  <c r="BH133" i="2"/>
  <c r="BP133" i="2"/>
  <c r="P138" i="6" s="1"/>
  <c r="BH112" i="2"/>
  <c r="BP112" i="2"/>
  <c r="P117" i="6" s="1"/>
  <c r="BH138" i="2"/>
  <c r="BP138" i="2"/>
  <c r="P143" i="6" s="1"/>
  <c r="BH118" i="2"/>
  <c r="BP118" i="2"/>
  <c r="P123" i="6" s="1"/>
  <c r="BI89" i="2"/>
  <c r="BQ89" i="2"/>
  <c r="Q94" i="6" s="1"/>
  <c r="BI166" i="2"/>
  <c r="BJ166" i="2" s="1"/>
  <c r="BK166" i="2" s="1"/>
  <c r="BT166" i="2" s="1"/>
  <c r="T171" i="6" s="1"/>
  <c r="BQ166" i="2"/>
  <c r="Q171" i="6" s="1"/>
  <c r="BI172" i="2"/>
  <c r="BJ172" i="2" s="1"/>
  <c r="BK172" i="2" s="1"/>
  <c r="BT172" i="2" s="1"/>
  <c r="T177" i="6" s="1"/>
  <c r="BQ172" i="2"/>
  <c r="Q177" i="6" s="1"/>
  <c r="BH64" i="2"/>
  <c r="BP64" i="2"/>
  <c r="P69" i="6" s="1"/>
  <c r="BH129" i="2"/>
  <c r="BP129" i="2"/>
  <c r="P134" i="6" s="1"/>
  <c r="BH60" i="2"/>
  <c r="BP60" i="2"/>
  <c r="P65" i="6" s="1"/>
  <c r="BH152" i="2"/>
  <c r="BP152" i="2"/>
  <c r="P157" i="6" s="1"/>
  <c r="BH40" i="2"/>
  <c r="BP40" i="2"/>
  <c r="P45" i="6" s="1"/>
  <c r="BH109" i="2"/>
  <c r="BP109" i="2"/>
  <c r="P114" i="6" s="1"/>
  <c r="BP154" i="2"/>
  <c r="P159" i="6" s="1"/>
  <c r="BH154" i="2"/>
  <c r="BH134" i="2"/>
  <c r="BP134" i="2"/>
  <c r="P139" i="6" s="1"/>
  <c r="BP102" i="2"/>
  <c r="P107" i="6" s="1"/>
  <c r="BH102" i="2"/>
  <c r="BI50" i="2"/>
  <c r="BQ50" i="2"/>
  <c r="Q55" i="6" s="1"/>
  <c r="BI74" i="2"/>
  <c r="BJ74" i="2" s="1"/>
  <c r="BK74" i="2" s="1"/>
  <c r="BT74" i="2" s="1"/>
  <c r="T79" i="6" s="1"/>
  <c r="BQ74" i="2"/>
  <c r="Q79" i="6" s="1"/>
  <c r="BI162" i="2"/>
  <c r="BJ162" i="2" s="1"/>
  <c r="BK162" i="2" s="1"/>
  <c r="BT162" i="2" s="1"/>
  <c r="T167" i="6" s="1"/>
  <c r="BQ162" i="2"/>
  <c r="Q167" i="6" s="1"/>
  <c r="BQ18" i="2"/>
  <c r="Q23" i="6" s="1"/>
  <c r="BQ95" i="2"/>
  <c r="Q100" i="6" s="1"/>
  <c r="BI95" i="2"/>
  <c r="BI96" i="2"/>
  <c r="BQ96" i="2"/>
  <c r="Q101" i="6" s="1"/>
  <c r="BH100" i="2"/>
  <c r="BP100" i="2"/>
  <c r="P105" i="6" s="1"/>
  <c r="BI108" i="2"/>
  <c r="BQ108" i="2"/>
  <c r="Q113" i="6" s="1"/>
  <c r="BI34" i="2"/>
  <c r="BQ34" i="2"/>
  <c r="Q39" i="6" s="1"/>
  <c r="BI53" i="2"/>
  <c r="BJ53" i="2" s="1"/>
  <c r="BK53" i="2" s="1"/>
  <c r="BT53" i="2" s="1"/>
  <c r="T58" i="6" s="1"/>
  <c r="BQ53" i="2"/>
  <c r="Q58" i="6" s="1"/>
  <c r="BI33" i="2"/>
  <c r="BJ33" i="2" s="1"/>
  <c r="BK33" i="2" s="1"/>
  <c r="BT33" i="2" s="1"/>
  <c r="T38" i="6" s="1"/>
  <c r="BQ33" i="2"/>
  <c r="Q38" i="6" s="1"/>
  <c r="BI29" i="2"/>
  <c r="BQ29" i="2"/>
  <c r="Q34" i="6" s="1"/>
  <c r="BI176" i="2"/>
  <c r="BJ176" i="2" s="1"/>
  <c r="BK176" i="2" s="1"/>
  <c r="BT176" i="2" s="1"/>
  <c r="T181" i="6" s="1"/>
  <c r="BQ176" i="2"/>
  <c r="Q181" i="6" s="1"/>
  <c r="BI183" i="2"/>
  <c r="BJ183" i="2" s="1"/>
  <c r="BK183" i="2" s="1"/>
  <c r="BT183" i="2" s="1"/>
  <c r="T188" i="6" s="1"/>
  <c r="BQ183" i="2"/>
  <c r="Q188" i="6" s="1"/>
  <c r="BI86" i="2"/>
  <c r="BJ86" i="2" s="1"/>
  <c r="BK86" i="2" s="1"/>
  <c r="BT86" i="2" s="1"/>
  <c r="T91" i="6" s="1"/>
  <c r="BQ86" i="2"/>
  <c r="Q91" i="6" s="1"/>
  <c r="BI144" i="2"/>
  <c r="BQ144" i="2"/>
  <c r="Q149" i="6" s="1"/>
  <c r="BI16" i="2"/>
  <c r="BQ16" i="2"/>
  <c r="Q21" i="6" s="1"/>
  <c r="BI104" i="2"/>
  <c r="BJ104" i="2" s="1"/>
  <c r="BK104" i="2" s="1"/>
  <c r="BT104" i="2" s="1"/>
  <c r="T109" i="6" s="1"/>
  <c r="BQ104" i="2"/>
  <c r="Q109" i="6" s="1"/>
  <c r="BI165" i="2"/>
  <c r="BQ165" i="2"/>
  <c r="Q170" i="6" s="1"/>
  <c r="BI24" i="2"/>
  <c r="BQ24" i="2"/>
  <c r="Q29" i="6" s="1"/>
  <c r="BI55" i="2"/>
  <c r="BJ55" i="2" s="1"/>
  <c r="BK55" i="2" s="1"/>
  <c r="BT55" i="2" s="1"/>
  <c r="T60" i="6" s="1"/>
  <c r="BQ55" i="2"/>
  <c r="Q60" i="6" s="1"/>
  <c r="F82" i="1"/>
  <c r="K22" i="6"/>
  <c r="J22" i="6"/>
  <c r="J15" i="6" s="1"/>
  <c r="AT7" i="2"/>
  <c r="AE100" i="4"/>
  <c r="N100" i="4"/>
  <c r="AN100" i="4"/>
  <c r="AG127" i="4"/>
  <c r="AP127" i="4"/>
  <c r="P127" i="4"/>
  <c r="AO129" i="4"/>
  <c r="AF129" i="4"/>
  <c r="O129" i="4"/>
  <c r="AP136" i="4"/>
  <c r="AG136" i="4"/>
  <c r="P136" i="4"/>
  <c r="AG73" i="4"/>
  <c r="AP73" i="4"/>
  <c r="P73" i="4"/>
  <c r="AO111" i="4"/>
  <c r="AF111" i="4"/>
  <c r="O111" i="4"/>
  <c r="AI114" i="4"/>
  <c r="AR114" i="4"/>
  <c r="R114" i="4"/>
  <c r="AO87" i="4"/>
  <c r="AF87" i="4"/>
  <c r="O87" i="4"/>
  <c r="AF92" i="4"/>
  <c r="AO92" i="4"/>
  <c r="O92" i="4"/>
  <c r="AI222" i="4"/>
  <c r="AR222" i="4"/>
  <c r="R222" i="4"/>
  <c r="AG74" i="4"/>
  <c r="AP74" i="4"/>
  <c r="P74" i="4"/>
  <c r="AH132" i="4"/>
  <c r="AQ132" i="4"/>
  <c r="Q132" i="4"/>
  <c r="AO173" i="4"/>
  <c r="AF173" i="4"/>
  <c r="O173" i="4"/>
  <c r="AR85" i="4"/>
  <c r="AI85" i="4"/>
  <c r="R85" i="4"/>
  <c r="AR158" i="4"/>
  <c r="AI158" i="4"/>
  <c r="R158" i="4"/>
  <c r="AO162" i="4"/>
  <c r="AF162" i="4"/>
  <c r="O162" i="4"/>
  <c r="AR94" i="4"/>
  <c r="AI94" i="4"/>
  <c r="R94" i="4"/>
  <c r="AF214" i="4"/>
  <c r="AO214" i="4"/>
  <c r="O214" i="4"/>
  <c r="AR84" i="4"/>
  <c r="AI84" i="4"/>
  <c r="R84" i="4"/>
  <c r="AQ141" i="4"/>
  <c r="AH141" i="4"/>
  <c r="Q141" i="4"/>
  <c r="AS201" i="4"/>
  <c r="AJ201" i="4"/>
  <c r="S201" i="4"/>
  <c r="AQ239" i="4"/>
  <c r="AH239" i="4"/>
  <c r="Q239" i="4"/>
  <c r="AF187" i="4"/>
  <c r="AO187" i="4"/>
  <c r="O187" i="4"/>
  <c r="AR228" i="4"/>
  <c r="AI228" i="4"/>
  <c r="R228" i="4"/>
  <c r="AG99" i="4"/>
  <c r="AP99" i="4"/>
  <c r="P99" i="4"/>
  <c r="AF224" i="4"/>
  <c r="AO224" i="4"/>
  <c r="O224" i="4"/>
  <c r="AR213" i="4"/>
  <c r="AI213" i="4"/>
  <c r="R213" i="4"/>
  <c r="AG240" i="4"/>
  <c r="AP240" i="4"/>
  <c r="P240" i="4"/>
  <c r="AG232" i="4"/>
  <c r="AP232" i="4"/>
  <c r="P232" i="4"/>
  <c r="AP233" i="4"/>
  <c r="AG233" i="4"/>
  <c r="P233" i="4"/>
  <c r="AP215" i="4"/>
  <c r="AG215" i="4"/>
  <c r="P215" i="4"/>
  <c r="AQ81" i="4"/>
  <c r="AH81" i="4"/>
  <c r="Q81" i="4"/>
  <c r="AP227" i="4"/>
  <c r="AG227" i="4"/>
  <c r="P227" i="4"/>
  <c r="AQ75" i="4"/>
  <c r="AH75" i="4"/>
  <c r="Q75" i="4"/>
  <c r="AO89" i="4"/>
  <c r="AF89" i="4"/>
  <c r="O89" i="4"/>
  <c r="AO220" i="4"/>
  <c r="AF220" i="4"/>
  <c r="O220" i="4"/>
  <c r="AH183" i="4"/>
  <c r="AQ183" i="4"/>
  <c r="Q183" i="4"/>
  <c r="AP123" i="4"/>
  <c r="AG123" i="4"/>
  <c r="P123" i="4"/>
  <c r="AO210" i="4"/>
  <c r="AF210" i="4"/>
  <c r="O210" i="4"/>
  <c r="AG172" i="4"/>
  <c r="AP172" i="4"/>
  <c r="P172" i="4"/>
  <c r="AR175" i="4"/>
  <c r="AI175" i="4"/>
  <c r="R175" i="4"/>
  <c r="AO78" i="4"/>
  <c r="AF78" i="4"/>
  <c r="O78" i="4"/>
  <c r="AO124" i="4"/>
  <c r="AF124" i="4"/>
  <c r="O124" i="4"/>
  <c r="AP80" i="4"/>
  <c r="AG80" i="4"/>
  <c r="P80" i="4"/>
  <c r="AG238" i="4"/>
  <c r="AP238" i="4"/>
  <c r="P238" i="4"/>
  <c r="AF192" i="4"/>
  <c r="AO192" i="4"/>
  <c r="O192" i="4"/>
  <c r="AO86" i="4"/>
  <c r="AF86" i="4"/>
  <c r="O86" i="4"/>
  <c r="AG133" i="4"/>
  <c r="AP133" i="4"/>
  <c r="P133" i="4"/>
  <c r="AH207" i="4"/>
  <c r="AQ207" i="4"/>
  <c r="Q207" i="4"/>
  <c r="AI116" i="4"/>
  <c r="AR116" i="4"/>
  <c r="R116" i="4"/>
  <c r="AH178" i="4"/>
  <c r="AQ178" i="4"/>
  <c r="Q178" i="4"/>
  <c r="AF161" i="4"/>
  <c r="AO161" i="4"/>
  <c r="O161" i="4"/>
  <c r="AH182" i="4"/>
  <c r="AQ182" i="4"/>
  <c r="Q182" i="4"/>
  <c r="AQ176" i="4"/>
  <c r="AH176" i="4"/>
  <c r="Q176" i="4"/>
  <c r="AR208" i="4"/>
  <c r="AI208" i="4"/>
  <c r="R208" i="4"/>
  <c r="AO79" i="4"/>
  <c r="AF79" i="4"/>
  <c r="O79" i="4"/>
  <c r="AG97" i="4"/>
  <c r="AP97" i="4"/>
  <c r="P97" i="4"/>
  <c r="AF199" i="4"/>
  <c r="AO199" i="4"/>
  <c r="O199" i="4"/>
  <c r="AQ91" i="4"/>
  <c r="AH91" i="4"/>
  <c r="Q91" i="4"/>
  <c r="AO98" i="4"/>
  <c r="AF98" i="4"/>
  <c r="O98" i="4"/>
  <c r="AG131" i="4"/>
  <c r="AP131" i="4"/>
  <c r="P131" i="4"/>
  <c r="AH202" i="4"/>
  <c r="AQ202" i="4"/>
  <c r="Q202" i="4"/>
  <c r="AP152" i="4"/>
  <c r="AG152" i="4"/>
  <c r="P152" i="4"/>
  <c r="AG174" i="4"/>
  <c r="AP174" i="4"/>
  <c r="P174" i="4"/>
  <c r="AQ195" i="4"/>
  <c r="AH195" i="4"/>
  <c r="Q195" i="4"/>
  <c r="AF190" i="4"/>
  <c r="AO190" i="4"/>
  <c r="O190" i="4"/>
  <c r="AR191" i="4"/>
  <c r="AI191" i="4"/>
  <c r="R191" i="4"/>
  <c r="AF165" i="4"/>
  <c r="AO165" i="4"/>
  <c r="O165" i="4"/>
  <c r="AP229" i="4"/>
  <c r="AG229" i="4"/>
  <c r="P229" i="4"/>
  <c r="AF130" i="4"/>
  <c r="AO130" i="4"/>
  <c r="O130" i="4"/>
  <c r="AI164" i="4"/>
  <c r="AR164" i="4"/>
  <c r="R164" i="4"/>
  <c r="AF217" i="4"/>
  <c r="AO217" i="4"/>
  <c r="O217" i="4"/>
  <c r="AF151" i="4"/>
  <c r="AO151" i="4"/>
  <c r="O151" i="4"/>
  <c r="AF102" i="4"/>
  <c r="AO102" i="4"/>
  <c r="O102" i="4"/>
  <c r="AI205" i="4"/>
  <c r="AR205" i="4"/>
  <c r="R205" i="4"/>
  <c r="AP171" i="4"/>
  <c r="AG171" i="4"/>
  <c r="P171" i="4"/>
  <c r="AF160" i="4"/>
  <c r="AO160" i="4"/>
  <c r="O160" i="4"/>
  <c r="AP186" i="4"/>
  <c r="AG186" i="4"/>
  <c r="P186" i="4"/>
  <c r="AO167" i="4"/>
  <c r="AF167" i="4"/>
  <c r="O167" i="4"/>
  <c r="AO206" i="4"/>
  <c r="AF206" i="4"/>
  <c r="O206" i="4"/>
  <c r="AG203" i="4"/>
  <c r="AP203" i="4"/>
  <c r="P203" i="4"/>
  <c r="AP170" i="4"/>
  <c r="AG170" i="4"/>
  <c r="P170" i="4"/>
  <c r="AP193" i="4"/>
  <c r="AG193" i="4"/>
  <c r="P193" i="4"/>
  <c r="AQ149" i="4"/>
  <c r="AH149" i="4"/>
  <c r="Q149" i="4"/>
  <c r="AG163" i="4"/>
  <c r="AP163" i="4"/>
  <c r="P163" i="4"/>
  <c r="AO184" i="4"/>
  <c r="AF184" i="4"/>
  <c r="O184" i="4"/>
  <c r="AO209" i="4"/>
  <c r="AF209" i="4"/>
  <c r="O209" i="4"/>
  <c r="AH82" i="4"/>
  <c r="AQ82" i="4"/>
  <c r="Q82" i="4"/>
  <c r="AR156" i="4"/>
  <c r="AI156" i="4"/>
  <c r="R156" i="4"/>
  <c r="AH188" i="4"/>
  <c r="AQ188" i="4"/>
  <c r="Q188" i="4"/>
  <c r="AG155" i="4"/>
  <c r="AP155" i="4"/>
  <c r="P155" i="4"/>
  <c r="AH83" i="4"/>
  <c r="AQ83" i="4"/>
  <c r="Q83" i="4"/>
  <c r="AP230" i="4"/>
  <c r="AG230" i="4"/>
  <c r="P230" i="4"/>
  <c r="AF197" i="4"/>
  <c r="AO197" i="4"/>
  <c r="O197" i="4"/>
  <c r="AQ77" i="4"/>
  <c r="AH77" i="4"/>
  <c r="Q77" i="4"/>
  <c r="AG115" i="4"/>
  <c r="AP115" i="4"/>
  <c r="P115" i="4"/>
  <c r="AI185" i="4"/>
  <c r="AR185" i="4"/>
  <c r="R185" i="4"/>
  <c r="AR234" i="4"/>
  <c r="AI234" i="4"/>
  <c r="R234" i="4"/>
  <c r="AP150" i="4"/>
  <c r="AG150" i="4"/>
  <c r="P150" i="4"/>
  <c r="AI76" i="4"/>
  <c r="AR76" i="4"/>
  <c r="R76" i="4"/>
  <c r="AH88" i="4"/>
  <c r="AQ88" i="4"/>
  <c r="Q88" i="4"/>
  <c r="AR137" i="4"/>
  <c r="AI137" i="4"/>
  <c r="R137" i="4"/>
  <c r="AH237" i="4"/>
  <c r="AQ237" i="4"/>
  <c r="Q237" i="4"/>
  <c r="AG148" i="4"/>
  <c r="AP148" i="4"/>
  <c r="P148" i="4"/>
  <c r="AF168" i="4"/>
  <c r="AO168" i="4"/>
  <c r="O168" i="4"/>
  <c r="AP126" i="4"/>
  <c r="AG126" i="4"/>
  <c r="P126" i="4"/>
  <c r="AI189" i="4"/>
  <c r="AR189" i="4"/>
  <c r="R189" i="4"/>
  <c r="AP146" i="4"/>
  <c r="AG146" i="4"/>
  <c r="P146" i="4"/>
  <c r="AF225" i="4"/>
  <c r="AO225" i="4"/>
  <c r="O225" i="4"/>
  <c r="AH144" i="4"/>
  <c r="AQ144" i="4"/>
  <c r="Q144" i="4"/>
  <c r="AP154" i="4"/>
  <c r="AG154" i="4"/>
  <c r="P154" i="4"/>
  <c r="AO119" i="4"/>
  <c r="AF119" i="4"/>
  <c r="O119" i="4"/>
  <c r="AF135" i="4"/>
  <c r="AO135" i="4"/>
  <c r="O135" i="4"/>
  <c r="AQ120" i="4"/>
  <c r="AH120" i="4"/>
  <c r="Q120" i="4"/>
  <c r="AH166" i="4"/>
  <c r="AQ166" i="4"/>
  <c r="Q166" i="4"/>
  <c r="AO104" i="4"/>
  <c r="AF104" i="4"/>
  <c r="O104" i="4"/>
  <c r="AF117" i="4"/>
  <c r="AO117" i="4"/>
  <c r="O117" i="4"/>
  <c r="AP181" i="4"/>
  <c r="AG181" i="4"/>
  <c r="P181" i="4"/>
  <c r="AF159" i="4"/>
  <c r="AO159" i="4"/>
  <c r="O159" i="4"/>
  <c r="AO109" i="4"/>
  <c r="AF109" i="4"/>
  <c r="O109" i="4"/>
  <c r="AP194" i="4"/>
  <c r="AG194" i="4"/>
  <c r="P194" i="4"/>
  <c r="AP95" i="4"/>
  <c r="AG95" i="4"/>
  <c r="P95" i="4"/>
  <c r="AO118" i="4"/>
  <c r="AF118" i="4"/>
  <c r="O118" i="4"/>
  <c r="AO90" i="4"/>
  <c r="AF90" i="4"/>
  <c r="O90" i="4"/>
  <c r="AF142" i="4"/>
  <c r="AO142" i="4"/>
  <c r="O142" i="4"/>
  <c r="AG216" i="4"/>
  <c r="AP216" i="4"/>
  <c r="P216" i="4"/>
  <c r="AO157" i="4"/>
  <c r="AF157" i="4"/>
  <c r="O157" i="4"/>
  <c r="AQ96" i="4"/>
  <c r="AH96" i="4"/>
  <c r="Q96" i="4"/>
  <c r="AG204" i="4"/>
  <c r="AP204" i="4"/>
  <c r="P204" i="4"/>
  <c r="AF106" i="4"/>
  <c r="AO106" i="4"/>
  <c r="O106" i="4"/>
  <c r="AP107" i="4"/>
  <c r="AG107" i="4"/>
  <c r="P107" i="4"/>
  <c r="AO211" i="4"/>
  <c r="AF211" i="4"/>
  <c r="O211" i="4"/>
  <c r="AO101" i="4"/>
  <c r="AF101" i="4"/>
  <c r="O101" i="4"/>
  <c r="AH139" i="4"/>
  <c r="AQ139" i="4"/>
  <c r="Q139" i="4"/>
  <c r="AG221" i="4"/>
  <c r="AP221" i="4"/>
  <c r="P221" i="4"/>
  <c r="AF198" i="4"/>
  <c r="AO198" i="4"/>
  <c r="O198" i="4"/>
  <c r="AP145" i="4"/>
  <c r="AG145" i="4"/>
  <c r="P145" i="4"/>
  <c r="AQ153" i="4"/>
  <c r="AH153" i="4"/>
  <c r="Q153" i="4"/>
  <c r="AO226" i="4"/>
  <c r="AF226" i="4"/>
  <c r="O226" i="4"/>
  <c r="AQ212" i="4"/>
  <c r="AH212" i="4"/>
  <c r="Q212" i="4"/>
  <c r="AR121" i="4"/>
  <c r="AI121" i="4"/>
  <c r="R121" i="4"/>
  <c r="AR128" i="4"/>
  <c r="AI128" i="4"/>
  <c r="R128" i="4"/>
  <c r="AO113" i="4"/>
  <c r="AF113" i="4"/>
  <c r="O113" i="4"/>
  <c r="AP196" i="4"/>
  <c r="AG196" i="4"/>
  <c r="P196" i="4"/>
  <c r="AO122" i="4"/>
  <c r="AF122" i="4"/>
  <c r="O122" i="4"/>
  <c r="AF103" i="4"/>
  <c r="AO103" i="4"/>
  <c r="O103" i="4"/>
  <c r="AO177" i="4"/>
  <c r="AF177" i="4"/>
  <c r="O177" i="4"/>
  <c r="AH125" i="4"/>
  <c r="AQ125" i="4"/>
  <c r="Q125" i="4"/>
  <c r="AG112" i="4"/>
  <c r="AP112" i="4"/>
  <c r="P112" i="4"/>
  <c r="AQ110" i="4"/>
  <c r="AH110" i="4"/>
  <c r="Q110" i="4"/>
  <c r="AF108" i="4"/>
  <c r="AO108" i="4"/>
  <c r="O108" i="4"/>
  <c r="AF134" i="4"/>
  <c r="AO134" i="4"/>
  <c r="O134" i="4"/>
  <c r="AG169" i="4"/>
  <c r="AP169" i="4"/>
  <c r="P169" i="4"/>
  <c r="AP93" i="4"/>
  <c r="AG93" i="4"/>
  <c r="P93" i="4"/>
  <c r="AO179" i="4"/>
  <c r="AF179" i="4"/>
  <c r="O179" i="4"/>
  <c r="AF138" i="4"/>
  <c r="AO138" i="4"/>
  <c r="O138" i="4"/>
  <c r="AG105" i="4"/>
  <c r="AP105" i="4"/>
  <c r="P105" i="4"/>
  <c r="AH140" i="4"/>
  <c r="AQ140" i="4"/>
  <c r="Q140" i="4"/>
  <c r="AP218" i="4"/>
  <c r="AG218" i="4"/>
  <c r="P218" i="4"/>
  <c r="AP147" i="4"/>
  <c r="AG147" i="4"/>
  <c r="P147" i="4"/>
  <c r="AP219" i="4"/>
  <c r="AG219" i="4"/>
  <c r="P219" i="4"/>
  <c r="AQ143" i="4"/>
  <c r="AH143" i="4"/>
  <c r="Q143" i="4"/>
  <c r="AJ180" i="4"/>
  <c r="AS180" i="4"/>
  <c r="S180" i="4"/>
  <c r="AF231" i="4"/>
  <c r="AO231" i="4"/>
  <c r="O231" i="4"/>
  <c r="AO223" i="4"/>
  <c r="AF223" i="4"/>
  <c r="O223" i="4"/>
  <c r="AP235" i="4"/>
  <c r="AG235" i="4"/>
  <c r="P235" i="4"/>
  <c r="AP200" i="4"/>
  <c r="AG200" i="4"/>
  <c r="P200" i="4"/>
  <c r="AS236" i="4"/>
  <c r="AJ236" i="4"/>
  <c r="S236" i="4"/>
  <c r="AH43" i="6" l="1"/>
  <c r="AH24" i="6"/>
  <c r="AL177" i="6"/>
  <c r="AU177" i="6"/>
  <c r="AL125" i="6"/>
  <c r="AU125" i="6"/>
  <c r="AL109" i="6"/>
  <c r="AU109" i="6"/>
  <c r="AR29" i="6"/>
  <c r="AI29" i="6"/>
  <c r="AR109" i="6"/>
  <c r="AI109" i="6"/>
  <c r="AR149" i="6"/>
  <c r="AI149" i="6"/>
  <c r="AR188" i="6"/>
  <c r="AI188" i="6"/>
  <c r="AR34" i="6"/>
  <c r="AI34" i="6"/>
  <c r="AI58" i="6"/>
  <c r="AR58" i="6"/>
  <c r="AI113" i="6"/>
  <c r="AR113" i="6"/>
  <c r="AR101" i="6"/>
  <c r="AI101" i="6"/>
  <c r="AR23" i="6"/>
  <c r="AI23" i="6"/>
  <c r="AU79" i="6"/>
  <c r="AL79" i="6"/>
  <c r="AQ107" i="6"/>
  <c r="AH107" i="6"/>
  <c r="AQ159" i="6"/>
  <c r="AH159" i="6"/>
  <c r="AU171" i="6"/>
  <c r="AL171" i="6"/>
  <c r="AU110" i="6"/>
  <c r="AL110" i="6"/>
  <c r="AU127" i="6"/>
  <c r="AL127" i="6"/>
  <c r="AR154" i="6"/>
  <c r="AI154" i="6"/>
  <c r="AU137" i="6"/>
  <c r="AL137" i="6"/>
  <c r="AU111" i="6"/>
  <c r="AL111" i="6"/>
  <c r="AR96" i="6"/>
  <c r="AI96" i="6"/>
  <c r="AU148" i="6"/>
  <c r="AL148" i="6"/>
  <c r="AL97" i="6"/>
  <c r="AU97" i="6"/>
  <c r="AQ84" i="6"/>
  <c r="AH84" i="6"/>
  <c r="AH76" i="6"/>
  <c r="AQ76" i="6"/>
  <c r="AQ115" i="6"/>
  <c r="AH115" i="6"/>
  <c r="AR130" i="6"/>
  <c r="AI130" i="6"/>
  <c r="AQ81" i="6"/>
  <c r="AH81" i="6"/>
  <c r="AU119" i="6"/>
  <c r="AL119" i="6"/>
  <c r="AT24" i="6"/>
  <c r="AK24" i="6"/>
  <c r="AL146" i="6"/>
  <c r="AU146" i="6"/>
  <c r="AU153" i="6"/>
  <c r="AL153" i="6"/>
  <c r="AU27" i="6"/>
  <c r="AL27" i="6"/>
  <c r="AU66" i="6"/>
  <c r="AL66" i="6"/>
  <c r="AR122" i="6"/>
  <c r="AI122" i="6"/>
  <c r="AU48" i="6"/>
  <c r="AL48" i="6"/>
  <c r="AI126" i="6"/>
  <c r="AR126" i="6"/>
  <c r="AQ163" i="6"/>
  <c r="AH163" i="6"/>
  <c r="AU75" i="6"/>
  <c r="AL75" i="6"/>
  <c r="AU133" i="6"/>
  <c r="AL133" i="6"/>
  <c r="AI178" i="6"/>
  <c r="AR178" i="6"/>
  <c r="AH41" i="6"/>
  <c r="AQ41" i="6"/>
  <c r="AG142" i="6"/>
  <c r="AP142" i="6"/>
  <c r="AQ183" i="6"/>
  <c r="AH183" i="6"/>
  <c r="AQ176" i="6"/>
  <c r="AH176" i="6"/>
  <c r="AP63" i="6"/>
  <c r="AG63" i="6"/>
  <c r="AQ50" i="6"/>
  <c r="AH50" i="6"/>
  <c r="AP185" i="6"/>
  <c r="AG185" i="6"/>
  <c r="AU28" i="6"/>
  <c r="AL28" i="6"/>
  <c r="AP123" i="6"/>
  <c r="AG123" i="6"/>
  <c r="AQ60" i="6"/>
  <c r="AH60" i="6"/>
  <c r="AQ179" i="6"/>
  <c r="AH179" i="6"/>
  <c r="AU58" i="6"/>
  <c r="AL58" i="6"/>
  <c r="AH139" i="6"/>
  <c r="AQ139" i="6"/>
  <c r="AQ157" i="6"/>
  <c r="AH157" i="6"/>
  <c r="AQ134" i="6"/>
  <c r="AH134" i="6"/>
  <c r="AR94" i="6"/>
  <c r="AI94" i="6"/>
  <c r="AQ143" i="6"/>
  <c r="AH143" i="6"/>
  <c r="AQ138" i="6"/>
  <c r="AH138" i="6"/>
  <c r="AR31" i="6"/>
  <c r="AI31" i="6"/>
  <c r="AR147" i="6"/>
  <c r="AI147" i="6"/>
  <c r="AH135" i="6"/>
  <c r="AQ135" i="6"/>
  <c r="AU32" i="6"/>
  <c r="AL32" i="6"/>
  <c r="AQ164" i="6"/>
  <c r="AH164" i="6"/>
  <c r="AR140" i="6"/>
  <c r="AI140" i="6"/>
  <c r="AR43" i="6"/>
  <c r="AI43" i="6"/>
  <c r="AR179" i="6"/>
  <c r="AI179" i="6"/>
  <c r="AR77" i="6"/>
  <c r="AI77" i="6"/>
  <c r="AQ44" i="6"/>
  <c r="AH44" i="6"/>
  <c r="AI86" i="6"/>
  <c r="AR86" i="6"/>
  <c r="AI64" i="6"/>
  <c r="AR64" i="6"/>
  <c r="G122" i="1"/>
  <c r="AR20" i="6"/>
  <c r="AI20" i="6"/>
  <c r="AQ132" i="6"/>
  <c r="AH132" i="6"/>
  <c r="AQ102" i="6"/>
  <c r="AH102" i="6"/>
  <c r="AU88" i="6"/>
  <c r="AL88" i="6"/>
  <c r="AR33" i="6"/>
  <c r="AI33" i="6"/>
  <c r="AR125" i="6"/>
  <c r="AI125" i="6"/>
  <c r="AQ70" i="6"/>
  <c r="AH70" i="6"/>
  <c r="AQ98" i="6"/>
  <c r="AH98" i="6"/>
  <c r="AQ78" i="6"/>
  <c r="AH78" i="6"/>
  <c r="AQ142" i="6"/>
  <c r="AH142" i="6"/>
  <c r="AQ141" i="6"/>
  <c r="AH141" i="6"/>
  <c r="AR59" i="6"/>
  <c r="AI59" i="6"/>
  <c r="AR47" i="6"/>
  <c r="AI47" i="6"/>
  <c r="AR46" i="6"/>
  <c r="AI46" i="6"/>
  <c r="AR144" i="6"/>
  <c r="AI144" i="6"/>
  <c r="AR131" i="6"/>
  <c r="AI131" i="6"/>
  <c r="AR166" i="6"/>
  <c r="AI166" i="6"/>
  <c r="AQ151" i="6"/>
  <c r="AH151" i="6"/>
  <c r="AH73" i="6"/>
  <c r="AQ73" i="6"/>
  <c r="AQ63" i="6"/>
  <c r="AH63" i="6"/>
  <c r="AR103" i="6"/>
  <c r="AI103" i="6"/>
  <c r="AS67" i="6"/>
  <c r="AJ67" i="6"/>
  <c r="AQ158" i="6"/>
  <c r="AH158" i="6"/>
  <c r="AQ165" i="6"/>
  <c r="AH165" i="6"/>
  <c r="AQ161" i="6"/>
  <c r="AH161" i="6"/>
  <c r="AQ150" i="6"/>
  <c r="AH150" i="6"/>
  <c r="AQ83" i="6"/>
  <c r="AH83" i="6"/>
  <c r="AR128" i="6"/>
  <c r="AI128" i="6"/>
  <c r="AR124" i="6"/>
  <c r="AI124" i="6"/>
  <c r="AH49" i="6"/>
  <c r="AQ49" i="6"/>
  <c r="AR182" i="6"/>
  <c r="AI182" i="6"/>
  <c r="AR129" i="6"/>
  <c r="AI129" i="6"/>
  <c r="AQ80" i="6"/>
  <c r="AH80" i="6"/>
  <c r="AN22" i="6"/>
  <c r="AN15" i="6" s="1"/>
  <c r="C90" i="1"/>
  <c r="AQ147" i="6"/>
  <c r="AH147" i="6"/>
  <c r="AQ72" i="6"/>
  <c r="AH72" i="6"/>
  <c r="AH32" i="6"/>
  <c r="AQ32" i="6"/>
  <c r="AQ116" i="6"/>
  <c r="AH116" i="6"/>
  <c r="AP138" i="6"/>
  <c r="AG138" i="6"/>
  <c r="AP114" i="6"/>
  <c r="AG114" i="6"/>
  <c r="AQ90" i="6"/>
  <c r="AH90" i="6"/>
  <c r="AP145" i="6"/>
  <c r="AG145" i="6"/>
  <c r="AQ38" i="6"/>
  <c r="AH38" i="6"/>
  <c r="AP104" i="6"/>
  <c r="AG104" i="6"/>
  <c r="AQ92" i="6"/>
  <c r="AH92" i="6"/>
  <c r="AQ54" i="6"/>
  <c r="AH54" i="6"/>
  <c r="AU23" i="6"/>
  <c r="AL23" i="6"/>
  <c r="AQ96" i="6"/>
  <c r="AH96" i="6"/>
  <c r="AU188" i="6"/>
  <c r="AL188" i="6"/>
  <c r="AI167" i="6"/>
  <c r="AR167" i="6"/>
  <c r="AR55" i="6"/>
  <c r="AI55" i="6"/>
  <c r="AH114" i="6"/>
  <c r="AQ114" i="6"/>
  <c r="AR177" i="6"/>
  <c r="AI177" i="6"/>
  <c r="AI60" i="6"/>
  <c r="AR60" i="6"/>
  <c r="AR170" i="6"/>
  <c r="AI170" i="6"/>
  <c r="AR21" i="6"/>
  <c r="AI21" i="6"/>
  <c r="AR91" i="6"/>
  <c r="AI91" i="6"/>
  <c r="AR181" i="6"/>
  <c r="AI181" i="6"/>
  <c r="AR38" i="6"/>
  <c r="AI38" i="6"/>
  <c r="AR39" i="6"/>
  <c r="AI39" i="6"/>
  <c r="AQ105" i="6"/>
  <c r="AH105" i="6"/>
  <c r="AU167" i="6"/>
  <c r="AL167" i="6"/>
  <c r="AU31" i="6"/>
  <c r="AL31" i="6"/>
  <c r="AR32" i="6"/>
  <c r="AI32" i="6"/>
  <c r="AU140" i="6"/>
  <c r="AL140" i="6"/>
  <c r="AU43" i="6"/>
  <c r="AL43" i="6"/>
  <c r="AU179" i="6"/>
  <c r="AL179" i="6"/>
  <c r="AU77" i="6"/>
  <c r="AL77" i="6"/>
  <c r="AU86" i="6"/>
  <c r="AL86" i="6"/>
  <c r="AU64" i="6"/>
  <c r="AL64" i="6"/>
  <c r="AQ40" i="6"/>
  <c r="AH40" i="6"/>
  <c r="AR88" i="6"/>
  <c r="AI88" i="6"/>
  <c r="AU47" i="6"/>
  <c r="AL47" i="6"/>
  <c r="AU46" i="6"/>
  <c r="AL46" i="6"/>
  <c r="AL131" i="6"/>
  <c r="AU131" i="6"/>
  <c r="AU166" i="6"/>
  <c r="AL166" i="6"/>
  <c r="AU103" i="6"/>
  <c r="AL103" i="6"/>
  <c r="AT67" i="6"/>
  <c r="AK67" i="6"/>
  <c r="AQ155" i="6"/>
  <c r="AH155" i="6"/>
  <c r="AU128" i="6"/>
  <c r="AL128" i="6"/>
  <c r="AQ85" i="6"/>
  <c r="AH85" i="6"/>
  <c r="AP95" i="6"/>
  <c r="AG95" i="6"/>
  <c r="AQ37" i="6"/>
  <c r="AH37" i="6"/>
  <c r="AP73" i="6"/>
  <c r="AG73" i="6"/>
  <c r="AP105" i="6"/>
  <c r="AG105" i="6"/>
  <c r="AP155" i="6"/>
  <c r="AG155" i="6"/>
  <c r="AP143" i="6"/>
  <c r="AG143" i="6"/>
  <c r="AH156" i="6"/>
  <c r="AQ156" i="6"/>
  <c r="AQ108" i="6"/>
  <c r="AH108" i="6"/>
  <c r="AQ124" i="6"/>
  <c r="AH124" i="6"/>
  <c r="AQ122" i="6"/>
  <c r="AH122" i="6"/>
  <c r="AU60" i="6"/>
  <c r="AL60" i="6"/>
  <c r="AU91" i="6"/>
  <c r="AL91" i="6"/>
  <c r="AU181" i="6"/>
  <c r="AL181" i="6"/>
  <c r="AU38" i="6"/>
  <c r="AL38" i="6"/>
  <c r="AR100" i="6"/>
  <c r="AI100" i="6"/>
  <c r="AR79" i="6"/>
  <c r="AI79" i="6"/>
  <c r="AQ45" i="6"/>
  <c r="AH45" i="6"/>
  <c r="AH65" i="6"/>
  <c r="AQ65" i="6"/>
  <c r="AQ69" i="6"/>
  <c r="AH69" i="6"/>
  <c r="AR171" i="6"/>
  <c r="AI171" i="6"/>
  <c r="AQ123" i="6"/>
  <c r="AH123" i="6"/>
  <c r="AQ117" i="6"/>
  <c r="AH117" i="6"/>
  <c r="AR110" i="6"/>
  <c r="AI110" i="6"/>
  <c r="AR127" i="6"/>
  <c r="AI127" i="6"/>
  <c r="AR42" i="6"/>
  <c r="AI42" i="6"/>
  <c r="AQ172" i="6"/>
  <c r="AH172" i="6"/>
  <c r="AQ104" i="6"/>
  <c r="AH104" i="6"/>
  <c r="AR137" i="6"/>
  <c r="AI137" i="6"/>
  <c r="AR25" i="6"/>
  <c r="AI25" i="6"/>
  <c r="AR111" i="6"/>
  <c r="AI111" i="6"/>
  <c r="AR62" i="6"/>
  <c r="AI62" i="6"/>
  <c r="AR52" i="6"/>
  <c r="AI52" i="6"/>
  <c r="AR148" i="6"/>
  <c r="AI148" i="6"/>
  <c r="AR97" i="6"/>
  <c r="AI97" i="6"/>
  <c r="AQ184" i="6"/>
  <c r="AH184" i="6"/>
  <c r="AQ120" i="6"/>
  <c r="AH120" i="6"/>
  <c r="AU130" i="6"/>
  <c r="AL130" i="6"/>
  <c r="AR119" i="6"/>
  <c r="AI119" i="6"/>
  <c r="AS24" i="6"/>
  <c r="AJ24" i="6"/>
  <c r="AR146" i="6"/>
  <c r="AI146" i="6"/>
  <c r="AR153" i="6"/>
  <c r="AI153" i="6"/>
  <c r="AR27" i="6"/>
  <c r="AI27" i="6"/>
  <c r="AR106" i="6"/>
  <c r="AI106" i="6"/>
  <c r="AR66" i="6"/>
  <c r="AI66" i="6"/>
  <c r="AR169" i="6"/>
  <c r="AI169" i="6"/>
  <c r="AR48" i="6"/>
  <c r="AI48" i="6"/>
  <c r="AQ145" i="6"/>
  <c r="AH145" i="6"/>
  <c r="AQ174" i="6"/>
  <c r="AH174" i="6"/>
  <c r="AR187" i="6"/>
  <c r="AI187" i="6"/>
  <c r="AU126" i="6"/>
  <c r="AL126" i="6"/>
  <c r="AR99" i="6"/>
  <c r="AI99" i="6"/>
  <c r="AQ118" i="6"/>
  <c r="AH118" i="6"/>
  <c r="AQ71" i="6"/>
  <c r="AH71" i="6"/>
  <c r="AH185" i="6"/>
  <c r="AQ185" i="6"/>
  <c r="AH61" i="6"/>
  <c r="AQ61" i="6"/>
  <c r="AI50" i="6"/>
  <c r="AR50" i="6"/>
  <c r="AR75" i="6"/>
  <c r="AI75" i="6"/>
  <c r="AQ95" i="6"/>
  <c r="AH95" i="6"/>
  <c r="AR133" i="6"/>
  <c r="AI133" i="6"/>
  <c r="AR108" i="6"/>
  <c r="AI108" i="6"/>
  <c r="AQ162" i="6"/>
  <c r="AH162" i="6"/>
  <c r="AP135" i="6"/>
  <c r="AG135" i="6"/>
  <c r="AQ152" i="6"/>
  <c r="AH152" i="6"/>
  <c r="AP45" i="6"/>
  <c r="AG45" i="6"/>
  <c r="AQ173" i="6"/>
  <c r="AH173" i="6"/>
  <c r="AQ89" i="6"/>
  <c r="AH89" i="6"/>
  <c r="AG161" i="6"/>
  <c r="AP161" i="6"/>
  <c r="AH46" i="6"/>
  <c r="AQ46" i="6"/>
  <c r="AQ182" i="6"/>
  <c r="AH182" i="6"/>
  <c r="AP141" i="6"/>
  <c r="AG141" i="6"/>
  <c r="AP107" i="6"/>
  <c r="AG107" i="6"/>
  <c r="AQ137" i="6"/>
  <c r="AH137" i="6"/>
  <c r="AQ62" i="6"/>
  <c r="AH62" i="6"/>
  <c r="AQ52" i="6"/>
  <c r="AH52" i="6"/>
  <c r="M15" i="6"/>
  <c r="AE22" i="6"/>
  <c r="BT15" i="2"/>
  <c r="BP46" i="2"/>
  <c r="P51" i="6" s="1"/>
  <c r="BH49" i="2"/>
  <c r="BQ49" i="2" s="1"/>
  <c r="Q54" i="6" s="1"/>
  <c r="BP69" i="2"/>
  <c r="P74" i="6" s="1"/>
  <c r="BQ48" i="2"/>
  <c r="Q53" i="6" s="1"/>
  <c r="BP82" i="2"/>
  <c r="P87" i="6" s="1"/>
  <c r="AG72" i="4"/>
  <c r="BQ63" i="2"/>
  <c r="Q68" i="6" s="1"/>
  <c r="AP72" i="4"/>
  <c r="BH84" i="2"/>
  <c r="BQ84" i="2" s="1"/>
  <c r="Q89" i="6" s="1"/>
  <c r="BQ51" i="2"/>
  <c r="Q56" i="6" s="1"/>
  <c r="BH87" i="2"/>
  <c r="BI87" i="2" s="1"/>
  <c r="BJ87" i="2" s="1"/>
  <c r="BK87" i="2" s="1"/>
  <c r="BT87" i="2" s="1"/>
  <c r="T92" i="6" s="1"/>
  <c r="BQ25" i="2"/>
  <c r="Q30" i="6" s="1"/>
  <c r="BH151" i="2"/>
  <c r="BQ151" i="2" s="1"/>
  <c r="Q156" i="6" s="1"/>
  <c r="BP181" i="2"/>
  <c r="P186" i="6" s="1"/>
  <c r="BH171" i="2"/>
  <c r="BI171" i="2" s="1"/>
  <c r="BJ171" i="2" s="1"/>
  <c r="BK171" i="2" s="1"/>
  <c r="BT171" i="2" s="1"/>
  <c r="T176" i="6" s="1"/>
  <c r="BP52" i="2"/>
  <c r="P57" i="6" s="1"/>
  <c r="BP163" i="2"/>
  <c r="P168" i="6" s="1"/>
  <c r="BQ170" i="2"/>
  <c r="Q175" i="6" s="1"/>
  <c r="BP175" i="2"/>
  <c r="P180" i="6" s="1"/>
  <c r="BQ30" i="2"/>
  <c r="Q35" i="6" s="1"/>
  <c r="BH178" i="2"/>
  <c r="BQ178" i="2" s="1"/>
  <c r="Q183" i="6" s="1"/>
  <c r="BQ23" i="2"/>
  <c r="Q28" i="6" s="1"/>
  <c r="BP107" i="2"/>
  <c r="P112" i="6" s="1"/>
  <c r="BH111" i="2"/>
  <c r="BI111" i="2" s="1"/>
  <c r="BJ111" i="2" s="1"/>
  <c r="BK111" i="2" s="1"/>
  <c r="BT111" i="2" s="1"/>
  <c r="T116" i="6" s="1"/>
  <c r="BH85" i="2"/>
  <c r="BI85" i="2" s="1"/>
  <c r="BJ85" i="2" s="1"/>
  <c r="BK85" i="2" s="1"/>
  <c r="BT85" i="2" s="1"/>
  <c r="T90" i="6" s="1"/>
  <c r="BP21" i="2"/>
  <c r="P26" i="6" s="1"/>
  <c r="BP77" i="2"/>
  <c r="P82" i="6" s="1"/>
  <c r="BH32" i="2"/>
  <c r="BI32" i="2" s="1"/>
  <c r="BJ32" i="2" s="1"/>
  <c r="BK32" i="2" s="1"/>
  <c r="BT32" i="2" s="1"/>
  <c r="T37" i="6" s="1"/>
  <c r="BP155" i="2"/>
  <c r="P160" i="6" s="1"/>
  <c r="BH168" i="2"/>
  <c r="BI168" i="2" s="1"/>
  <c r="BJ168" i="2" s="1"/>
  <c r="BK168" i="2" s="1"/>
  <c r="BT168" i="2" s="1"/>
  <c r="T173" i="6" s="1"/>
  <c r="BP131" i="2"/>
  <c r="P136" i="6" s="1"/>
  <c r="BP116" i="2"/>
  <c r="P121" i="6" s="1"/>
  <c r="BP31" i="2"/>
  <c r="P36" i="6" s="1"/>
  <c r="BP88" i="2"/>
  <c r="P93" i="6" s="1"/>
  <c r="BF17" i="2"/>
  <c r="BO17" i="2" s="1"/>
  <c r="BH147" i="2"/>
  <c r="BI147" i="2" s="1"/>
  <c r="BE10" i="2"/>
  <c r="BI67" i="2"/>
  <c r="BJ67" i="2" s="1"/>
  <c r="BK67" i="2" s="1"/>
  <c r="BT67" i="2" s="1"/>
  <c r="T72" i="6" s="1"/>
  <c r="BQ67" i="2"/>
  <c r="Q72" i="6" s="1"/>
  <c r="C81" i="1"/>
  <c r="C82" i="1" s="1"/>
  <c r="AE15" i="6"/>
  <c r="BN10" i="2"/>
  <c r="N22" i="6"/>
  <c r="BQ75" i="2"/>
  <c r="Q80" i="6" s="1"/>
  <c r="BI75" i="2"/>
  <c r="BQ36" i="2"/>
  <c r="Q41" i="6" s="1"/>
  <c r="BI36" i="2"/>
  <c r="BJ36" i="2" s="1"/>
  <c r="BK36" i="2" s="1"/>
  <c r="BT36" i="2" s="1"/>
  <c r="T41" i="6" s="1"/>
  <c r="BQ157" i="2"/>
  <c r="Q162" i="6" s="1"/>
  <c r="BI157" i="2"/>
  <c r="BS55" i="2"/>
  <c r="S60" i="6" s="1"/>
  <c r="BR55" i="2"/>
  <c r="R60" i="6" s="1"/>
  <c r="BS165" i="2"/>
  <c r="S170" i="6" s="1"/>
  <c r="BR165" i="2"/>
  <c r="R170" i="6" s="1"/>
  <c r="BS16" i="2"/>
  <c r="S21" i="6" s="1"/>
  <c r="BR16" i="2"/>
  <c r="R21" i="6" s="1"/>
  <c r="BS86" i="2"/>
  <c r="S91" i="6" s="1"/>
  <c r="BR86" i="2"/>
  <c r="R91" i="6" s="1"/>
  <c r="BS176" i="2"/>
  <c r="S181" i="6" s="1"/>
  <c r="BR176" i="2"/>
  <c r="R181" i="6" s="1"/>
  <c r="BS33" i="2"/>
  <c r="S38" i="6" s="1"/>
  <c r="BR33" i="2"/>
  <c r="R38" i="6" s="1"/>
  <c r="BS34" i="2"/>
  <c r="S39" i="6" s="1"/>
  <c r="BR34" i="2"/>
  <c r="R39" i="6" s="1"/>
  <c r="BI46" i="2"/>
  <c r="BJ46" i="2" s="1"/>
  <c r="BK46" i="2" s="1"/>
  <c r="BT46" i="2" s="1"/>
  <c r="T51" i="6" s="1"/>
  <c r="BQ46" i="2"/>
  <c r="Q51" i="6" s="1"/>
  <c r="BI52" i="2"/>
  <c r="BJ52" i="2" s="1"/>
  <c r="BK52" i="2" s="1"/>
  <c r="BT52" i="2" s="1"/>
  <c r="T57" i="6" s="1"/>
  <c r="BQ52" i="2"/>
  <c r="Q57" i="6" s="1"/>
  <c r="BS18" i="2"/>
  <c r="S23" i="6" s="1"/>
  <c r="BR18" i="2"/>
  <c r="R23" i="6" s="1"/>
  <c r="BS74" i="2"/>
  <c r="S79" i="6" s="1"/>
  <c r="BR74" i="2"/>
  <c r="R79" i="6" s="1"/>
  <c r="BI40" i="2"/>
  <c r="BQ40" i="2"/>
  <c r="Q45" i="6" s="1"/>
  <c r="BI60" i="2"/>
  <c r="BJ60" i="2" s="1"/>
  <c r="BK60" i="2" s="1"/>
  <c r="BT60" i="2" s="1"/>
  <c r="T65" i="6" s="1"/>
  <c r="BQ60" i="2"/>
  <c r="Q65" i="6" s="1"/>
  <c r="BS25" i="2"/>
  <c r="S30" i="6" s="1"/>
  <c r="BR25" i="2"/>
  <c r="R30" i="6" s="1"/>
  <c r="BR172" i="2"/>
  <c r="R177" i="6" s="1"/>
  <c r="BS172" i="2"/>
  <c r="S177" i="6" s="1"/>
  <c r="BI138" i="2"/>
  <c r="BQ138" i="2"/>
  <c r="Q143" i="6" s="1"/>
  <c r="BS26" i="2"/>
  <c r="S31" i="6" s="1"/>
  <c r="BR26" i="2"/>
  <c r="R31" i="6" s="1"/>
  <c r="BS48" i="2"/>
  <c r="S53" i="6" s="1"/>
  <c r="BR48" i="2"/>
  <c r="R53" i="6" s="1"/>
  <c r="BS27" i="2"/>
  <c r="S32" i="6" s="1"/>
  <c r="BR27" i="2"/>
  <c r="R32" i="6" s="1"/>
  <c r="BS92" i="2"/>
  <c r="S97" i="6" s="1"/>
  <c r="BR92" i="2"/>
  <c r="R97" i="6" s="1"/>
  <c r="BI127" i="2"/>
  <c r="BQ127" i="2"/>
  <c r="Q132" i="6" s="1"/>
  <c r="BI97" i="2"/>
  <c r="BQ97" i="2"/>
  <c r="Q102" i="6" s="1"/>
  <c r="BI115" i="2"/>
  <c r="BQ115" i="2"/>
  <c r="Q120" i="6" s="1"/>
  <c r="BI107" i="2"/>
  <c r="BQ107" i="2"/>
  <c r="Q112" i="6" s="1"/>
  <c r="BS28" i="2"/>
  <c r="S33" i="6" s="1"/>
  <c r="BR28" i="2"/>
  <c r="R33" i="6" s="1"/>
  <c r="BI77" i="2"/>
  <c r="BJ77" i="2" s="1"/>
  <c r="BK77" i="2" s="1"/>
  <c r="BT77" i="2" s="1"/>
  <c r="T82" i="6" s="1"/>
  <c r="BQ77" i="2"/>
  <c r="Q82" i="6" s="1"/>
  <c r="BI93" i="2"/>
  <c r="BJ93" i="2" s="1"/>
  <c r="BK93" i="2" s="1"/>
  <c r="BT93" i="2" s="1"/>
  <c r="T98" i="6" s="1"/>
  <c r="BQ93" i="2"/>
  <c r="Q98" i="6" s="1"/>
  <c r="BS141" i="2"/>
  <c r="S146" i="6" s="1"/>
  <c r="BR141" i="2"/>
  <c r="R146" i="6" s="1"/>
  <c r="BI136" i="2"/>
  <c r="BQ136" i="2"/>
  <c r="Q141" i="6" s="1"/>
  <c r="BS54" i="2"/>
  <c r="S59" i="6" s="1"/>
  <c r="BR54" i="2"/>
  <c r="R59" i="6" s="1"/>
  <c r="BS42" i="2"/>
  <c r="S47" i="6" s="1"/>
  <c r="BR42" i="2"/>
  <c r="R47" i="6" s="1"/>
  <c r="BS41" i="2"/>
  <c r="S46" i="6" s="1"/>
  <c r="BR41" i="2"/>
  <c r="R46" i="6" s="1"/>
  <c r="BS139" i="2"/>
  <c r="S144" i="6" s="1"/>
  <c r="BR139" i="2"/>
  <c r="R144" i="6" s="1"/>
  <c r="BS126" i="2"/>
  <c r="S131" i="6" s="1"/>
  <c r="BR126" i="2"/>
  <c r="R131" i="6" s="1"/>
  <c r="BS161" i="2"/>
  <c r="S166" i="6" s="1"/>
  <c r="BR161" i="2"/>
  <c r="R166" i="6" s="1"/>
  <c r="BI146" i="2"/>
  <c r="BJ146" i="2" s="1"/>
  <c r="BK146" i="2" s="1"/>
  <c r="BT146" i="2" s="1"/>
  <c r="T151" i="6" s="1"/>
  <c r="BQ146" i="2"/>
  <c r="Q151" i="6" s="1"/>
  <c r="BI68" i="2"/>
  <c r="BJ68" i="2" s="1"/>
  <c r="BK68" i="2" s="1"/>
  <c r="BT68" i="2" s="1"/>
  <c r="T73" i="6" s="1"/>
  <c r="BQ68" i="2"/>
  <c r="Q73" i="6" s="1"/>
  <c r="BI58" i="2"/>
  <c r="BQ58" i="2"/>
  <c r="Q63" i="6" s="1"/>
  <c r="BI158" i="2"/>
  <c r="BJ158" i="2" s="1"/>
  <c r="BK158" i="2" s="1"/>
  <c r="BT158" i="2" s="1"/>
  <c r="T163" i="6" s="1"/>
  <c r="BQ158" i="2"/>
  <c r="Q163" i="6" s="1"/>
  <c r="BS173" i="2"/>
  <c r="S178" i="6" s="1"/>
  <c r="BR173" i="2"/>
  <c r="R178" i="6" s="1"/>
  <c r="BI80" i="2"/>
  <c r="BJ80" i="2" s="1"/>
  <c r="BK80" i="2" s="1"/>
  <c r="BT80" i="2" s="1"/>
  <c r="T85" i="6" s="1"/>
  <c r="BQ80" i="2"/>
  <c r="Q85" i="6" s="1"/>
  <c r="BS95" i="2"/>
  <c r="S100" i="6" s="1"/>
  <c r="BR95" i="2"/>
  <c r="R100" i="6" s="1"/>
  <c r="BI163" i="2"/>
  <c r="BQ163" i="2"/>
  <c r="Q168" i="6" s="1"/>
  <c r="BI130" i="2"/>
  <c r="BJ130" i="2" s="1"/>
  <c r="BK130" i="2" s="1"/>
  <c r="BT130" i="2" s="1"/>
  <c r="T135" i="6" s="1"/>
  <c r="BQ130" i="2"/>
  <c r="Q135" i="6" s="1"/>
  <c r="BI167" i="2"/>
  <c r="BQ167" i="2"/>
  <c r="Q172" i="6" s="1"/>
  <c r="BI159" i="2"/>
  <c r="BJ159" i="2" s="1"/>
  <c r="BK159" i="2" s="1"/>
  <c r="BT159" i="2" s="1"/>
  <c r="T164" i="6" s="1"/>
  <c r="BQ159" i="2"/>
  <c r="Q164" i="6" s="1"/>
  <c r="BS135" i="2"/>
  <c r="S140" i="6" s="1"/>
  <c r="BR135" i="2"/>
  <c r="R140" i="6" s="1"/>
  <c r="BR38" i="2"/>
  <c r="R43" i="6" s="1"/>
  <c r="BS38" i="2"/>
  <c r="S43" i="6" s="1"/>
  <c r="BS174" i="2"/>
  <c r="S179" i="6" s="1"/>
  <c r="BR174" i="2"/>
  <c r="R179" i="6" s="1"/>
  <c r="BS72" i="2"/>
  <c r="S77" i="6" s="1"/>
  <c r="BR72" i="2"/>
  <c r="R77" i="6" s="1"/>
  <c r="BI39" i="2"/>
  <c r="BQ39" i="2"/>
  <c r="Q44" i="6" s="1"/>
  <c r="BS57" i="2"/>
  <c r="S62" i="6" s="1"/>
  <c r="BR57" i="2"/>
  <c r="R62" i="6" s="1"/>
  <c r="BS47" i="2"/>
  <c r="S52" i="6" s="1"/>
  <c r="BR47" i="2"/>
  <c r="R52" i="6" s="1"/>
  <c r="BS63" i="2"/>
  <c r="S68" i="6" s="1"/>
  <c r="BR63" i="2"/>
  <c r="R68" i="6" s="1"/>
  <c r="BQ35" i="2"/>
  <c r="Q40" i="6" s="1"/>
  <c r="BI35" i="2"/>
  <c r="BJ35" i="2" s="1"/>
  <c r="BK35" i="2" s="1"/>
  <c r="BT35" i="2" s="1"/>
  <c r="T40" i="6" s="1"/>
  <c r="BS83" i="2"/>
  <c r="S88" i="6" s="1"/>
  <c r="BR83" i="2"/>
  <c r="R88" i="6" s="1"/>
  <c r="BQ71" i="2"/>
  <c r="Q76" i="6" s="1"/>
  <c r="BI71" i="2"/>
  <c r="BJ71" i="2" s="1"/>
  <c r="BK71" i="2" s="1"/>
  <c r="BT71" i="2" s="1"/>
  <c r="T76" i="6" s="1"/>
  <c r="BQ181" i="2"/>
  <c r="Q186" i="6" s="1"/>
  <c r="BI181" i="2"/>
  <c r="BJ181" i="2" s="1"/>
  <c r="BK181" i="2" s="1"/>
  <c r="BT181" i="2" s="1"/>
  <c r="T186" i="6" s="1"/>
  <c r="BS117" i="2"/>
  <c r="S122" i="6" s="1"/>
  <c r="BR117" i="2"/>
  <c r="R122" i="6" s="1"/>
  <c r="BS98" i="2"/>
  <c r="S103" i="6" s="1"/>
  <c r="BR98" i="2"/>
  <c r="R103" i="6" s="1"/>
  <c r="BQ153" i="2"/>
  <c r="Q158" i="6" s="1"/>
  <c r="BI153" i="2"/>
  <c r="BJ153" i="2" s="1"/>
  <c r="BK153" i="2" s="1"/>
  <c r="BT153" i="2" s="1"/>
  <c r="T158" i="6" s="1"/>
  <c r="BI160" i="2"/>
  <c r="BQ160" i="2"/>
  <c r="Q165" i="6" s="1"/>
  <c r="BI156" i="2"/>
  <c r="BJ156" i="2" s="1"/>
  <c r="BK156" i="2" s="1"/>
  <c r="BT156" i="2" s="1"/>
  <c r="T161" i="6" s="1"/>
  <c r="BQ156" i="2"/>
  <c r="Q161" i="6" s="1"/>
  <c r="BI145" i="2"/>
  <c r="BJ145" i="2" s="1"/>
  <c r="BK145" i="2" s="1"/>
  <c r="BT145" i="2" s="1"/>
  <c r="T150" i="6" s="1"/>
  <c r="BQ145" i="2"/>
  <c r="Q150" i="6" s="1"/>
  <c r="BI56" i="2"/>
  <c r="BJ56" i="2" s="1"/>
  <c r="BK56" i="2" s="1"/>
  <c r="BT56" i="2" s="1"/>
  <c r="T61" i="6" s="1"/>
  <c r="BQ56" i="2"/>
  <c r="Q61" i="6" s="1"/>
  <c r="BS45" i="2"/>
  <c r="S50" i="6" s="1"/>
  <c r="BR45" i="2"/>
  <c r="R50" i="6" s="1"/>
  <c r="BS70" i="2"/>
  <c r="S75" i="6" s="1"/>
  <c r="BR70" i="2"/>
  <c r="R75" i="6" s="1"/>
  <c r="BI90" i="2"/>
  <c r="BJ90" i="2" s="1"/>
  <c r="BK90" i="2" s="1"/>
  <c r="BT90" i="2" s="1"/>
  <c r="T95" i="6" s="1"/>
  <c r="BQ90" i="2"/>
  <c r="Q95" i="6" s="1"/>
  <c r="BS128" i="2"/>
  <c r="S133" i="6" s="1"/>
  <c r="BR128" i="2"/>
  <c r="R133" i="6" s="1"/>
  <c r="BI31" i="2"/>
  <c r="BQ31" i="2"/>
  <c r="Q36" i="6" s="1"/>
  <c r="BS89" i="2"/>
  <c r="S94" i="6" s="1"/>
  <c r="BR89" i="2"/>
  <c r="R94" i="6" s="1"/>
  <c r="BS24" i="2"/>
  <c r="S29" i="6" s="1"/>
  <c r="BR24" i="2"/>
  <c r="R29" i="6" s="1"/>
  <c r="BR104" i="2"/>
  <c r="R109" i="6" s="1"/>
  <c r="BS104" i="2"/>
  <c r="S109" i="6" s="1"/>
  <c r="BS144" i="2"/>
  <c r="S149" i="6" s="1"/>
  <c r="BR144" i="2"/>
  <c r="R149" i="6" s="1"/>
  <c r="BS183" i="2"/>
  <c r="S188" i="6" s="1"/>
  <c r="BR183" i="2"/>
  <c r="R188" i="6" s="1"/>
  <c r="BS29" i="2"/>
  <c r="S34" i="6" s="1"/>
  <c r="BR29" i="2"/>
  <c r="R34" i="6" s="1"/>
  <c r="BS53" i="2"/>
  <c r="S58" i="6" s="1"/>
  <c r="BR53" i="2"/>
  <c r="R58" i="6" s="1"/>
  <c r="BR108" i="2"/>
  <c r="R113" i="6" s="1"/>
  <c r="BS108" i="2"/>
  <c r="S113" i="6" s="1"/>
  <c r="BI100" i="2"/>
  <c r="BQ100" i="2"/>
  <c r="Q105" i="6" s="1"/>
  <c r="BI82" i="2"/>
  <c r="BJ82" i="2" s="1"/>
  <c r="BK82" i="2" s="1"/>
  <c r="BT82" i="2" s="1"/>
  <c r="T87" i="6" s="1"/>
  <c r="BQ82" i="2"/>
  <c r="Q87" i="6" s="1"/>
  <c r="BS96" i="2"/>
  <c r="S101" i="6" s="1"/>
  <c r="BR96" i="2"/>
  <c r="R101" i="6" s="1"/>
  <c r="BS162" i="2"/>
  <c r="S167" i="6" s="1"/>
  <c r="BR162" i="2"/>
  <c r="R167" i="6" s="1"/>
  <c r="BS50" i="2"/>
  <c r="S55" i="6" s="1"/>
  <c r="BR50" i="2"/>
  <c r="R55" i="6" s="1"/>
  <c r="BI134" i="2"/>
  <c r="BQ134" i="2"/>
  <c r="Q139" i="6" s="1"/>
  <c r="BQ109" i="2"/>
  <c r="Q114" i="6" s="1"/>
  <c r="BI109" i="2"/>
  <c r="BI152" i="2"/>
  <c r="BQ152" i="2"/>
  <c r="Q157" i="6" s="1"/>
  <c r="BQ129" i="2"/>
  <c r="Q134" i="6" s="1"/>
  <c r="BI129" i="2"/>
  <c r="BI64" i="2"/>
  <c r="BQ64" i="2"/>
  <c r="Q69" i="6" s="1"/>
  <c r="BS166" i="2"/>
  <c r="S171" i="6" s="1"/>
  <c r="BR166" i="2"/>
  <c r="R171" i="6" s="1"/>
  <c r="BI118" i="2"/>
  <c r="BQ118" i="2"/>
  <c r="Q123" i="6" s="1"/>
  <c r="BI112" i="2"/>
  <c r="BQ112" i="2"/>
  <c r="Q117" i="6" s="1"/>
  <c r="BS105" i="2"/>
  <c r="S110" i="6" s="1"/>
  <c r="BR105" i="2"/>
  <c r="R110" i="6" s="1"/>
  <c r="BS122" i="2"/>
  <c r="S127" i="6" s="1"/>
  <c r="BR122" i="2"/>
  <c r="R127" i="6" s="1"/>
  <c r="BS142" i="2"/>
  <c r="S147" i="6" s="1"/>
  <c r="BR142" i="2"/>
  <c r="R147" i="6" s="1"/>
  <c r="BS149" i="2"/>
  <c r="S154" i="6" s="1"/>
  <c r="BR149" i="2"/>
  <c r="R154" i="6" s="1"/>
  <c r="BS91" i="2"/>
  <c r="S96" i="6" s="1"/>
  <c r="BR91" i="2"/>
  <c r="R96" i="6" s="1"/>
  <c r="BR15" i="2"/>
  <c r="R20" i="6" s="1"/>
  <c r="BI179" i="2"/>
  <c r="BJ179" i="2" s="1"/>
  <c r="BK179" i="2" s="1"/>
  <c r="BT179" i="2" s="1"/>
  <c r="T184" i="6" s="1"/>
  <c r="BQ179" i="2"/>
  <c r="Q184" i="6" s="1"/>
  <c r="BI69" i="2"/>
  <c r="BQ69" i="2"/>
  <c r="Q74" i="6" s="1"/>
  <c r="BI175" i="2"/>
  <c r="BJ175" i="2" s="1"/>
  <c r="BK175" i="2" s="1"/>
  <c r="BT175" i="2" s="1"/>
  <c r="T180" i="6" s="1"/>
  <c r="BQ175" i="2"/>
  <c r="Q180" i="6" s="1"/>
  <c r="BS51" i="2"/>
  <c r="S56" i="6" s="1"/>
  <c r="BR51" i="2"/>
  <c r="R56" i="6" s="1"/>
  <c r="BS120" i="2"/>
  <c r="S125" i="6" s="1"/>
  <c r="BR120" i="2"/>
  <c r="R125" i="6" s="1"/>
  <c r="BR30" i="2"/>
  <c r="R35" i="6" s="1"/>
  <c r="BS30" i="2"/>
  <c r="S35" i="6" s="1"/>
  <c r="BI65" i="2"/>
  <c r="BJ65" i="2" s="1"/>
  <c r="BK65" i="2" s="1"/>
  <c r="BT65" i="2" s="1"/>
  <c r="T70" i="6" s="1"/>
  <c r="BQ65" i="2"/>
  <c r="Q70" i="6" s="1"/>
  <c r="BS114" i="2"/>
  <c r="S119" i="6" s="1"/>
  <c r="BR114" i="2"/>
  <c r="R119" i="6" s="1"/>
  <c r="BI73" i="2"/>
  <c r="BJ73" i="2" s="1"/>
  <c r="BK73" i="2" s="1"/>
  <c r="BT73" i="2" s="1"/>
  <c r="T78" i="6" s="1"/>
  <c r="BQ73" i="2"/>
  <c r="Q78" i="6" s="1"/>
  <c r="BI137" i="2"/>
  <c r="BJ137" i="2" s="1"/>
  <c r="BK137" i="2" s="1"/>
  <c r="BT137" i="2" s="1"/>
  <c r="T142" i="6" s="1"/>
  <c r="BQ137" i="2"/>
  <c r="Q142" i="6" s="1"/>
  <c r="BI116" i="2"/>
  <c r="BJ116" i="2" s="1"/>
  <c r="BK116" i="2" s="1"/>
  <c r="BT116" i="2" s="1"/>
  <c r="T121" i="6" s="1"/>
  <c r="BQ116" i="2"/>
  <c r="Q121" i="6" s="1"/>
  <c r="BS148" i="2"/>
  <c r="S153" i="6" s="1"/>
  <c r="BR148" i="2"/>
  <c r="R153" i="6" s="1"/>
  <c r="BR22" i="2"/>
  <c r="R27" i="6" s="1"/>
  <c r="BS22" i="2"/>
  <c r="S27" i="6" s="1"/>
  <c r="BS101" i="2"/>
  <c r="S106" i="6" s="1"/>
  <c r="BR101" i="2"/>
  <c r="R106" i="6" s="1"/>
  <c r="BS61" i="2"/>
  <c r="S66" i="6" s="1"/>
  <c r="BR61" i="2"/>
  <c r="R66" i="6" s="1"/>
  <c r="BS164" i="2"/>
  <c r="S169" i="6" s="1"/>
  <c r="BR164" i="2"/>
  <c r="R169" i="6" s="1"/>
  <c r="BS23" i="2"/>
  <c r="S28" i="6" s="1"/>
  <c r="BR23" i="2"/>
  <c r="R28" i="6" s="1"/>
  <c r="BS43" i="2"/>
  <c r="S48" i="6" s="1"/>
  <c r="BR43" i="2"/>
  <c r="R48" i="6" s="1"/>
  <c r="BI140" i="2"/>
  <c r="BQ140" i="2"/>
  <c r="Q145" i="6" s="1"/>
  <c r="BI169" i="2"/>
  <c r="BQ169" i="2"/>
  <c r="Q174" i="6" s="1"/>
  <c r="BS182" i="2"/>
  <c r="S187" i="6" s="1"/>
  <c r="BR182" i="2"/>
  <c r="R187" i="6" s="1"/>
  <c r="BS121" i="2"/>
  <c r="S126" i="6" s="1"/>
  <c r="BR121" i="2"/>
  <c r="R126" i="6" s="1"/>
  <c r="BI150" i="2"/>
  <c r="BJ150" i="2" s="1"/>
  <c r="BK150" i="2" s="1"/>
  <c r="BT150" i="2" s="1"/>
  <c r="T155" i="6" s="1"/>
  <c r="BQ150" i="2"/>
  <c r="Q155" i="6" s="1"/>
  <c r="BI133" i="2"/>
  <c r="BQ133" i="2"/>
  <c r="Q138" i="6" s="1"/>
  <c r="BI102" i="2"/>
  <c r="BQ102" i="2"/>
  <c r="Q107" i="6" s="1"/>
  <c r="BI154" i="2"/>
  <c r="BJ154" i="2" s="1"/>
  <c r="BK154" i="2" s="1"/>
  <c r="BT154" i="2" s="1"/>
  <c r="T159" i="6" s="1"/>
  <c r="BQ154" i="2"/>
  <c r="Q159" i="6" s="1"/>
  <c r="BS37" i="2"/>
  <c r="S42" i="6" s="1"/>
  <c r="BR37" i="2"/>
  <c r="R42" i="6" s="1"/>
  <c r="BI131" i="2"/>
  <c r="BJ131" i="2" s="1"/>
  <c r="BK131" i="2" s="1"/>
  <c r="BT131" i="2" s="1"/>
  <c r="T136" i="6" s="1"/>
  <c r="BQ131" i="2"/>
  <c r="Q136" i="6" s="1"/>
  <c r="BS170" i="2"/>
  <c r="S175" i="6" s="1"/>
  <c r="BR170" i="2"/>
  <c r="R175" i="6" s="1"/>
  <c r="BI99" i="2"/>
  <c r="BJ99" i="2" s="1"/>
  <c r="BK99" i="2" s="1"/>
  <c r="BT99" i="2" s="1"/>
  <c r="T104" i="6" s="1"/>
  <c r="BQ99" i="2"/>
  <c r="Q104" i="6" s="1"/>
  <c r="BS132" i="2"/>
  <c r="S137" i="6" s="1"/>
  <c r="BR132" i="2"/>
  <c r="R137" i="6" s="1"/>
  <c r="BS20" i="2"/>
  <c r="S25" i="6" s="1"/>
  <c r="BR20" i="2"/>
  <c r="R25" i="6" s="1"/>
  <c r="BS106" i="2"/>
  <c r="S111" i="6" s="1"/>
  <c r="BR106" i="2"/>
  <c r="R111" i="6" s="1"/>
  <c r="BI21" i="2"/>
  <c r="BJ21" i="2" s="1"/>
  <c r="BK21" i="2" s="1"/>
  <c r="BT21" i="2" s="1"/>
  <c r="T26" i="6" s="1"/>
  <c r="BQ21" i="2"/>
  <c r="Q26" i="6" s="1"/>
  <c r="BI155" i="2"/>
  <c r="BJ155" i="2" s="1"/>
  <c r="BK155" i="2" s="1"/>
  <c r="BT155" i="2" s="1"/>
  <c r="T160" i="6" s="1"/>
  <c r="BQ155" i="2"/>
  <c r="Q160" i="6" s="1"/>
  <c r="BS81" i="2"/>
  <c r="S86" i="6" s="1"/>
  <c r="BR81" i="2"/>
  <c r="R86" i="6" s="1"/>
  <c r="BS59" i="2"/>
  <c r="S64" i="6" s="1"/>
  <c r="BR59" i="2"/>
  <c r="R64" i="6" s="1"/>
  <c r="BS143" i="2"/>
  <c r="S148" i="6" s="1"/>
  <c r="BR143" i="2"/>
  <c r="R148" i="6" s="1"/>
  <c r="BI88" i="2"/>
  <c r="BJ88" i="2" s="1"/>
  <c r="BK88" i="2" s="1"/>
  <c r="BT88" i="2" s="1"/>
  <c r="T93" i="6" s="1"/>
  <c r="BQ88" i="2"/>
  <c r="Q93" i="6" s="1"/>
  <c r="BQ79" i="2"/>
  <c r="Q84" i="6" s="1"/>
  <c r="BI79" i="2"/>
  <c r="BJ79" i="2" s="1"/>
  <c r="BK79" i="2" s="1"/>
  <c r="BT79" i="2" s="1"/>
  <c r="T84" i="6" s="1"/>
  <c r="BI110" i="2"/>
  <c r="BJ110" i="2" s="1"/>
  <c r="BK110" i="2" s="1"/>
  <c r="BT110" i="2" s="1"/>
  <c r="T115" i="6" s="1"/>
  <c r="BQ110" i="2"/>
  <c r="Q115" i="6" s="1"/>
  <c r="BS125" i="2"/>
  <c r="S130" i="6" s="1"/>
  <c r="BR125" i="2"/>
  <c r="R130" i="6" s="1"/>
  <c r="BI76" i="2"/>
  <c r="BQ76" i="2"/>
  <c r="Q81" i="6" s="1"/>
  <c r="BS94" i="2"/>
  <c r="S99" i="6" s="1"/>
  <c r="BR94" i="2"/>
  <c r="R99" i="6" s="1"/>
  <c r="BQ113" i="2"/>
  <c r="Q118" i="6" s="1"/>
  <c r="BI113" i="2"/>
  <c r="BJ113" i="2" s="1"/>
  <c r="BK113" i="2" s="1"/>
  <c r="BT113" i="2" s="1"/>
  <c r="T118" i="6" s="1"/>
  <c r="BI66" i="2"/>
  <c r="BJ66" i="2" s="1"/>
  <c r="BK66" i="2" s="1"/>
  <c r="BT66" i="2" s="1"/>
  <c r="T71" i="6" s="1"/>
  <c r="BQ66" i="2"/>
  <c r="Q71" i="6" s="1"/>
  <c r="BI180" i="2"/>
  <c r="BJ180" i="2" s="1"/>
  <c r="BK180" i="2" s="1"/>
  <c r="BT180" i="2" s="1"/>
  <c r="T185" i="6" s="1"/>
  <c r="BQ180" i="2"/>
  <c r="Q185" i="6" s="1"/>
  <c r="BI78" i="2"/>
  <c r="BQ78" i="2"/>
  <c r="Q83" i="6" s="1"/>
  <c r="BS123" i="2"/>
  <c r="S128" i="6" s="1"/>
  <c r="BR123" i="2"/>
  <c r="R128" i="6" s="1"/>
  <c r="BS119" i="2"/>
  <c r="S124" i="6" s="1"/>
  <c r="BR119" i="2"/>
  <c r="R124" i="6" s="1"/>
  <c r="BI44" i="2"/>
  <c r="BJ44" i="2" s="1"/>
  <c r="BK44" i="2" s="1"/>
  <c r="BT44" i="2" s="1"/>
  <c r="T49" i="6" s="1"/>
  <c r="BQ44" i="2"/>
  <c r="Q49" i="6" s="1"/>
  <c r="BS177" i="2"/>
  <c r="S182" i="6" s="1"/>
  <c r="BR177" i="2"/>
  <c r="R182" i="6" s="1"/>
  <c r="BS124" i="2"/>
  <c r="S129" i="6" s="1"/>
  <c r="BR124" i="2"/>
  <c r="R129" i="6" s="1"/>
  <c r="BS103" i="2"/>
  <c r="S108" i="6" s="1"/>
  <c r="BR103" i="2"/>
  <c r="R108" i="6" s="1"/>
  <c r="O100" i="4"/>
  <c r="AO100" i="4"/>
  <c r="AF100" i="4"/>
  <c r="AT180" i="4"/>
  <c r="AK180" i="4"/>
  <c r="AQ169" i="4"/>
  <c r="AH169" i="4"/>
  <c r="Q169" i="4"/>
  <c r="AP103" i="4"/>
  <c r="AG103" i="4"/>
  <c r="P103" i="4"/>
  <c r="AH107" i="4"/>
  <c r="AQ107" i="4"/>
  <c r="Q107" i="4"/>
  <c r="AG225" i="4"/>
  <c r="AP225" i="4"/>
  <c r="P225" i="4"/>
  <c r="AS156" i="4"/>
  <c r="AJ156" i="4"/>
  <c r="S156" i="4"/>
  <c r="AJ164" i="4"/>
  <c r="AS164" i="4"/>
  <c r="S164" i="4"/>
  <c r="AI178" i="4"/>
  <c r="AR178" i="4"/>
  <c r="R178" i="4"/>
  <c r="AQ232" i="4"/>
  <c r="AH232" i="4"/>
  <c r="Q232" i="4"/>
  <c r="AT236" i="4"/>
  <c r="AK236" i="4"/>
  <c r="AG231" i="4"/>
  <c r="AP231" i="4"/>
  <c r="P231" i="4"/>
  <c r="AI140" i="4"/>
  <c r="AR140" i="4"/>
  <c r="R140" i="4"/>
  <c r="AH93" i="4"/>
  <c r="AQ93" i="4"/>
  <c r="Q93" i="4"/>
  <c r="AI110" i="4"/>
  <c r="AR110" i="4"/>
  <c r="R110" i="4"/>
  <c r="AP177" i="4"/>
  <c r="AG177" i="4"/>
  <c r="P177" i="4"/>
  <c r="AP113" i="4"/>
  <c r="AG113" i="4"/>
  <c r="P113" i="4"/>
  <c r="AI212" i="4"/>
  <c r="AR212" i="4"/>
  <c r="R212" i="4"/>
  <c r="AP198" i="4"/>
  <c r="AG198" i="4"/>
  <c r="P198" i="4"/>
  <c r="AP211" i="4"/>
  <c r="AG211" i="4"/>
  <c r="P211" i="4"/>
  <c r="AI96" i="4"/>
  <c r="AR96" i="4"/>
  <c r="R96" i="4"/>
  <c r="AG90" i="4"/>
  <c r="AP90" i="4"/>
  <c r="P90" i="4"/>
  <c r="AP109" i="4"/>
  <c r="AG109" i="4"/>
  <c r="P109" i="4"/>
  <c r="AH181" i="4"/>
  <c r="AQ181" i="4"/>
  <c r="Q181" i="4"/>
  <c r="AR120" i="4"/>
  <c r="AI120" i="4"/>
  <c r="R120" i="4"/>
  <c r="AI144" i="4"/>
  <c r="AR144" i="4"/>
  <c r="R144" i="4"/>
  <c r="AH126" i="4"/>
  <c r="AQ126" i="4"/>
  <c r="Q126" i="4"/>
  <c r="AS137" i="4"/>
  <c r="AJ137" i="4"/>
  <c r="S137" i="4"/>
  <c r="AS234" i="4"/>
  <c r="AJ234" i="4"/>
  <c r="S234" i="4"/>
  <c r="AG197" i="4"/>
  <c r="AP197" i="4"/>
  <c r="P197" i="4"/>
  <c r="AI188" i="4"/>
  <c r="AR188" i="4"/>
  <c r="R188" i="4"/>
  <c r="AG184" i="4"/>
  <c r="AP184" i="4"/>
  <c r="P184" i="4"/>
  <c r="AQ193" i="4"/>
  <c r="AH193" i="4"/>
  <c r="Q193" i="4"/>
  <c r="AH171" i="4"/>
  <c r="AQ171" i="4"/>
  <c r="Q171" i="4"/>
  <c r="AP217" i="4"/>
  <c r="AG217" i="4"/>
  <c r="P217" i="4"/>
  <c r="AP165" i="4"/>
  <c r="AG165" i="4"/>
  <c r="P165" i="4"/>
  <c r="AQ174" i="4"/>
  <c r="AH174" i="4"/>
  <c r="Q174" i="4"/>
  <c r="AP98" i="4"/>
  <c r="AG98" i="4"/>
  <c r="P98" i="4"/>
  <c r="AP79" i="4"/>
  <c r="AG79" i="4"/>
  <c r="P79" i="4"/>
  <c r="AG161" i="4"/>
  <c r="AP161" i="4"/>
  <c r="P161" i="4"/>
  <c r="AQ133" i="4"/>
  <c r="AH133" i="4"/>
  <c r="Q133" i="4"/>
  <c r="AQ80" i="4"/>
  <c r="AH80" i="4"/>
  <c r="Q80" i="4"/>
  <c r="AH172" i="4"/>
  <c r="AQ172" i="4"/>
  <c r="Q172" i="4"/>
  <c r="AP220" i="4"/>
  <c r="AG220" i="4"/>
  <c r="P220" i="4"/>
  <c r="AQ227" i="4"/>
  <c r="AH227" i="4"/>
  <c r="Q227" i="4"/>
  <c r="AQ72" i="4"/>
  <c r="AH72" i="4"/>
  <c r="Q72" i="4"/>
  <c r="AQ233" i="4"/>
  <c r="AH233" i="4"/>
  <c r="Q233" i="4"/>
  <c r="AG224" i="4"/>
  <c r="AP224" i="4"/>
  <c r="P224" i="4"/>
  <c r="AJ84" i="4"/>
  <c r="AS84" i="4"/>
  <c r="S84" i="4"/>
  <c r="AJ158" i="4"/>
  <c r="AS158" i="4"/>
  <c r="S158" i="4"/>
  <c r="AH74" i="4"/>
  <c r="AQ74" i="4"/>
  <c r="Q74" i="4"/>
  <c r="AS114" i="4"/>
  <c r="AJ114" i="4"/>
  <c r="S114" i="4"/>
  <c r="AH127" i="4"/>
  <c r="AQ127" i="4"/>
  <c r="Q127" i="4"/>
  <c r="AH200" i="4"/>
  <c r="AQ200" i="4"/>
  <c r="Q200" i="4"/>
  <c r="AH105" i="4"/>
  <c r="AQ105" i="4"/>
  <c r="Q105" i="4"/>
  <c r="AH112" i="4"/>
  <c r="AQ112" i="4"/>
  <c r="Q112" i="4"/>
  <c r="AS128" i="4"/>
  <c r="AJ128" i="4"/>
  <c r="S128" i="4"/>
  <c r="AG226" i="4"/>
  <c r="AP226" i="4"/>
  <c r="P226" i="4"/>
  <c r="AP118" i="4"/>
  <c r="AG118" i="4"/>
  <c r="P118" i="4"/>
  <c r="AG135" i="4"/>
  <c r="AP135" i="4"/>
  <c r="P135" i="4"/>
  <c r="AG168" i="4"/>
  <c r="AP168" i="4"/>
  <c r="P168" i="4"/>
  <c r="AS185" i="4"/>
  <c r="AJ185" i="4"/>
  <c r="S185" i="4"/>
  <c r="AQ170" i="4"/>
  <c r="AH170" i="4"/>
  <c r="Q170" i="4"/>
  <c r="AS205" i="4"/>
  <c r="AJ205" i="4"/>
  <c r="S205" i="4"/>
  <c r="AQ152" i="4"/>
  <c r="AH152" i="4"/>
  <c r="Q152" i="4"/>
  <c r="AJ208" i="4"/>
  <c r="AS208" i="4"/>
  <c r="S208" i="4"/>
  <c r="AG86" i="4"/>
  <c r="AP86" i="4"/>
  <c r="P86" i="4"/>
  <c r="AP210" i="4"/>
  <c r="AG210" i="4"/>
  <c r="P210" i="4"/>
  <c r="AH99" i="4"/>
  <c r="AQ99" i="4"/>
  <c r="Q99" i="4"/>
  <c r="AP214" i="4"/>
  <c r="AG214" i="4"/>
  <c r="P214" i="4"/>
  <c r="AS222" i="4"/>
  <c r="AJ222" i="4"/>
  <c r="S222" i="4"/>
  <c r="AP223" i="4"/>
  <c r="AG223" i="4"/>
  <c r="P223" i="4"/>
  <c r="AH219" i="4"/>
  <c r="AQ219" i="4"/>
  <c r="Q219" i="4"/>
  <c r="AQ218" i="4"/>
  <c r="AH218" i="4"/>
  <c r="Q218" i="4"/>
  <c r="AP179" i="4"/>
  <c r="AG179" i="4"/>
  <c r="P179" i="4"/>
  <c r="AP108" i="4"/>
  <c r="AG108" i="4"/>
  <c r="P108" i="4"/>
  <c r="AR125" i="4"/>
  <c r="AI125" i="4"/>
  <c r="R125" i="4"/>
  <c r="AH196" i="4"/>
  <c r="AQ196" i="4"/>
  <c r="Q196" i="4"/>
  <c r="AQ145" i="4"/>
  <c r="AH145" i="4"/>
  <c r="Q145" i="4"/>
  <c r="AP101" i="4"/>
  <c r="AG101" i="4"/>
  <c r="P101" i="4"/>
  <c r="AH204" i="4"/>
  <c r="AQ204" i="4"/>
  <c r="Q204" i="4"/>
  <c r="AP142" i="4"/>
  <c r="AG142" i="4"/>
  <c r="P142" i="4"/>
  <c r="AH194" i="4"/>
  <c r="AQ194" i="4"/>
  <c r="Q194" i="4"/>
  <c r="AP159" i="4"/>
  <c r="AG159" i="4"/>
  <c r="P159" i="4"/>
  <c r="AR166" i="4"/>
  <c r="AI166" i="4"/>
  <c r="R166" i="4"/>
  <c r="AQ154" i="4"/>
  <c r="AH154" i="4"/>
  <c r="Q154" i="4"/>
  <c r="AS189" i="4"/>
  <c r="AJ189" i="4"/>
  <c r="S189" i="4"/>
  <c r="AI237" i="4"/>
  <c r="AR237" i="4"/>
  <c r="R237" i="4"/>
  <c r="AQ150" i="4"/>
  <c r="AH150" i="4"/>
  <c r="Q150" i="4"/>
  <c r="AI77" i="4"/>
  <c r="AR77" i="4"/>
  <c r="R77" i="4"/>
  <c r="AQ155" i="4"/>
  <c r="AH155" i="4"/>
  <c r="Q155" i="4"/>
  <c r="AP209" i="4"/>
  <c r="AG209" i="4"/>
  <c r="P209" i="4"/>
  <c r="AR149" i="4"/>
  <c r="AI149" i="4"/>
  <c r="R149" i="4"/>
  <c r="AP206" i="4"/>
  <c r="AG206" i="4"/>
  <c r="P206" i="4"/>
  <c r="AP160" i="4"/>
  <c r="AG160" i="4"/>
  <c r="P160" i="4"/>
  <c r="AG151" i="4"/>
  <c r="AP151" i="4"/>
  <c r="P151" i="4"/>
  <c r="AQ229" i="4"/>
  <c r="AH229" i="4"/>
  <c r="Q229" i="4"/>
  <c r="AR195" i="4"/>
  <c r="AI195" i="4"/>
  <c r="R195" i="4"/>
  <c r="AQ131" i="4"/>
  <c r="AH131" i="4"/>
  <c r="Q131" i="4"/>
  <c r="AH97" i="4"/>
  <c r="AQ97" i="4"/>
  <c r="Q97" i="4"/>
  <c r="AR182" i="4"/>
  <c r="AI182" i="4"/>
  <c r="R182" i="4"/>
  <c r="AI207" i="4"/>
  <c r="AR207" i="4"/>
  <c r="R207" i="4"/>
  <c r="AQ238" i="4"/>
  <c r="AH238" i="4"/>
  <c r="Q238" i="4"/>
  <c r="AS175" i="4"/>
  <c r="AJ175" i="4"/>
  <c r="S175" i="4"/>
  <c r="AR183" i="4"/>
  <c r="AI183" i="4"/>
  <c r="R183" i="4"/>
  <c r="AI75" i="4"/>
  <c r="AR75" i="4"/>
  <c r="R75" i="4"/>
  <c r="AH215" i="4"/>
  <c r="AQ215" i="4"/>
  <c r="Q215" i="4"/>
  <c r="AS213" i="4"/>
  <c r="AJ213" i="4"/>
  <c r="S213" i="4"/>
  <c r="AP187" i="4"/>
  <c r="AG187" i="4"/>
  <c r="P187" i="4"/>
  <c r="AR141" i="4"/>
  <c r="AI141" i="4"/>
  <c r="R141" i="4"/>
  <c r="AG162" i="4"/>
  <c r="AP162" i="4"/>
  <c r="P162" i="4"/>
  <c r="AR132" i="4"/>
  <c r="AI132" i="4"/>
  <c r="R132" i="4"/>
  <c r="AP87" i="4"/>
  <c r="AG87" i="4"/>
  <c r="P87" i="4"/>
  <c r="P129" i="4"/>
  <c r="AG129" i="4"/>
  <c r="AP129" i="4"/>
  <c r="AH147" i="4"/>
  <c r="AQ147" i="4"/>
  <c r="Q147" i="4"/>
  <c r="AH221" i="4"/>
  <c r="AQ221" i="4"/>
  <c r="Q221" i="4"/>
  <c r="AP157" i="4"/>
  <c r="AG157" i="4"/>
  <c r="P157" i="4"/>
  <c r="AG117" i="4"/>
  <c r="AP117" i="4"/>
  <c r="P117" i="4"/>
  <c r="AI88" i="4"/>
  <c r="AR88" i="4"/>
  <c r="R88" i="4"/>
  <c r="AQ230" i="4"/>
  <c r="AH230" i="4"/>
  <c r="Q230" i="4"/>
  <c r="AG167" i="4"/>
  <c r="AP167" i="4"/>
  <c r="P167" i="4"/>
  <c r="AS191" i="4"/>
  <c r="AJ191" i="4"/>
  <c r="S191" i="4"/>
  <c r="AI91" i="4"/>
  <c r="AR91" i="4"/>
  <c r="R91" i="4"/>
  <c r="AG124" i="4"/>
  <c r="AP124" i="4"/>
  <c r="P124" i="4"/>
  <c r="AG89" i="4"/>
  <c r="AP89" i="4"/>
  <c r="P89" i="4"/>
  <c r="AR239" i="4"/>
  <c r="AI239" i="4"/>
  <c r="R239" i="4"/>
  <c r="AJ85" i="4"/>
  <c r="AS85" i="4"/>
  <c r="S85" i="4"/>
  <c r="AG111" i="4"/>
  <c r="AP111" i="4"/>
  <c r="P111" i="4"/>
  <c r="AH235" i="4"/>
  <c r="AQ235" i="4"/>
  <c r="Q235" i="4"/>
  <c r="AI143" i="4"/>
  <c r="AR143" i="4"/>
  <c r="R143" i="4"/>
  <c r="AP138" i="4"/>
  <c r="AG138" i="4"/>
  <c r="P138" i="4"/>
  <c r="AP134" i="4"/>
  <c r="AG134" i="4"/>
  <c r="P134" i="4"/>
  <c r="AP122" i="4"/>
  <c r="AG122" i="4"/>
  <c r="P122" i="4"/>
  <c r="AS121" i="4"/>
  <c r="AJ121" i="4"/>
  <c r="S121" i="4"/>
  <c r="AR153" i="4"/>
  <c r="AI153" i="4"/>
  <c r="R153" i="4"/>
  <c r="AI139" i="4"/>
  <c r="AR139" i="4"/>
  <c r="R139" i="4"/>
  <c r="AP106" i="4"/>
  <c r="AG106" i="4"/>
  <c r="P106" i="4"/>
  <c r="AQ216" i="4"/>
  <c r="AH216" i="4"/>
  <c r="Q216" i="4"/>
  <c r="AH95" i="4"/>
  <c r="AQ95" i="4"/>
  <c r="Q95" i="4"/>
  <c r="AP104" i="4"/>
  <c r="AG104" i="4"/>
  <c r="P104" i="4"/>
  <c r="AP119" i="4"/>
  <c r="AG119" i="4"/>
  <c r="P119" i="4"/>
  <c r="AQ146" i="4"/>
  <c r="AH146" i="4"/>
  <c r="Q146" i="4"/>
  <c r="AH148" i="4"/>
  <c r="AQ148" i="4"/>
  <c r="Q148" i="4"/>
  <c r="AJ76" i="4"/>
  <c r="AS76" i="4"/>
  <c r="S76" i="4"/>
  <c r="AH115" i="4"/>
  <c r="AQ115" i="4"/>
  <c r="Q115" i="4"/>
  <c r="AR83" i="4"/>
  <c r="AI83" i="4"/>
  <c r="R83" i="4"/>
  <c r="AI82" i="4"/>
  <c r="AR82" i="4"/>
  <c r="R82" i="4"/>
  <c r="AH163" i="4"/>
  <c r="AQ163" i="4"/>
  <c r="Q163" i="4"/>
  <c r="AQ203" i="4"/>
  <c r="AH203" i="4"/>
  <c r="Q203" i="4"/>
  <c r="AQ186" i="4"/>
  <c r="AH186" i="4"/>
  <c r="Q186" i="4"/>
  <c r="AG102" i="4"/>
  <c r="AP102" i="4"/>
  <c r="P102" i="4"/>
  <c r="AG130" i="4"/>
  <c r="AP130" i="4"/>
  <c r="P130" i="4"/>
  <c r="AP190" i="4"/>
  <c r="AG190" i="4"/>
  <c r="P190" i="4"/>
  <c r="AI202" i="4"/>
  <c r="AR202" i="4"/>
  <c r="R202" i="4"/>
  <c r="AP199" i="4"/>
  <c r="AG199" i="4"/>
  <c r="P199" i="4"/>
  <c r="AI176" i="4"/>
  <c r="AR176" i="4"/>
  <c r="R176" i="4"/>
  <c r="AS116" i="4"/>
  <c r="AJ116" i="4"/>
  <c r="S116" i="4"/>
  <c r="AP192" i="4"/>
  <c r="AG192" i="4"/>
  <c r="P192" i="4"/>
  <c r="AG78" i="4"/>
  <c r="AP78" i="4"/>
  <c r="P78" i="4"/>
  <c r="AH123" i="4"/>
  <c r="AQ123" i="4"/>
  <c r="Q123" i="4"/>
  <c r="AR81" i="4"/>
  <c r="AI81" i="4"/>
  <c r="R81" i="4"/>
  <c r="AH240" i="4"/>
  <c r="AQ240" i="4"/>
  <c r="Q240" i="4"/>
  <c r="AS228" i="4"/>
  <c r="AJ228" i="4"/>
  <c r="S228" i="4"/>
  <c r="AK201" i="4"/>
  <c r="AT201" i="4"/>
  <c r="AS94" i="4"/>
  <c r="AJ94" i="4"/>
  <c r="S94" i="4"/>
  <c r="AP173" i="4"/>
  <c r="AG173" i="4"/>
  <c r="P173" i="4"/>
  <c r="AG92" i="4"/>
  <c r="AP92" i="4"/>
  <c r="P92" i="4"/>
  <c r="AH73" i="4"/>
  <c r="AQ73" i="4"/>
  <c r="Q73" i="4"/>
  <c r="AH136" i="4"/>
  <c r="AQ136" i="4"/>
  <c r="Q136" i="4"/>
  <c r="AU173" i="6" l="1"/>
  <c r="AL173" i="6"/>
  <c r="AU87" i="6"/>
  <c r="AL87" i="6"/>
  <c r="AU70" i="6"/>
  <c r="AL70" i="6"/>
  <c r="AU76" i="6"/>
  <c r="AL76" i="6"/>
  <c r="AU136" i="6"/>
  <c r="AL136" i="6"/>
  <c r="AU65" i="6"/>
  <c r="AL65" i="6"/>
  <c r="AS108" i="6"/>
  <c r="AJ108" i="6"/>
  <c r="AS182" i="6"/>
  <c r="AJ182" i="6"/>
  <c r="AS124" i="6"/>
  <c r="AJ124" i="6"/>
  <c r="AR83" i="6"/>
  <c r="AI83" i="6"/>
  <c r="AR71" i="6"/>
  <c r="AI71" i="6"/>
  <c r="AS99" i="6"/>
  <c r="AJ99" i="6"/>
  <c r="AS130" i="6"/>
  <c r="AJ130" i="6"/>
  <c r="AU84" i="6"/>
  <c r="AL84" i="6"/>
  <c r="AS148" i="6"/>
  <c r="AJ148" i="6"/>
  <c r="AS86" i="6"/>
  <c r="AJ86" i="6"/>
  <c r="AI26" i="6"/>
  <c r="AR26" i="6"/>
  <c r="AS25" i="6"/>
  <c r="AJ25" i="6"/>
  <c r="AR104" i="6"/>
  <c r="AI104" i="6"/>
  <c r="AI136" i="6"/>
  <c r="AR136" i="6"/>
  <c r="AI159" i="6"/>
  <c r="AR159" i="6"/>
  <c r="AR138" i="6"/>
  <c r="AI138" i="6"/>
  <c r="AS126" i="6"/>
  <c r="AJ126" i="6"/>
  <c r="AR174" i="6"/>
  <c r="AI174" i="6"/>
  <c r="AS48" i="6"/>
  <c r="AJ48" i="6"/>
  <c r="AS169" i="6"/>
  <c r="AJ169" i="6"/>
  <c r="AS106" i="6"/>
  <c r="AJ106" i="6"/>
  <c r="AS153" i="6"/>
  <c r="AJ153" i="6"/>
  <c r="AI142" i="6"/>
  <c r="AR142" i="6"/>
  <c r="AS119" i="6"/>
  <c r="AJ119" i="6"/>
  <c r="AT35" i="6"/>
  <c r="AK35" i="6"/>
  <c r="AJ56" i="6"/>
  <c r="AS56" i="6"/>
  <c r="AR74" i="6"/>
  <c r="AI74" i="6"/>
  <c r="H122" i="1"/>
  <c r="AS20" i="6"/>
  <c r="AJ20" i="6"/>
  <c r="AT154" i="6"/>
  <c r="AK154" i="6"/>
  <c r="AT127" i="6"/>
  <c r="AK127" i="6"/>
  <c r="AT171" i="6"/>
  <c r="AK171" i="6"/>
  <c r="AR134" i="6"/>
  <c r="AI134" i="6"/>
  <c r="AR114" i="6"/>
  <c r="AI114" i="6"/>
  <c r="AT55" i="6"/>
  <c r="AK55" i="6"/>
  <c r="AK101" i="6"/>
  <c r="AT101" i="6"/>
  <c r="AT58" i="6"/>
  <c r="AK58" i="6"/>
  <c r="AT188" i="6"/>
  <c r="AK188" i="6"/>
  <c r="AS109" i="6"/>
  <c r="AJ109" i="6"/>
  <c r="AT94" i="6"/>
  <c r="AK94" i="6"/>
  <c r="AT133" i="6"/>
  <c r="AK133" i="6"/>
  <c r="AT75" i="6"/>
  <c r="AK75" i="6"/>
  <c r="AU61" i="6"/>
  <c r="AL61" i="6"/>
  <c r="AU161" i="6"/>
  <c r="AL161" i="6"/>
  <c r="AR158" i="6"/>
  <c r="AI158" i="6"/>
  <c r="AT122" i="6"/>
  <c r="AK122" i="6"/>
  <c r="AR76" i="6"/>
  <c r="AI76" i="6"/>
  <c r="AR40" i="6"/>
  <c r="AI40" i="6"/>
  <c r="AT52" i="6"/>
  <c r="AK52" i="6"/>
  <c r="AT179" i="6"/>
  <c r="AK179" i="6"/>
  <c r="AT140" i="6"/>
  <c r="AK140" i="6"/>
  <c r="AU85" i="6"/>
  <c r="AL85" i="6"/>
  <c r="AU163" i="6"/>
  <c r="AL163" i="6"/>
  <c r="AU73" i="6"/>
  <c r="AL73" i="6"/>
  <c r="AT166" i="6"/>
  <c r="AK166" i="6"/>
  <c r="AT144" i="6"/>
  <c r="AK144" i="6"/>
  <c r="AT47" i="6"/>
  <c r="AK47" i="6"/>
  <c r="AU98" i="6"/>
  <c r="AL98" i="6"/>
  <c r="AK33" i="6"/>
  <c r="AT33" i="6"/>
  <c r="AT32" i="6"/>
  <c r="AK32" i="6"/>
  <c r="AT31" i="6"/>
  <c r="AK31" i="6"/>
  <c r="AS177" i="6"/>
  <c r="AJ177" i="6"/>
  <c r="AT79" i="6"/>
  <c r="AK79" i="6"/>
  <c r="AU57" i="6"/>
  <c r="AL57" i="6"/>
  <c r="AT39" i="6"/>
  <c r="AK39" i="6"/>
  <c r="AT181" i="6"/>
  <c r="AK181" i="6"/>
  <c r="AT21" i="6"/>
  <c r="AK21" i="6"/>
  <c r="AT60" i="6"/>
  <c r="AK60" i="6"/>
  <c r="AR41" i="6"/>
  <c r="AI41" i="6"/>
  <c r="AR72" i="6"/>
  <c r="AI72" i="6"/>
  <c r="AQ136" i="6"/>
  <c r="AH136" i="6"/>
  <c r="AQ82" i="6"/>
  <c r="AH82" i="6"/>
  <c r="AQ112" i="6"/>
  <c r="AH112" i="6"/>
  <c r="AQ180" i="6"/>
  <c r="AH180" i="6"/>
  <c r="AU176" i="6"/>
  <c r="AL176" i="6"/>
  <c r="AU92" i="6"/>
  <c r="AL92" i="6"/>
  <c r="AR68" i="6"/>
  <c r="AI68" i="6"/>
  <c r="AQ74" i="6"/>
  <c r="AH74" i="6"/>
  <c r="AT108" i="6"/>
  <c r="AK108" i="6"/>
  <c r="AT182" i="6"/>
  <c r="AK182" i="6"/>
  <c r="AT124" i="6"/>
  <c r="AK124" i="6"/>
  <c r="AU71" i="6"/>
  <c r="AL71" i="6"/>
  <c r="AT99" i="6"/>
  <c r="AK99" i="6"/>
  <c r="AT130" i="6"/>
  <c r="AK130" i="6"/>
  <c r="AR84" i="6"/>
  <c r="AI84" i="6"/>
  <c r="AT148" i="6"/>
  <c r="AK148" i="6"/>
  <c r="AT86" i="6"/>
  <c r="AK86" i="6"/>
  <c r="AU26" i="6"/>
  <c r="AL26" i="6"/>
  <c r="AT25" i="6"/>
  <c r="AK25" i="6"/>
  <c r="AU104" i="6"/>
  <c r="AL104" i="6"/>
  <c r="AU159" i="6"/>
  <c r="AL159" i="6"/>
  <c r="AT126" i="6"/>
  <c r="AK126" i="6"/>
  <c r="AT48" i="6"/>
  <c r="AK48" i="6"/>
  <c r="AT169" i="6"/>
  <c r="AK169" i="6"/>
  <c r="AT106" i="6"/>
  <c r="AK106" i="6"/>
  <c r="AT153" i="6"/>
  <c r="AK153" i="6"/>
  <c r="AU142" i="6"/>
  <c r="AL142" i="6"/>
  <c r="AT119" i="6"/>
  <c r="AK119" i="6"/>
  <c r="AJ35" i="6"/>
  <c r="AS35" i="6"/>
  <c r="AT56" i="6"/>
  <c r="AK56" i="6"/>
  <c r="AS96" i="6"/>
  <c r="AJ96" i="6"/>
  <c r="AS147" i="6"/>
  <c r="AJ147" i="6"/>
  <c r="AS110" i="6"/>
  <c r="AJ110" i="6"/>
  <c r="AI123" i="6"/>
  <c r="AR123" i="6"/>
  <c r="AR69" i="6"/>
  <c r="AI69" i="6"/>
  <c r="AR157" i="6"/>
  <c r="AI157" i="6"/>
  <c r="AR139" i="6"/>
  <c r="AI139" i="6"/>
  <c r="AS167" i="6"/>
  <c r="AJ167" i="6"/>
  <c r="AR87" i="6"/>
  <c r="AI87" i="6"/>
  <c r="AT113" i="6"/>
  <c r="AK113" i="6"/>
  <c r="AS34" i="6"/>
  <c r="AJ34" i="6"/>
  <c r="AS149" i="6"/>
  <c r="AJ149" i="6"/>
  <c r="AS29" i="6"/>
  <c r="AJ29" i="6"/>
  <c r="AR36" i="6"/>
  <c r="AI36" i="6"/>
  <c r="AR95" i="6"/>
  <c r="AI95" i="6"/>
  <c r="AS50" i="6"/>
  <c r="AJ50" i="6"/>
  <c r="AR150" i="6"/>
  <c r="AI150" i="6"/>
  <c r="AR165" i="6"/>
  <c r="AI165" i="6"/>
  <c r="AS103" i="6"/>
  <c r="AJ103" i="6"/>
  <c r="AL186" i="6"/>
  <c r="AU186" i="6"/>
  <c r="AS88" i="6"/>
  <c r="AJ88" i="6"/>
  <c r="AS68" i="6"/>
  <c r="AJ68" i="6"/>
  <c r="AS62" i="6"/>
  <c r="AJ62" i="6"/>
  <c r="AS77" i="6"/>
  <c r="AJ77" i="6"/>
  <c r="AT43" i="6"/>
  <c r="AK43" i="6"/>
  <c r="AR164" i="6"/>
  <c r="AI164" i="6"/>
  <c r="AR135" i="6"/>
  <c r="AI135" i="6"/>
  <c r="AS100" i="6"/>
  <c r="AJ100" i="6"/>
  <c r="AS178" i="6"/>
  <c r="AJ178" i="6"/>
  <c r="AR63" i="6"/>
  <c r="AI63" i="6"/>
  <c r="AR151" i="6"/>
  <c r="AI151" i="6"/>
  <c r="AJ131" i="6"/>
  <c r="AS131" i="6"/>
  <c r="AS46" i="6"/>
  <c r="AJ46" i="6"/>
  <c r="AS59" i="6"/>
  <c r="AJ59" i="6"/>
  <c r="AS146" i="6"/>
  <c r="AJ146" i="6"/>
  <c r="AI82" i="6"/>
  <c r="AR82" i="6"/>
  <c r="AR112" i="6"/>
  <c r="AI112" i="6"/>
  <c r="AR102" i="6"/>
  <c r="AI102" i="6"/>
  <c r="AS97" i="6"/>
  <c r="AJ97" i="6"/>
  <c r="AS53" i="6"/>
  <c r="AJ53" i="6"/>
  <c r="AR143" i="6"/>
  <c r="AI143" i="6"/>
  <c r="AS30" i="6"/>
  <c r="AJ30" i="6"/>
  <c r="AR45" i="6"/>
  <c r="AI45" i="6"/>
  <c r="AS23" i="6"/>
  <c r="AJ23" i="6"/>
  <c r="AR51" i="6"/>
  <c r="AI51" i="6"/>
  <c r="AS38" i="6"/>
  <c r="AJ38" i="6"/>
  <c r="AS91" i="6"/>
  <c r="AJ91" i="6"/>
  <c r="AS170" i="6"/>
  <c r="AJ170" i="6"/>
  <c r="AU72" i="6"/>
  <c r="AL72" i="6"/>
  <c r="AQ93" i="6"/>
  <c r="AH93" i="6"/>
  <c r="AQ26" i="6"/>
  <c r="AH26" i="6"/>
  <c r="AR28" i="6"/>
  <c r="AI28" i="6"/>
  <c r="AR175" i="6"/>
  <c r="AI175" i="6"/>
  <c r="AQ186" i="6"/>
  <c r="AH186" i="6"/>
  <c r="AR56" i="6"/>
  <c r="AI56" i="6"/>
  <c r="AR54" i="6"/>
  <c r="AI54" i="6"/>
  <c r="AS129" i="6"/>
  <c r="AJ129" i="6"/>
  <c r="AR49" i="6"/>
  <c r="AI49" i="6"/>
  <c r="AS128" i="6"/>
  <c r="AJ128" i="6"/>
  <c r="AI185" i="6"/>
  <c r="AR185" i="6"/>
  <c r="AU118" i="6"/>
  <c r="AL118" i="6"/>
  <c r="AR81" i="6"/>
  <c r="AI81" i="6"/>
  <c r="AI115" i="6"/>
  <c r="AR115" i="6"/>
  <c r="AR93" i="6"/>
  <c r="AI93" i="6"/>
  <c r="AS64" i="6"/>
  <c r="AJ64" i="6"/>
  <c r="AR160" i="6"/>
  <c r="AI160" i="6"/>
  <c r="AS111" i="6"/>
  <c r="AJ111" i="6"/>
  <c r="AS137" i="6"/>
  <c r="AJ137" i="6"/>
  <c r="AS175" i="6"/>
  <c r="AJ175" i="6"/>
  <c r="AS42" i="6"/>
  <c r="AJ42" i="6"/>
  <c r="AR107" i="6"/>
  <c r="AI107" i="6"/>
  <c r="AR155" i="6"/>
  <c r="AI155" i="6"/>
  <c r="AS187" i="6"/>
  <c r="AJ187" i="6"/>
  <c r="AR145" i="6"/>
  <c r="AI145" i="6"/>
  <c r="AS28" i="6"/>
  <c r="AJ28" i="6"/>
  <c r="AS66" i="6"/>
  <c r="AJ66" i="6"/>
  <c r="AT27" i="6"/>
  <c r="AK27" i="6"/>
  <c r="AI121" i="6"/>
  <c r="AR121" i="6"/>
  <c r="AI78" i="6"/>
  <c r="AR78" i="6"/>
  <c r="AR70" i="6"/>
  <c r="AI70" i="6"/>
  <c r="AS125" i="6"/>
  <c r="AJ125" i="6"/>
  <c r="AR180" i="6"/>
  <c r="AI180" i="6"/>
  <c r="AR184" i="6"/>
  <c r="AI184" i="6"/>
  <c r="AK96" i="6"/>
  <c r="AT96" i="6"/>
  <c r="AT147" i="6"/>
  <c r="AK147" i="6"/>
  <c r="AT110" i="6"/>
  <c r="AK110" i="6"/>
  <c r="AT167" i="6"/>
  <c r="AK167" i="6"/>
  <c r="AS113" i="6"/>
  <c r="AJ113" i="6"/>
  <c r="AT34" i="6"/>
  <c r="AK34" i="6"/>
  <c r="AT149" i="6"/>
  <c r="AK149" i="6"/>
  <c r="AT29" i="6"/>
  <c r="AK29" i="6"/>
  <c r="AU95" i="6"/>
  <c r="AL95" i="6"/>
  <c r="AT50" i="6"/>
  <c r="AK50" i="6"/>
  <c r="AU150" i="6"/>
  <c r="AL150" i="6"/>
  <c r="AT103" i="6"/>
  <c r="AK103" i="6"/>
  <c r="AR186" i="6"/>
  <c r="AI186" i="6"/>
  <c r="AT88" i="6"/>
  <c r="AK88" i="6"/>
  <c r="AK68" i="6"/>
  <c r="AT68" i="6"/>
  <c r="AK62" i="6"/>
  <c r="AT62" i="6"/>
  <c r="AT77" i="6"/>
  <c r="AK77" i="6"/>
  <c r="AS43" i="6"/>
  <c r="AJ43" i="6"/>
  <c r="AU164" i="6"/>
  <c r="AL164" i="6"/>
  <c r="AU135" i="6"/>
  <c r="AL135" i="6"/>
  <c r="AK100" i="6"/>
  <c r="AT100" i="6"/>
  <c r="AT178" i="6"/>
  <c r="AK178" i="6"/>
  <c r="AU151" i="6"/>
  <c r="AL151" i="6"/>
  <c r="AT131" i="6"/>
  <c r="AK131" i="6"/>
  <c r="AT46" i="6"/>
  <c r="AK46" i="6"/>
  <c r="AT59" i="6"/>
  <c r="AK59" i="6"/>
  <c r="AT146" i="6"/>
  <c r="AK146" i="6"/>
  <c r="AU82" i="6"/>
  <c r="AL82" i="6"/>
  <c r="AT97" i="6"/>
  <c r="AK97" i="6"/>
  <c r="AT53" i="6"/>
  <c r="AK53" i="6"/>
  <c r="AT30" i="6"/>
  <c r="AK30" i="6"/>
  <c r="AT23" i="6"/>
  <c r="AK23" i="6"/>
  <c r="AU51" i="6"/>
  <c r="AL51" i="6"/>
  <c r="AK38" i="6"/>
  <c r="AT38" i="6"/>
  <c r="AT91" i="6"/>
  <c r="AK91" i="6"/>
  <c r="AT170" i="6"/>
  <c r="AK170" i="6"/>
  <c r="AR162" i="6"/>
  <c r="AI162" i="6"/>
  <c r="AR80" i="6"/>
  <c r="AI80" i="6"/>
  <c r="AQ36" i="6"/>
  <c r="AH36" i="6"/>
  <c r="AQ160" i="6"/>
  <c r="AH160" i="6"/>
  <c r="AL90" i="6"/>
  <c r="AU90" i="6"/>
  <c r="AR183" i="6"/>
  <c r="AI183" i="6"/>
  <c r="AQ168" i="6"/>
  <c r="AH168" i="6"/>
  <c r="AR156" i="6"/>
  <c r="AI156" i="6"/>
  <c r="AR89" i="6"/>
  <c r="AI89" i="6"/>
  <c r="AQ87" i="6"/>
  <c r="AH87" i="6"/>
  <c r="AQ51" i="6"/>
  <c r="AH51" i="6"/>
  <c r="AT129" i="6"/>
  <c r="AK129" i="6"/>
  <c r="AL49" i="6"/>
  <c r="AU49" i="6"/>
  <c r="AK128" i="6"/>
  <c r="AT128" i="6"/>
  <c r="AU185" i="6"/>
  <c r="AL185" i="6"/>
  <c r="AR118" i="6"/>
  <c r="AI118" i="6"/>
  <c r="AU115" i="6"/>
  <c r="AL115" i="6"/>
  <c r="AU93" i="6"/>
  <c r="AL93" i="6"/>
  <c r="AT64" i="6"/>
  <c r="AK64" i="6"/>
  <c r="AU160" i="6"/>
  <c r="AL160" i="6"/>
  <c r="AT111" i="6"/>
  <c r="AK111" i="6"/>
  <c r="AT137" i="6"/>
  <c r="AK137" i="6"/>
  <c r="AT175" i="6"/>
  <c r="AK175" i="6"/>
  <c r="AT42" i="6"/>
  <c r="AK42" i="6"/>
  <c r="AU155" i="6"/>
  <c r="AL155" i="6"/>
  <c r="AT187" i="6"/>
  <c r="AK187" i="6"/>
  <c r="AT28" i="6"/>
  <c r="AK28" i="6"/>
  <c r="AK66" i="6"/>
  <c r="AT66" i="6"/>
  <c r="AS27" i="6"/>
  <c r="AJ27" i="6"/>
  <c r="AU121" i="6"/>
  <c r="AL121" i="6"/>
  <c r="AL78" i="6"/>
  <c r="AU78" i="6"/>
  <c r="AT125" i="6"/>
  <c r="AK125" i="6"/>
  <c r="AU180" i="6"/>
  <c r="AL180" i="6"/>
  <c r="AU184" i="6"/>
  <c r="AL184" i="6"/>
  <c r="AS154" i="6"/>
  <c r="AJ154" i="6"/>
  <c r="AS127" i="6"/>
  <c r="AJ127" i="6"/>
  <c r="AR117" i="6"/>
  <c r="AI117" i="6"/>
  <c r="AS171" i="6"/>
  <c r="AJ171" i="6"/>
  <c r="AS55" i="6"/>
  <c r="AJ55" i="6"/>
  <c r="AS101" i="6"/>
  <c r="AJ101" i="6"/>
  <c r="AR105" i="6"/>
  <c r="AI105" i="6"/>
  <c r="AS58" i="6"/>
  <c r="AJ58" i="6"/>
  <c r="AS188" i="6"/>
  <c r="AJ188" i="6"/>
  <c r="AT109" i="6"/>
  <c r="AK109" i="6"/>
  <c r="AS94" i="6"/>
  <c r="AJ94" i="6"/>
  <c r="AS133" i="6"/>
  <c r="AJ133" i="6"/>
  <c r="AJ75" i="6"/>
  <c r="AS75" i="6"/>
  <c r="AR61" i="6"/>
  <c r="AI61" i="6"/>
  <c r="AR161" i="6"/>
  <c r="AI161" i="6"/>
  <c r="AU158" i="6"/>
  <c r="AL158" i="6"/>
  <c r="AS122" i="6"/>
  <c r="AJ122" i="6"/>
  <c r="AU40" i="6"/>
  <c r="AL40" i="6"/>
  <c r="AS52" i="6"/>
  <c r="AJ52" i="6"/>
  <c r="AR44" i="6"/>
  <c r="AI44" i="6"/>
  <c r="AS179" i="6"/>
  <c r="AJ179" i="6"/>
  <c r="AS140" i="6"/>
  <c r="AJ140" i="6"/>
  <c r="AR172" i="6"/>
  <c r="AI172" i="6"/>
  <c r="AR168" i="6"/>
  <c r="AI168" i="6"/>
  <c r="AR85" i="6"/>
  <c r="AI85" i="6"/>
  <c r="AI163" i="6"/>
  <c r="AR163" i="6"/>
  <c r="AI73" i="6"/>
  <c r="AR73" i="6"/>
  <c r="AS166" i="6"/>
  <c r="AJ166" i="6"/>
  <c r="AS144" i="6"/>
  <c r="AJ144" i="6"/>
  <c r="AS47" i="6"/>
  <c r="AJ47" i="6"/>
  <c r="AR141" i="6"/>
  <c r="AI141" i="6"/>
  <c r="AR98" i="6"/>
  <c r="AI98" i="6"/>
  <c r="AS33" i="6"/>
  <c r="AJ33" i="6"/>
  <c r="AR120" i="6"/>
  <c r="AI120" i="6"/>
  <c r="AR132" i="6"/>
  <c r="AI132" i="6"/>
  <c r="AS32" i="6"/>
  <c r="AJ32" i="6"/>
  <c r="AS31" i="6"/>
  <c r="AJ31" i="6"/>
  <c r="AT177" i="6"/>
  <c r="AK177" i="6"/>
  <c r="AR65" i="6"/>
  <c r="AI65" i="6"/>
  <c r="AS79" i="6"/>
  <c r="AJ79" i="6"/>
  <c r="AR57" i="6"/>
  <c r="AI57" i="6"/>
  <c r="AS39" i="6"/>
  <c r="AJ39" i="6"/>
  <c r="AS181" i="6"/>
  <c r="AJ181" i="6"/>
  <c r="AS21" i="6"/>
  <c r="AJ21" i="6"/>
  <c r="AJ60" i="6"/>
  <c r="AS60" i="6"/>
  <c r="AU41" i="6"/>
  <c r="AL41" i="6"/>
  <c r="N15" i="6"/>
  <c r="AO22" i="6"/>
  <c r="AO15" i="6" s="1"/>
  <c r="AF22" i="6"/>
  <c r="AF15" i="6" s="1"/>
  <c r="D90" i="1"/>
  <c r="AQ121" i="6"/>
  <c r="AH121" i="6"/>
  <c r="AU37" i="6"/>
  <c r="AL37" i="6"/>
  <c r="AU116" i="6"/>
  <c r="AL116" i="6"/>
  <c r="AR35" i="6"/>
  <c r="AI35" i="6"/>
  <c r="AH57" i="6"/>
  <c r="AQ57" i="6"/>
  <c r="AR30" i="6"/>
  <c r="AI30" i="6"/>
  <c r="AR53" i="6"/>
  <c r="AI53" i="6"/>
  <c r="T20" i="6"/>
  <c r="BF10" i="2"/>
  <c r="BI49" i="2"/>
  <c r="BQ87" i="2"/>
  <c r="Q92" i="6" s="1"/>
  <c r="BI84" i="2"/>
  <c r="BS84" i="2" s="1"/>
  <c r="S89" i="6" s="1"/>
  <c r="BI178" i="2"/>
  <c r="BQ171" i="2"/>
  <c r="Q176" i="6" s="1"/>
  <c r="BI151" i="2"/>
  <c r="BQ32" i="2"/>
  <c r="Q37" i="6" s="1"/>
  <c r="BQ111" i="2"/>
  <c r="Q116" i="6" s="1"/>
  <c r="BQ85" i="2"/>
  <c r="Q90" i="6" s="1"/>
  <c r="BQ168" i="2"/>
  <c r="Q173" i="6" s="1"/>
  <c r="BQ147" i="2"/>
  <c r="Q152" i="6" s="1"/>
  <c r="BG17" i="2"/>
  <c r="BH17" i="2" s="1"/>
  <c r="BS67" i="2"/>
  <c r="S72" i="6" s="1"/>
  <c r="BR67" i="2"/>
  <c r="R72" i="6" s="1"/>
  <c r="BO10" i="2"/>
  <c r="O22" i="6"/>
  <c r="BS36" i="2"/>
  <c r="S41" i="6" s="1"/>
  <c r="BR36" i="2"/>
  <c r="R41" i="6" s="1"/>
  <c r="BS157" i="2"/>
  <c r="S162" i="6" s="1"/>
  <c r="BR157" i="2"/>
  <c r="R162" i="6" s="1"/>
  <c r="BR75" i="2"/>
  <c r="R80" i="6" s="1"/>
  <c r="BS75" i="2"/>
  <c r="S80" i="6" s="1"/>
  <c r="BS44" i="2"/>
  <c r="S49" i="6" s="1"/>
  <c r="BR44" i="2"/>
  <c r="R49" i="6" s="1"/>
  <c r="BS32" i="2"/>
  <c r="S37" i="6" s="1"/>
  <c r="BR32" i="2"/>
  <c r="R37" i="6" s="1"/>
  <c r="BS66" i="2"/>
  <c r="S71" i="6" s="1"/>
  <c r="BR66" i="2"/>
  <c r="R71" i="6" s="1"/>
  <c r="BS76" i="2"/>
  <c r="S81" i="6" s="1"/>
  <c r="BR76" i="2"/>
  <c r="R81" i="6" s="1"/>
  <c r="BS110" i="2"/>
  <c r="S115" i="6" s="1"/>
  <c r="BR110" i="2"/>
  <c r="R115" i="6" s="1"/>
  <c r="BS99" i="2"/>
  <c r="S104" i="6" s="1"/>
  <c r="BR99" i="2"/>
  <c r="R104" i="6" s="1"/>
  <c r="BS131" i="2"/>
  <c r="S136" i="6" s="1"/>
  <c r="BR131" i="2"/>
  <c r="R136" i="6" s="1"/>
  <c r="BS85" i="2"/>
  <c r="S90" i="6" s="1"/>
  <c r="BR85" i="2"/>
  <c r="R90" i="6" s="1"/>
  <c r="BS15" i="2"/>
  <c r="S20" i="6" s="1"/>
  <c r="BR112" i="2"/>
  <c r="R117" i="6" s="1"/>
  <c r="BS112" i="2"/>
  <c r="S117" i="6" s="1"/>
  <c r="BR100" i="2"/>
  <c r="R105" i="6" s="1"/>
  <c r="BS100" i="2"/>
  <c r="S105" i="6" s="1"/>
  <c r="BS56" i="2"/>
  <c r="S61" i="6" s="1"/>
  <c r="BR56" i="2"/>
  <c r="R61" i="6" s="1"/>
  <c r="BR156" i="2"/>
  <c r="R161" i="6" s="1"/>
  <c r="BS156" i="2"/>
  <c r="S161" i="6" s="1"/>
  <c r="BS39" i="2"/>
  <c r="S44" i="6" s="1"/>
  <c r="BR39" i="2"/>
  <c r="R44" i="6" s="1"/>
  <c r="BS159" i="2"/>
  <c r="S164" i="6" s="1"/>
  <c r="BR159" i="2"/>
  <c r="R164" i="6" s="1"/>
  <c r="BS130" i="2"/>
  <c r="S135" i="6" s="1"/>
  <c r="BR130" i="2"/>
  <c r="R135" i="6" s="1"/>
  <c r="BS158" i="2"/>
  <c r="S163" i="6" s="1"/>
  <c r="BR158" i="2"/>
  <c r="R163" i="6" s="1"/>
  <c r="BS68" i="2"/>
  <c r="S73" i="6" s="1"/>
  <c r="BR68" i="2"/>
  <c r="R73" i="6" s="1"/>
  <c r="BS136" i="2"/>
  <c r="S141" i="6" s="1"/>
  <c r="BR136" i="2"/>
  <c r="R141" i="6" s="1"/>
  <c r="BS93" i="2"/>
  <c r="S98" i="6" s="1"/>
  <c r="BR93" i="2"/>
  <c r="R98" i="6" s="1"/>
  <c r="BS115" i="2"/>
  <c r="S120" i="6" s="1"/>
  <c r="BR115" i="2"/>
  <c r="R120" i="6" s="1"/>
  <c r="BS127" i="2"/>
  <c r="S132" i="6" s="1"/>
  <c r="BR127" i="2"/>
  <c r="R132" i="6" s="1"/>
  <c r="BS113" i="2"/>
  <c r="S118" i="6" s="1"/>
  <c r="BR113" i="2"/>
  <c r="R118" i="6" s="1"/>
  <c r="BS87" i="2"/>
  <c r="S92" i="6" s="1"/>
  <c r="BR87" i="2"/>
  <c r="R92" i="6" s="1"/>
  <c r="BS154" i="2"/>
  <c r="S159" i="6" s="1"/>
  <c r="BR154" i="2"/>
  <c r="R159" i="6" s="1"/>
  <c r="BS133" i="2"/>
  <c r="S138" i="6" s="1"/>
  <c r="BR133" i="2"/>
  <c r="R138" i="6" s="1"/>
  <c r="BS169" i="2"/>
  <c r="S174" i="6" s="1"/>
  <c r="BR169" i="2"/>
  <c r="R174" i="6" s="1"/>
  <c r="BS137" i="2"/>
  <c r="S142" i="6" s="1"/>
  <c r="BR137" i="2"/>
  <c r="R142" i="6" s="1"/>
  <c r="BS147" i="2"/>
  <c r="S152" i="6" s="1"/>
  <c r="BR147" i="2"/>
  <c r="R152" i="6" s="1"/>
  <c r="BS175" i="2"/>
  <c r="S180" i="6" s="1"/>
  <c r="BR175" i="2"/>
  <c r="R180" i="6" s="1"/>
  <c r="BS69" i="2"/>
  <c r="S74" i="6" s="1"/>
  <c r="BR69" i="2"/>
  <c r="R74" i="6" s="1"/>
  <c r="BS181" i="2"/>
  <c r="S186" i="6" s="1"/>
  <c r="BR181" i="2"/>
  <c r="R186" i="6" s="1"/>
  <c r="BS60" i="2"/>
  <c r="S65" i="6" s="1"/>
  <c r="BR60" i="2"/>
  <c r="R65" i="6" s="1"/>
  <c r="BS168" i="2"/>
  <c r="S173" i="6" s="1"/>
  <c r="BR168" i="2"/>
  <c r="R173" i="6" s="1"/>
  <c r="BS46" i="2"/>
  <c r="S51" i="6" s="1"/>
  <c r="BR46" i="2"/>
  <c r="R51" i="6" s="1"/>
  <c r="BS78" i="2"/>
  <c r="S83" i="6" s="1"/>
  <c r="BR78" i="2"/>
  <c r="R83" i="6" s="1"/>
  <c r="BR180" i="2"/>
  <c r="R185" i="6" s="1"/>
  <c r="BS180" i="2"/>
  <c r="S185" i="6" s="1"/>
  <c r="BS88" i="2"/>
  <c r="S93" i="6" s="1"/>
  <c r="BR88" i="2"/>
  <c r="R93" i="6" s="1"/>
  <c r="BS155" i="2"/>
  <c r="S160" i="6" s="1"/>
  <c r="BR155" i="2"/>
  <c r="R160" i="6" s="1"/>
  <c r="BS118" i="2"/>
  <c r="S123" i="6" s="1"/>
  <c r="BR118" i="2"/>
  <c r="R123" i="6" s="1"/>
  <c r="BS64" i="2"/>
  <c r="S69" i="6" s="1"/>
  <c r="BR64" i="2"/>
  <c r="R69" i="6" s="1"/>
  <c r="BR152" i="2"/>
  <c r="R157" i="6" s="1"/>
  <c r="BS152" i="2"/>
  <c r="S157" i="6" s="1"/>
  <c r="BS134" i="2"/>
  <c r="S139" i="6" s="1"/>
  <c r="BR134" i="2"/>
  <c r="R139" i="6" s="1"/>
  <c r="BS82" i="2"/>
  <c r="S87" i="6" s="1"/>
  <c r="BR82" i="2"/>
  <c r="R87" i="6" s="1"/>
  <c r="BS31" i="2"/>
  <c r="S36" i="6" s="1"/>
  <c r="BR31" i="2"/>
  <c r="R36" i="6" s="1"/>
  <c r="BS90" i="2"/>
  <c r="S95" i="6" s="1"/>
  <c r="BR90" i="2"/>
  <c r="R95" i="6" s="1"/>
  <c r="BS145" i="2"/>
  <c r="S150" i="6" s="1"/>
  <c r="BR145" i="2"/>
  <c r="R150" i="6" s="1"/>
  <c r="BR160" i="2"/>
  <c r="R165" i="6" s="1"/>
  <c r="BS160" i="2"/>
  <c r="S165" i="6" s="1"/>
  <c r="BS111" i="2"/>
  <c r="S116" i="6" s="1"/>
  <c r="BR111" i="2"/>
  <c r="R116" i="6" s="1"/>
  <c r="BS167" i="2"/>
  <c r="S172" i="6" s="1"/>
  <c r="BR167" i="2"/>
  <c r="R172" i="6" s="1"/>
  <c r="BS163" i="2"/>
  <c r="S168" i="6" s="1"/>
  <c r="BR163" i="2"/>
  <c r="R168" i="6" s="1"/>
  <c r="BS80" i="2"/>
  <c r="S85" i="6" s="1"/>
  <c r="BR80" i="2"/>
  <c r="R85" i="6" s="1"/>
  <c r="BS58" i="2"/>
  <c r="S63" i="6" s="1"/>
  <c r="BR58" i="2"/>
  <c r="R63" i="6" s="1"/>
  <c r="BS146" i="2"/>
  <c r="S151" i="6" s="1"/>
  <c r="BR146" i="2"/>
  <c r="R151" i="6" s="1"/>
  <c r="BS77" i="2"/>
  <c r="S82" i="6" s="1"/>
  <c r="BR77" i="2"/>
  <c r="R82" i="6" s="1"/>
  <c r="BS107" i="2"/>
  <c r="S112" i="6" s="1"/>
  <c r="BR107" i="2"/>
  <c r="R112" i="6" s="1"/>
  <c r="BS97" i="2"/>
  <c r="S102" i="6" s="1"/>
  <c r="BR97" i="2"/>
  <c r="R102" i="6" s="1"/>
  <c r="BS21" i="2"/>
  <c r="S26" i="6" s="1"/>
  <c r="BR21" i="2"/>
  <c r="R26" i="6" s="1"/>
  <c r="BS79" i="2"/>
  <c r="S84" i="6" s="1"/>
  <c r="BR79" i="2"/>
  <c r="R84" i="6" s="1"/>
  <c r="BS102" i="2"/>
  <c r="S107" i="6" s="1"/>
  <c r="BR102" i="2"/>
  <c r="R107" i="6" s="1"/>
  <c r="BS150" i="2"/>
  <c r="S155" i="6" s="1"/>
  <c r="BR150" i="2"/>
  <c r="R155" i="6" s="1"/>
  <c r="BS140" i="2"/>
  <c r="S145" i="6" s="1"/>
  <c r="BR140" i="2"/>
  <c r="R145" i="6" s="1"/>
  <c r="BR116" i="2"/>
  <c r="R121" i="6" s="1"/>
  <c r="BS116" i="2"/>
  <c r="S121" i="6" s="1"/>
  <c r="BS73" i="2"/>
  <c r="S78" i="6" s="1"/>
  <c r="BR73" i="2"/>
  <c r="R78" i="6" s="1"/>
  <c r="BS65" i="2"/>
  <c r="S70" i="6" s="1"/>
  <c r="BR65" i="2"/>
  <c r="R70" i="6" s="1"/>
  <c r="BS171" i="2"/>
  <c r="S176" i="6" s="1"/>
  <c r="BR171" i="2"/>
  <c r="R176" i="6" s="1"/>
  <c r="BS179" i="2"/>
  <c r="S184" i="6" s="1"/>
  <c r="BR179" i="2"/>
  <c r="R184" i="6" s="1"/>
  <c r="BS129" i="2"/>
  <c r="S134" i="6" s="1"/>
  <c r="BR129" i="2"/>
  <c r="R134" i="6" s="1"/>
  <c r="BS109" i="2"/>
  <c r="S114" i="6" s="1"/>
  <c r="BR109" i="2"/>
  <c r="R114" i="6" s="1"/>
  <c r="BS153" i="2"/>
  <c r="S158" i="6" s="1"/>
  <c r="BR153" i="2"/>
  <c r="R158" i="6" s="1"/>
  <c r="BS71" i="2"/>
  <c r="S76" i="6" s="1"/>
  <c r="BR71" i="2"/>
  <c r="R76" i="6" s="1"/>
  <c r="BS35" i="2"/>
  <c r="S40" i="6" s="1"/>
  <c r="BR35" i="2"/>
  <c r="R40" i="6" s="1"/>
  <c r="BS138" i="2"/>
  <c r="S143" i="6" s="1"/>
  <c r="BR138" i="2"/>
  <c r="R143" i="6" s="1"/>
  <c r="BS40" i="2"/>
  <c r="S45" i="6" s="1"/>
  <c r="BR40" i="2"/>
  <c r="R45" i="6" s="1"/>
  <c r="BS52" i="2"/>
  <c r="S57" i="6" s="1"/>
  <c r="BR52" i="2"/>
  <c r="R57" i="6" s="1"/>
  <c r="P100" i="4"/>
  <c r="AP100" i="4"/>
  <c r="AG100" i="4"/>
  <c r="AR163" i="4"/>
  <c r="AI163" i="4"/>
  <c r="R163" i="4"/>
  <c r="AH122" i="4"/>
  <c r="AQ122" i="4"/>
  <c r="Q122" i="4"/>
  <c r="AJ207" i="4"/>
  <c r="AS207" i="4"/>
  <c r="S207" i="4"/>
  <c r="AK189" i="4"/>
  <c r="AT189" i="4"/>
  <c r="AQ108" i="4"/>
  <c r="AH108" i="4"/>
  <c r="Q108" i="4"/>
  <c r="AH224" i="4"/>
  <c r="AQ224" i="4"/>
  <c r="Q224" i="4"/>
  <c r="AH217" i="4"/>
  <c r="AQ217" i="4"/>
  <c r="Q217" i="4"/>
  <c r="AH103" i="4"/>
  <c r="AQ103" i="4"/>
  <c r="Q103" i="4"/>
  <c r="AH173" i="4"/>
  <c r="AQ173" i="4"/>
  <c r="Q173" i="4"/>
  <c r="AI123" i="4"/>
  <c r="AR123" i="4"/>
  <c r="R123" i="4"/>
  <c r="AS176" i="4"/>
  <c r="AJ176" i="4"/>
  <c r="S176" i="4"/>
  <c r="AQ130" i="4"/>
  <c r="AH130" i="4"/>
  <c r="Q130" i="4"/>
  <c r="AR203" i="4"/>
  <c r="AI203" i="4"/>
  <c r="R203" i="4"/>
  <c r="AR115" i="4"/>
  <c r="AI115" i="4"/>
  <c r="R115" i="4"/>
  <c r="AQ119" i="4"/>
  <c r="AH119" i="4"/>
  <c r="Q119" i="4"/>
  <c r="AI216" i="4"/>
  <c r="AR216" i="4"/>
  <c r="R216" i="4"/>
  <c r="AT121" i="4"/>
  <c r="AK121" i="4"/>
  <c r="AH111" i="4"/>
  <c r="AQ111" i="4"/>
  <c r="Q111" i="4"/>
  <c r="AH124" i="4"/>
  <c r="AQ124" i="4"/>
  <c r="Q124" i="4"/>
  <c r="AR230" i="4"/>
  <c r="AI230" i="4"/>
  <c r="R230" i="4"/>
  <c r="AI221" i="4"/>
  <c r="AR221" i="4"/>
  <c r="R221" i="4"/>
  <c r="AS141" i="4"/>
  <c r="AJ141" i="4"/>
  <c r="S141" i="4"/>
  <c r="AR238" i="4"/>
  <c r="AI238" i="4"/>
  <c r="R238" i="4"/>
  <c r="AR131" i="4"/>
  <c r="AI131" i="4"/>
  <c r="R131" i="4"/>
  <c r="AH160" i="4"/>
  <c r="AQ160" i="4"/>
  <c r="Q160" i="4"/>
  <c r="AQ209" i="4"/>
  <c r="AH209" i="4"/>
  <c r="Q209" i="4"/>
  <c r="AJ237" i="4"/>
  <c r="AS237" i="4"/>
  <c r="S237" i="4"/>
  <c r="AQ159" i="4"/>
  <c r="AH159" i="4"/>
  <c r="Q159" i="4"/>
  <c r="AR204" i="4"/>
  <c r="AI204" i="4"/>
  <c r="R204" i="4"/>
  <c r="AJ125" i="4"/>
  <c r="AS125" i="4"/>
  <c r="S125" i="4"/>
  <c r="AR219" i="4"/>
  <c r="AI219" i="4"/>
  <c r="R219" i="4"/>
  <c r="AR99" i="4"/>
  <c r="AI99" i="4"/>
  <c r="R99" i="4"/>
  <c r="AR152" i="4"/>
  <c r="AI152" i="4"/>
  <c r="R152" i="4"/>
  <c r="AH168" i="4"/>
  <c r="AQ168" i="4"/>
  <c r="Q168" i="4"/>
  <c r="AK128" i="4"/>
  <c r="AT128" i="4"/>
  <c r="AR127" i="4"/>
  <c r="AI127" i="4"/>
  <c r="R127" i="4"/>
  <c r="AT84" i="4"/>
  <c r="AK84" i="4"/>
  <c r="AH220" i="4"/>
  <c r="AQ220" i="4"/>
  <c r="Q220" i="4"/>
  <c r="AH161" i="4"/>
  <c r="AQ161" i="4"/>
  <c r="Q161" i="4"/>
  <c r="AQ165" i="4"/>
  <c r="AH165" i="4"/>
  <c r="Q165" i="4"/>
  <c r="AH184" i="4"/>
  <c r="AQ184" i="4"/>
  <c r="Q184" i="4"/>
  <c r="AK137" i="4"/>
  <c r="AT137" i="4"/>
  <c r="AI181" i="4"/>
  <c r="AR181" i="4"/>
  <c r="R181" i="4"/>
  <c r="AH211" i="4"/>
  <c r="AQ211" i="4"/>
  <c r="Q211" i="4"/>
  <c r="AQ177" i="4"/>
  <c r="AH177" i="4"/>
  <c r="Q177" i="4"/>
  <c r="AQ231" i="4"/>
  <c r="AH231" i="4"/>
  <c r="Q231" i="4"/>
  <c r="AJ178" i="4"/>
  <c r="AS178" i="4"/>
  <c r="S178" i="4"/>
  <c r="AI107" i="4"/>
  <c r="AR107" i="4"/>
  <c r="R107" i="4"/>
  <c r="AK94" i="4"/>
  <c r="AT94" i="4"/>
  <c r="AH78" i="4"/>
  <c r="AQ78" i="4"/>
  <c r="Q78" i="4"/>
  <c r="AQ104" i="4"/>
  <c r="AH104" i="4"/>
  <c r="Q104" i="4"/>
  <c r="AQ106" i="4"/>
  <c r="AH106" i="4"/>
  <c r="Q106" i="4"/>
  <c r="AS91" i="4"/>
  <c r="AJ91" i="4"/>
  <c r="S91" i="4"/>
  <c r="AQ87" i="4"/>
  <c r="AH87" i="4"/>
  <c r="Q87" i="4"/>
  <c r="AS75" i="4"/>
  <c r="AJ75" i="4"/>
  <c r="S75" i="4"/>
  <c r="AQ206" i="4"/>
  <c r="AH206" i="4"/>
  <c r="Q206" i="4"/>
  <c r="AH101" i="4"/>
  <c r="AQ101" i="4"/>
  <c r="Q101" i="4"/>
  <c r="AQ210" i="4"/>
  <c r="AH210" i="4"/>
  <c r="Q210" i="4"/>
  <c r="AT205" i="4"/>
  <c r="AK205" i="4"/>
  <c r="AR112" i="4"/>
  <c r="AI112" i="4"/>
  <c r="R112" i="4"/>
  <c r="AQ79" i="4"/>
  <c r="AH79" i="4"/>
  <c r="Q79" i="4"/>
  <c r="AI126" i="4"/>
  <c r="AR126" i="4"/>
  <c r="R126" i="4"/>
  <c r="AH198" i="4"/>
  <c r="AQ198" i="4"/>
  <c r="Q198" i="4"/>
  <c r="AH92" i="4"/>
  <c r="AQ92" i="4"/>
  <c r="Q92" i="4"/>
  <c r="AS81" i="4"/>
  <c r="AJ81" i="4"/>
  <c r="S81" i="4"/>
  <c r="AT116" i="4"/>
  <c r="AK116" i="4"/>
  <c r="AQ190" i="4"/>
  <c r="AH190" i="4"/>
  <c r="Q190" i="4"/>
  <c r="AS83" i="4"/>
  <c r="AJ83" i="4"/>
  <c r="S83" i="4"/>
  <c r="AR146" i="4"/>
  <c r="AI146" i="4"/>
  <c r="R146" i="4"/>
  <c r="AI95" i="4"/>
  <c r="AR95" i="4"/>
  <c r="R95" i="4"/>
  <c r="AJ153" i="4"/>
  <c r="AS153" i="4"/>
  <c r="S153" i="4"/>
  <c r="AH138" i="4"/>
  <c r="AQ138" i="4"/>
  <c r="Q138" i="4"/>
  <c r="AI235" i="4"/>
  <c r="AR235" i="4"/>
  <c r="R235" i="4"/>
  <c r="AH89" i="4"/>
  <c r="AQ89" i="4"/>
  <c r="Q89" i="4"/>
  <c r="AQ167" i="4"/>
  <c r="AH167" i="4"/>
  <c r="Q167" i="4"/>
  <c r="AH157" i="4"/>
  <c r="AQ157" i="4"/>
  <c r="Q157" i="4"/>
  <c r="AR147" i="4"/>
  <c r="AI147" i="4"/>
  <c r="R147" i="4"/>
  <c r="AH162" i="4"/>
  <c r="AQ162" i="4"/>
  <c r="Q162" i="4"/>
  <c r="AR215" i="4"/>
  <c r="AI215" i="4"/>
  <c r="R215" i="4"/>
  <c r="AK175" i="4"/>
  <c r="AT175" i="4"/>
  <c r="AR97" i="4"/>
  <c r="AI97" i="4"/>
  <c r="R97" i="4"/>
  <c r="AQ151" i="4"/>
  <c r="AH151" i="4"/>
  <c r="Q151" i="4"/>
  <c r="AR150" i="4"/>
  <c r="AI150" i="4"/>
  <c r="R150" i="4"/>
  <c r="AS166" i="4"/>
  <c r="AJ166" i="4"/>
  <c r="S166" i="4"/>
  <c r="AQ142" i="4"/>
  <c r="AH142" i="4"/>
  <c r="Q142" i="4"/>
  <c r="AR196" i="4"/>
  <c r="AI196" i="4"/>
  <c r="R196" i="4"/>
  <c r="AI218" i="4"/>
  <c r="AR218" i="4"/>
  <c r="R218" i="4"/>
  <c r="AQ214" i="4"/>
  <c r="AH214" i="4"/>
  <c r="Q214" i="4"/>
  <c r="AT208" i="4"/>
  <c r="AK208" i="4"/>
  <c r="AT185" i="4"/>
  <c r="AK185" i="4"/>
  <c r="AH226" i="4"/>
  <c r="AQ226" i="4"/>
  <c r="Q226" i="4"/>
  <c r="AI200" i="4"/>
  <c r="AR200" i="4"/>
  <c r="R200" i="4"/>
  <c r="AT158" i="4"/>
  <c r="AK158" i="4"/>
  <c r="AI72" i="4"/>
  <c r="AR72" i="4"/>
  <c r="R72" i="4"/>
  <c r="AI133" i="4"/>
  <c r="AR133" i="4"/>
  <c r="R133" i="4"/>
  <c r="AR174" i="4"/>
  <c r="AI174" i="4"/>
  <c r="R174" i="4"/>
  <c r="AR193" i="4"/>
  <c r="AI193" i="4"/>
  <c r="R193" i="4"/>
  <c r="AK234" i="4"/>
  <c r="AT234" i="4"/>
  <c r="AJ120" i="4"/>
  <c r="AS120" i="4"/>
  <c r="S120" i="4"/>
  <c r="AJ96" i="4"/>
  <c r="AS96" i="4"/>
  <c r="S96" i="4"/>
  <c r="AH113" i="4"/>
  <c r="AQ113" i="4"/>
  <c r="Q113" i="4"/>
  <c r="AJ140" i="4"/>
  <c r="AS140" i="4"/>
  <c r="S140" i="4"/>
  <c r="AR232" i="4"/>
  <c r="AI232" i="4"/>
  <c r="R232" i="4"/>
  <c r="AQ225" i="4"/>
  <c r="AH225" i="4"/>
  <c r="Q225" i="4"/>
  <c r="AI136" i="4"/>
  <c r="AR136" i="4"/>
  <c r="R136" i="4"/>
  <c r="AK228" i="4"/>
  <c r="AT228" i="4"/>
  <c r="AH199" i="4"/>
  <c r="AQ199" i="4"/>
  <c r="Q199" i="4"/>
  <c r="AQ102" i="4"/>
  <c r="AH102" i="4"/>
  <c r="Q102" i="4"/>
  <c r="AK76" i="4"/>
  <c r="AT76" i="4"/>
  <c r="AK85" i="4"/>
  <c r="AT85" i="4"/>
  <c r="AJ88" i="4"/>
  <c r="AS88" i="4"/>
  <c r="S88" i="4"/>
  <c r="AH187" i="4"/>
  <c r="AQ187" i="4"/>
  <c r="Q187" i="4"/>
  <c r="AS195" i="4"/>
  <c r="AJ195" i="4"/>
  <c r="S195" i="4"/>
  <c r="AR155" i="4"/>
  <c r="AI155" i="4"/>
  <c r="R155" i="4"/>
  <c r="AQ223" i="4"/>
  <c r="AH223" i="4"/>
  <c r="Q223" i="4"/>
  <c r="AH135" i="4"/>
  <c r="AQ135" i="4"/>
  <c r="Q135" i="4"/>
  <c r="AK114" i="4"/>
  <c r="AT114" i="4"/>
  <c r="AR172" i="4"/>
  <c r="AI172" i="4"/>
  <c r="R172" i="4"/>
  <c r="AS188" i="4"/>
  <c r="AJ188" i="4"/>
  <c r="S188" i="4"/>
  <c r="AQ109" i="4"/>
  <c r="AH109" i="4"/>
  <c r="Q109" i="4"/>
  <c r="AJ110" i="4"/>
  <c r="AS110" i="4"/>
  <c r="S110" i="4"/>
  <c r="AT164" i="4"/>
  <c r="AK164" i="4"/>
  <c r="AR73" i="4"/>
  <c r="AI73" i="4"/>
  <c r="R73" i="4"/>
  <c r="AI240" i="4"/>
  <c r="AR240" i="4"/>
  <c r="R240" i="4"/>
  <c r="AQ192" i="4"/>
  <c r="AH192" i="4"/>
  <c r="Q192" i="4"/>
  <c r="AJ202" i="4"/>
  <c r="AS202" i="4"/>
  <c r="S202" i="4"/>
  <c r="AR186" i="4"/>
  <c r="AI186" i="4"/>
  <c r="R186" i="4"/>
  <c r="AJ82" i="4"/>
  <c r="AS82" i="4"/>
  <c r="S82" i="4"/>
  <c r="AR148" i="4"/>
  <c r="AI148" i="4"/>
  <c r="R148" i="4"/>
  <c r="AS139" i="4"/>
  <c r="AJ139" i="4"/>
  <c r="S139" i="4"/>
  <c r="AH134" i="4"/>
  <c r="AQ134" i="4"/>
  <c r="Q134" i="4"/>
  <c r="AJ143" i="4"/>
  <c r="AS143" i="4"/>
  <c r="S143" i="4"/>
  <c r="AS239" i="4"/>
  <c r="AJ239" i="4"/>
  <c r="S239" i="4"/>
  <c r="AK191" i="4"/>
  <c r="AT191" i="4"/>
  <c r="AH117" i="4"/>
  <c r="AQ117" i="4"/>
  <c r="Q117" i="4"/>
  <c r="AH129" i="4"/>
  <c r="AQ129" i="4"/>
  <c r="Q129" i="4"/>
  <c r="AJ132" i="4"/>
  <c r="AS132" i="4"/>
  <c r="S132" i="4"/>
  <c r="AT213" i="4"/>
  <c r="AK213" i="4"/>
  <c r="AJ183" i="4"/>
  <c r="AS183" i="4"/>
  <c r="S183" i="4"/>
  <c r="AJ182" i="4"/>
  <c r="AS182" i="4"/>
  <c r="S182" i="4"/>
  <c r="AR229" i="4"/>
  <c r="AI229" i="4"/>
  <c r="R229" i="4"/>
  <c r="AJ149" i="4"/>
  <c r="AS149" i="4"/>
  <c r="S149" i="4"/>
  <c r="AJ77" i="4"/>
  <c r="AS77" i="4"/>
  <c r="S77" i="4"/>
  <c r="AR154" i="4"/>
  <c r="AI154" i="4"/>
  <c r="R154" i="4"/>
  <c r="AI194" i="4"/>
  <c r="AR194" i="4"/>
  <c r="R194" i="4"/>
  <c r="AR145" i="4"/>
  <c r="AI145" i="4"/>
  <c r="R145" i="4"/>
  <c r="AH179" i="4"/>
  <c r="AQ179" i="4"/>
  <c r="Q179" i="4"/>
  <c r="AK222" i="4"/>
  <c r="AT222" i="4"/>
  <c r="AH86" i="4"/>
  <c r="AQ86" i="4"/>
  <c r="Q86" i="4"/>
  <c r="AR170" i="4"/>
  <c r="AI170" i="4"/>
  <c r="R170" i="4"/>
  <c r="AQ118" i="4"/>
  <c r="AH118" i="4"/>
  <c r="Q118" i="4"/>
  <c r="AR105" i="4"/>
  <c r="AI105" i="4"/>
  <c r="R105" i="4"/>
  <c r="AI74" i="4"/>
  <c r="AR74" i="4"/>
  <c r="R74" i="4"/>
  <c r="AI233" i="4"/>
  <c r="AR233" i="4"/>
  <c r="R233" i="4"/>
  <c r="AR227" i="4"/>
  <c r="AI227" i="4"/>
  <c r="R227" i="4"/>
  <c r="AI80" i="4"/>
  <c r="AR80" i="4"/>
  <c r="R80" i="4"/>
  <c r="AH98" i="4"/>
  <c r="AQ98" i="4"/>
  <c r="Q98" i="4"/>
  <c r="AR171" i="4"/>
  <c r="AI171" i="4"/>
  <c r="R171" i="4"/>
  <c r="AQ197" i="4"/>
  <c r="AH197" i="4"/>
  <c r="Q197" i="4"/>
  <c r="AJ144" i="4"/>
  <c r="AS144" i="4"/>
  <c r="S144" i="4"/>
  <c r="AQ90" i="4"/>
  <c r="AH90" i="4"/>
  <c r="Q90" i="4"/>
  <c r="AS212" i="4"/>
  <c r="AJ212" i="4"/>
  <c r="S212" i="4"/>
  <c r="AI93" i="4"/>
  <c r="AR93" i="4"/>
  <c r="R93" i="4"/>
  <c r="AK156" i="4"/>
  <c r="AT156" i="4"/>
  <c r="AR169" i="4"/>
  <c r="AI169" i="4"/>
  <c r="R169" i="4"/>
  <c r="BJ49" i="2" l="1"/>
  <c r="BK49" i="2" s="1"/>
  <c r="BT49" i="2" s="1"/>
  <c r="T54" i="6" s="1"/>
  <c r="AT45" i="6"/>
  <c r="AK45" i="6"/>
  <c r="AT40" i="6"/>
  <c r="AK40" i="6"/>
  <c r="AT158" i="6"/>
  <c r="AK158" i="6"/>
  <c r="AT134" i="6"/>
  <c r="AK134" i="6"/>
  <c r="AT176" i="6"/>
  <c r="AK176" i="6"/>
  <c r="AT78" i="6"/>
  <c r="AK78" i="6"/>
  <c r="AT145" i="6"/>
  <c r="AK145" i="6"/>
  <c r="AT107" i="6"/>
  <c r="AK107" i="6"/>
  <c r="AT26" i="6"/>
  <c r="AK26" i="6"/>
  <c r="AT112" i="6"/>
  <c r="AK112" i="6"/>
  <c r="AT151" i="6"/>
  <c r="AK151" i="6"/>
  <c r="AK85" i="6"/>
  <c r="AT85" i="6"/>
  <c r="AT172" i="6"/>
  <c r="AK172" i="6"/>
  <c r="AS165" i="6"/>
  <c r="AJ165" i="6"/>
  <c r="AT95" i="6"/>
  <c r="AK95" i="6"/>
  <c r="AT87" i="6"/>
  <c r="AK87" i="6"/>
  <c r="AS157" i="6"/>
  <c r="AJ157" i="6"/>
  <c r="AT123" i="6"/>
  <c r="AK123" i="6"/>
  <c r="AT93" i="6"/>
  <c r="AK93" i="6"/>
  <c r="AT83" i="6"/>
  <c r="AK83" i="6"/>
  <c r="AT173" i="6"/>
  <c r="AK173" i="6"/>
  <c r="AT186" i="6"/>
  <c r="AK186" i="6"/>
  <c r="AT180" i="6"/>
  <c r="AK180" i="6"/>
  <c r="AT142" i="6"/>
  <c r="AK142" i="6"/>
  <c r="AT138" i="6"/>
  <c r="AK138" i="6"/>
  <c r="AT92" i="6"/>
  <c r="AK92" i="6"/>
  <c r="AT132" i="6"/>
  <c r="AK132" i="6"/>
  <c r="AT98" i="6"/>
  <c r="AK98" i="6"/>
  <c r="AT73" i="6"/>
  <c r="AK73" i="6"/>
  <c r="AT135" i="6"/>
  <c r="AK135" i="6"/>
  <c r="AT44" i="6"/>
  <c r="AK44" i="6"/>
  <c r="AT61" i="6"/>
  <c r="AK61" i="6"/>
  <c r="AS117" i="6"/>
  <c r="AJ117" i="6"/>
  <c r="AS136" i="6"/>
  <c r="AJ136" i="6"/>
  <c r="AS115" i="6"/>
  <c r="AJ115" i="6"/>
  <c r="AJ71" i="6"/>
  <c r="AS71" i="6"/>
  <c r="AS49" i="6"/>
  <c r="AJ49" i="6"/>
  <c r="AS162" i="6"/>
  <c r="AJ162" i="6"/>
  <c r="AS72" i="6"/>
  <c r="AJ72" i="6"/>
  <c r="AR173" i="6"/>
  <c r="AI173" i="6"/>
  <c r="AR92" i="6"/>
  <c r="AI92" i="6"/>
  <c r="AJ57" i="6"/>
  <c r="AS57" i="6"/>
  <c r="AS143" i="6"/>
  <c r="AJ143" i="6"/>
  <c r="AS76" i="6"/>
  <c r="AJ76" i="6"/>
  <c r="AS114" i="6"/>
  <c r="AJ114" i="6"/>
  <c r="AS184" i="6"/>
  <c r="AJ184" i="6"/>
  <c r="AS70" i="6"/>
  <c r="AJ70" i="6"/>
  <c r="AT121" i="6"/>
  <c r="AK121" i="6"/>
  <c r="AS155" i="6"/>
  <c r="AJ155" i="6"/>
  <c r="AS84" i="6"/>
  <c r="AJ84" i="6"/>
  <c r="AS102" i="6"/>
  <c r="AJ102" i="6"/>
  <c r="AS82" i="6"/>
  <c r="AJ82" i="6"/>
  <c r="AS63" i="6"/>
  <c r="AJ63" i="6"/>
  <c r="AS168" i="6"/>
  <c r="AJ168" i="6"/>
  <c r="AS116" i="6"/>
  <c r="AJ116" i="6"/>
  <c r="AS150" i="6"/>
  <c r="AJ150" i="6"/>
  <c r="AS36" i="6"/>
  <c r="AJ36" i="6"/>
  <c r="AS139" i="6"/>
  <c r="AJ139" i="6"/>
  <c r="AJ69" i="6"/>
  <c r="AS69" i="6"/>
  <c r="AS160" i="6"/>
  <c r="AJ160" i="6"/>
  <c r="AT185" i="6"/>
  <c r="AK185" i="6"/>
  <c r="AS51" i="6"/>
  <c r="AJ51" i="6"/>
  <c r="AS65" i="6"/>
  <c r="AJ65" i="6"/>
  <c r="AS74" i="6"/>
  <c r="AJ74" i="6"/>
  <c r="AS152" i="6"/>
  <c r="AJ152" i="6"/>
  <c r="AS174" i="6"/>
  <c r="AJ174" i="6"/>
  <c r="AS159" i="6"/>
  <c r="AJ159" i="6"/>
  <c r="AS118" i="6"/>
  <c r="AJ118" i="6"/>
  <c r="AS120" i="6"/>
  <c r="AJ120" i="6"/>
  <c r="AS141" i="6"/>
  <c r="AJ141" i="6"/>
  <c r="AS163" i="6"/>
  <c r="AJ163" i="6"/>
  <c r="AS164" i="6"/>
  <c r="AJ164" i="6"/>
  <c r="AT161" i="6"/>
  <c r="AK161" i="6"/>
  <c r="AT105" i="6"/>
  <c r="AK105" i="6"/>
  <c r="I122" i="1"/>
  <c r="AT20" i="6"/>
  <c r="AK20" i="6"/>
  <c r="AT136" i="6"/>
  <c r="AK136" i="6"/>
  <c r="AT115" i="6"/>
  <c r="AK115" i="6"/>
  <c r="AK71" i="6"/>
  <c r="AT71" i="6"/>
  <c r="AT49" i="6"/>
  <c r="AK49" i="6"/>
  <c r="AT162" i="6"/>
  <c r="AK162" i="6"/>
  <c r="AK72" i="6"/>
  <c r="AT72" i="6"/>
  <c r="AR90" i="6"/>
  <c r="AI90" i="6"/>
  <c r="AR176" i="6"/>
  <c r="AI176" i="6"/>
  <c r="AT57" i="6"/>
  <c r="AK57" i="6"/>
  <c r="AT143" i="6"/>
  <c r="AK143" i="6"/>
  <c r="AT76" i="6"/>
  <c r="AK76" i="6"/>
  <c r="AT114" i="6"/>
  <c r="AK114" i="6"/>
  <c r="AT184" i="6"/>
  <c r="AK184" i="6"/>
  <c r="AT70" i="6"/>
  <c r="AK70" i="6"/>
  <c r="AS121" i="6"/>
  <c r="AJ121" i="6"/>
  <c r="AT155" i="6"/>
  <c r="AK155" i="6"/>
  <c r="AT84" i="6"/>
  <c r="AK84" i="6"/>
  <c r="AT102" i="6"/>
  <c r="AK102" i="6"/>
  <c r="AT82" i="6"/>
  <c r="AK82" i="6"/>
  <c r="AT63" i="6"/>
  <c r="AK63" i="6"/>
  <c r="AT168" i="6"/>
  <c r="AK168" i="6"/>
  <c r="AT116" i="6"/>
  <c r="AK116" i="6"/>
  <c r="AT150" i="6"/>
  <c r="AK150" i="6"/>
  <c r="AT36" i="6"/>
  <c r="AK36" i="6"/>
  <c r="AT139" i="6"/>
  <c r="AK139" i="6"/>
  <c r="AK69" i="6"/>
  <c r="AT69" i="6"/>
  <c r="AT160" i="6"/>
  <c r="AK160" i="6"/>
  <c r="AS185" i="6"/>
  <c r="AJ185" i="6"/>
  <c r="AT51" i="6"/>
  <c r="AK51" i="6"/>
  <c r="AK65" i="6"/>
  <c r="AT65" i="6"/>
  <c r="AT74" i="6"/>
  <c r="AK74" i="6"/>
  <c r="AT152" i="6"/>
  <c r="AK152" i="6"/>
  <c r="AT174" i="6"/>
  <c r="AK174" i="6"/>
  <c r="AT159" i="6"/>
  <c r="AK159" i="6"/>
  <c r="AT118" i="6"/>
  <c r="AK118" i="6"/>
  <c r="AT120" i="6"/>
  <c r="AK120" i="6"/>
  <c r="AT141" i="6"/>
  <c r="AK141" i="6"/>
  <c r="AT163" i="6"/>
  <c r="AK163" i="6"/>
  <c r="AT164" i="6"/>
  <c r="AK164" i="6"/>
  <c r="AS161" i="6"/>
  <c r="AJ161" i="6"/>
  <c r="AS105" i="6"/>
  <c r="AJ105" i="6"/>
  <c r="AS90" i="6"/>
  <c r="AJ90" i="6"/>
  <c r="AS104" i="6"/>
  <c r="AJ104" i="6"/>
  <c r="AS81" i="6"/>
  <c r="AJ81" i="6"/>
  <c r="AS37" i="6"/>
  <c r="AJ37" i="6"/>
  <c r="AT80" i="6"/>
  <c r="AK80" i="6"/>
  <c r="AS41" i="6"/>
  <c r="AJ41" i="6"/>
  <c r="O15" i="6"/>
  <c r="AP22" i="6"/>
  <c r="AP15" i="6" s="1"/>
  <c r="AG22" i="6"/>
  <c r="E90" i="1"/>
  <c r="AR116" i="6"/>
  <c r="AI116" i="6"/>
  <c r="AS45" i="6"/>
  <c r="AJ45" i="6"/>
  <c r="AS40" i="6"/>
  <c r="AJ40" i="6"/>
  <c r="AS158" i="6"/>
  <c r="AJ158" i="6"/>
  <c r="AS134" i="6"/>
  <c r="AJ134" i="6"/>
  <c r="AS176" i="6"/>
  <c r="AJ176" i="6"/>
  <c r="AS78" i="6"/>
  <c r="AJ78" i="6"/>
  <c r="AS145" i="6"/>
  <c r="AJ145" i="6"/>
  <c r="AS107" i="6"/>
  <c r="AJ107" i="6"/>
  <c r="AS26" i="6"/>
  <c r="AJ26" i="6"/>
  <c r="AS112" i="6"/>
  <c r="AJ112" i="6"/>
  <c r="AS151" i="6"/>
  <c r="AJ151" i="6"/>
  <c r="AS85" i="6"/>
  <c r="AJ85" i="6"/>
  <c r="AS172" i="6"/>
  <c r="AJ172" i="6"/>
  <c r="AT165" i="6"/>
  <c r="AK165" i="6"/>
  <c r="AS95" i="6"/>
  <c r="AJ95" i="6"/>
  <c r="AS87" i="6"/>
  <c r="AJ87" i="6"/>
  <c r="AT157" i="6"/>
  <c r="AK157" i="6"/>
  <c r="AS123" i="6"/>
  <c r="AJ123" i="6"/>
  <c r="AS93" i="6"/>
  <c r="AJ93" i="6"/>
  <c r="AS83" i="6"/>
  <c r="AJ83" i="6"/>
  <c r="AS173" i="6"/>
  <c r="AJ173" i="6"/>
  <c r="AS186" i="6"/>
  <c r="AJ186" i="6"/>
  <c r="AS180" i="6"/>
  <c r="AJ180" i="6"/>
  <c r="AS142" i="6"/>
  <c r="AJ142" i="6"/>
  <c r="AS138" i="6"/>
  <c r="AJ138" i="6"/>
  <c r="AS92" i="6"/>
  <c r="AJ92" i="6"/>
  <c r="AS132" i="6"/>
  <c r="AJ132" i="6"/>
  <c r="AJ98" i="6"/>
  <c r="AS98" i="6"/>
  <c r="AS73" i="6"/>
  <c r="AJ73" i="6"/>
  <c r="AS135" i="6"/>
  <c r="AJ135" i="6"/>
  <c r="AS44" i="6"/>
  <c r="AJ44" i="6"/>
  <c r="AS61" i="6"/>
  <c r="AJ61" i="6"/>
  <c r="AT117" i="6"/>
  <c r="AK117" i="6"/>
  <c r="AT90" i="6"/>
  <c r="AK90" i="6"/>
  <c r="AK104" i="6"/>
  <c r="AT104" i="6"/>
  <c r="AK81" i="6"/>
  <c r="AT81" i="6"/>
  <c r="AT37" i="6"/>
  <c r="AK37" i="6"/>
  <c r="AS80" i="6"/>
  <c r="AJ80" i="6"/>
  <c r="AT41" i="6"/>
  <c r="AK41" i="6"/>
  <c r="AR152" i="6"/>
  <c r="AI152" i="6"/>
  <c r="AR37" i="6"/>
  <c r="AI37" i="6"/>
  <c r="AT89" i="6"/>
  <c r="AK89" i="6"/>
  <c r="J122" i="1"/>
  <c r="AU20" i="6"/>
  <c r="AL20" i="6"/>
  <c r="BJ151" i="2"/>
  <c r="BK151" i="2" s="1"/>
  <c r="BT151" i="2" s="1"/>
  <c r="T156" i="6" s="1"/>
  <c r="BJ178" i="2"/>
  <c r="BK178" i="2" s="1"/>
  <c r="BT178" i="2" s="1"/>
  <c r="T183" i="6" s="1"/>
  <c r="BR49" i="2"/>
  <c r="R54" i="6" s="1"/>
  <c r="BG10" i="2"/>
  <c r="BR84" i="2"/>
  <c r="R89" i="6" s="1"/>
  <c r="BR151" i="2"/>
  <c r="R156" i="6" s="1"/>
  <c r="BR178" i="2"/>
  <c r="R183" i="6" s="1"/>
  <c r="BP17" i="2"/>
  <c r="P22" i="6" s="1"/>
  <c r="AG15" i="6"/>
  <c r="BI17" i="2"/>
  <c r="BJ17" i="2" s="1"/>
  <c r="BK17" i="2" s="1"/>
  <c r="BQ17" i="2"/>
  <c r="BH10" i="2"/>
  <c r="AQ100" i="4"/>
  <c r="AH100" i="4"/>
  <c r="Q100" i="4"/>
  <c r="AS194" i="4"/>
  <c r="AJ194" i="4"/>
  <c r="S194" i="4"/>
  <c r="AJ148" i="4"/>
  <c r="AS148" i="4"/>
  <c r="S148" i="4"/>
  <c r="AS133" i="4"/>
  <c r="AJ133" i="4"/>
  <c r="S133" i="4"/>
  <c r="AJ215" i="4"/>
  <c r="AS215" i="4"/>
  <c r="S215" i="4"/>
  <c r="AT81" i="4"/>
  <c r="AK81" i="4"/>
  <c r="AI104" i="4"/>
  <c r="AR104" i="4"/>
  <c r="R104" i="4"/>
  <c r="AK207" i="4"/>
  <c r="AT207" i="4"/>
  <c r="AR90" i="4"/>
  <c r="AI90" i="4"/>
  <c r="R90" i="4"/>
  <c r="AR98" i="4"/>
  <c r="AI98" i="4"/>
  <c r="R98" i="4"/>
  <c r="AJ74" i="4"/>
  <c r="AS74" i="4"/>
  <c r="S74" i="4"/>
  <c r="AI86" i="4"/>
  <c r="AR86" i="4"/>
  <c r="R86" i="4"/>
  <c r="AS145" i="4"/>
  <c r="AJ145" i="4"/>
  <c r="S145" i="4"/>
  <c r="AK149" i="4"/>
  <c r="AT149" i="4"/>
  <c r="AR129" i="4"/>
  <c r="AI129" i="4"/>
  <c r="R129" i="4"/>
  <c r="AT139" i="4"/>
  <c r="AK139" i="4"/>
  <c r="AT202" i="4"/>
  <c r="AK202" i="4"/>
  <c r="AJ172" i="4"/>
  <c r="AS172" i="4"/>
  <c r="S172" i="4"/>
  <c r="AI223" i="4"/>
  <c r="AR223" i="4"/>
  <c r="R223" i="4"/>
  <c r="AK88" i="4"/>
  <c r="AT88" i="4"/>
  <c r="AS232" i="4"/>
  <c r="AJ232" i="4"/>
  <c r="S232" i="4"/>
  <c r="AT120" i="4"/>
  <c r="AK120" i="4"/>
  <c r="AS174" i="4"/>
  <c r="AJ174" i="4"/>
  <c r="S174" i="4"/>
  <c r="AJ200" i="4"/>
  <c r="AS200" i="4"/>
  <c r="S200" i="4"/>
  <c r="AS196" i="4"/>
  <c r="AJ196" i="4"/>
  <c r="S196" i="4"/>
  <c r="AJ150" i="4"/>
  <c r="AS150" i="4"/>
  <c r="S150" i="4"/>
  <c r="AI157" i="4"/>
  <c r="AR157" i="4"/>
  <c r="R157" i="4"/>
  <c r="AJ146" i="4"/>
  <c r="AS146" i="4"/>
  <c r="S146" i="4"/>
  <c r="AJ126" i="4"/>
  <c r="AS126" i="4"/>
  <c r="S126" i="4"/>
  <c r="AI206" i="4"/>
  <c r="AR206" i="4"/>
  <c r="R206" i="4"/>
  <c r="AI106" i="4"/>
  <c r="AR106" i="4"/>
  <c r="R106" i="4"/>
  <c r="AI231" i="4"/>
  <c r="AR231" i="4"/>
  <c r="R231" i="4"/>
  <c r="AI161" i="4"/>
  <c r="AR161" i="4"/>
  <c r="R161" i="4"/>
  <c r="AS127" i="4"/>
  <c r="AJ127" i="4"/>
  <c r="S127" i="4"/>
  <c r="AS152" i="4"/>
  <c r="AJ152" i="4"/>
  <c r="S152" i="4"/>
  <c r="AS204" i="4"/>
  <c r="AJ204" i="4"/>
  <c r="S204" i="4"/>
  <c r="AR160" i="4"/>
  <c r="AI160" i="4"/>
  <c r="R160" i="4"/>
  <c r="AJ221" i="4"/>
  <c r="AS221" i="4"/>
  <c r="S221" i="4"/>
  <c r="AR119" i="4"/>
  <c r="AI119" i="4"/>
  <c r="R119" i="4"/>
  <c r="AT176" i="4"/>
  <c r="AK176" i="4"/>
  <c r="AI217" i="4"/>
  <c r="AR217" i="4"/>
  <c r="R217" i="4"/>
  <c r="AS163" i="4"/>
  <c r="AJ163" i="4"/>
  <c r="S163" i="4"/>
  <c r="AS80" i="4"/>
  <c r="AJ80" i="4"/>
  <c r="S80" i="4"/>
  <c r="AT239" i="4"/>
  <c r="AK239" i="4"/>
  <c r="AI192" i="4"/>
  <c r="AR192" i="4"/>
  <c r="R192" i="4"/>
  <c r="AS155" i="4"/>
  <c r="AJ155" i="4"/>
  <c r="S155" i="4"/>
  <c r="AK140" i="4"/>
  <c r="AT140" i="4"/>
  <c r="AI142" i="4"/>
  <c r="AR142" i="4"/>
  <c r="R142" i="4"/>
  <c r="AI138" i="4"/>
  <c r="AR138" i="4"/>
  <c r="R138" i="4"/>
  <c r="AR79" i="4"/>
  <c r="AI79" i="4"/>
  <c r="R79" i="4"/>
  <c r="AR177" i="4"/>
  <c r="AI177" i="4"/>
  <c r="R177" i="4"/>
  <c r="AR159" i="4"/>
  <c r="AI159" i="4"/>
  <c r="R159" i="4"/>
  <c r="AS230" i="4"/>
  <c r="AJ230" i="4"/>
  <c r="S230" i="4"/>
  <c r="AS123" i="4"/>
  <c r="AJ123" i="4"/>
  <c r="S123" i="4"/>
  <c r="AS169" i="4"/>
  <c r="AJ169" i="4"/>
  <c r="S169" i="4"/>
  <c r="AT212" i="4"/>
  <c r="AK212" i="4"/>
  <c r="AS171" i="4"/>
  <c r="AJ171" i="4"/>
  <c r="S171" i="4"/>
  <c r="AS227" i="4"/>
  <c r="AJ227" i="4"/>
  <c r="S227" i="4"/>
  <c r="AJ233" i="4"/>
  <c r="AS233" i="4"/>
  <c r="S233" i="4"/>
  <c r="AS170" i="4"/>
  <c r="AJ170" i="4"/>
  <c r="S170" i="4"/>
  <c r="AR179" i="4"/>
  <c r="AI179" i="4"/>
  <c r="R179" i="4"/>
  <c r="AT77" i="4"/>
  <c r="AK77" i="4"/>
  <c r="AT183" i="4"/>
  <c r="AK183" i="4"/>
  <c r="AK132" i="4"/>
  <c r="AT132" i="4"/>
  <c r="AR134" i="4"/>
  <c r="AI134" i="4"/>
  <c r="R134" i="4"/>
  <c r="AS186" i="4"/>
  <c r="AJ186" i="4"/>
  <c r="S186" i="4"/>
  <c r="AJ73" i="4"/>
  <c r="AS73" i="4"/>
  <c r="S73" i="4"/>
  <c r="AT188" i="4"/>
  <c r="AK188" i="4"/>
  <c r="AI135" i="4"/>
  <c r="AR135" i="4"/>
  <c r="R135" i="4"/>
  <c r="AI187" i="4"/>
  <c r="AR187" i="4"/>
  <c r="R187" i="4"/>
  <c r="AI199" i="4"/>
  <c r="AR199" i="4"/>
  <c r="R199" i="4"/>
  <c r="AI225" i="4"/>
  <c r="AR225" i="4"/>
  <c r="R225" i="4"/>
  <c r="AK96" i="4"/>
  <c r="AT96" i="4"/>
  <c r="AS193" i="4"/>
  <c r="AJ193" i="4"/>
  <c r="S193" i="4"/>
  <c r="AJ218" i="4"/>
  <c r="AS218" i="4"/>
  <c r="S218" i="4"/>
  <c r="AK166" i="4"/>
  <c r="AT166" i="4"/>
  <c r="AJ147" i="4"/>
  <c r="AS147" i="4"/>
  <c r="S147" i="4"/>
  <c r="AJ235" i="4"/>
  <c r="AS235" i="4"/>
  <c r="S235" i="4"/>
  <c r="AJ95" i="4"/>
  <c r="AS95" i="4"/>
  <c r="S95" i="4"/>
  <c r="AR92" i="4"/>
  <c r="AI92" i="4"/>
  <c r="R92" i="4"/>
  <c r="AR198" i="4"/>
  <c r="AI198" i="4"/>
  <c r="R198" i="4"/>
  <c r="AK91" i="4"/>
  <c r="AT91" i="4"/>
  <c r="AR78" i="4"/>
  <c r="AI78" i="4"/>
  <c r="R78" i="4"/>
  <c r="AK178" i="4"/>
  <c r="AT178" i="4"/>
  <c r="AJ181" i="4"/>
  <c r="AS181" i="4"/>
  <c r="S181" i="4"/>
  <c r="AR165" i="4"/>
  <c r="AI165" i="4"/>
  <c r="R165" i="4"/>
  <c r="AI168" i="4"/>
  <c r="AR168" i="4"/>
  <c r="R168" i="4"/>
  <c r="AK125" i="4"/>
  <c r="AT125" i="4"/>
  <c r="AR209" i="4"/>
  <c r="AI209" i="4"/>
  <c r="R209" i="4"/>
  <c r="AT141" i="4"/>
  <c r="AK141" i="4"/>
  <c r="AI111" i="4"/>
  <c r="AR111" i="4"/>
  <c r="R111" i="4"/>
  <c r="AJ216" i="4"/>
  <c r="AS216" i="4"/>
  <c r="S216" i="4"/>
  <c r="AR130" i="4"/>
  <c r="AI130" i="4"/>
  <c r="R130" i="4"/>
  <c r="AR103" i="4"/>
  <c r="AI103" i="4"/>
  <c r="R103" i="4"/>
  <c r="AI122" i="4"/>
  <c r="AR122" i="4"/>
  <c r="R122" i="4"/>
  <c r="AT144" i="4"/>
  <c r="AK144" i="4"/>
  <c r="AS105" i="4"/>
  <c r="AJ105" i="4"/>
  <c r="S105" i="4"/>
  <c r="AS229" i="4"/>
  <c r="AJ229" i="4"/>
  <c r="S229" i="4"/>
  <c r="AT110" i="4"/>
  <c r="AK110" i="4"/>
  <c r="AR226" i="4"/>
  <c r="AI226" i="4"/>
  <c r="R226" i="4"/>
  <c r="AI151" i="4"/>
  <c r="AR151" i="4"/>
  <c r="R151" i="4"/>
  <c r="AI167" i="4"/>
  <c r="AR167" i="4"/>
  <c r="R167" i="4"/>
  <c r="AT83" i="4"/>
  <c r="AK83" i="4"/>
  <c r="AR210" i="4"/>
  <c r="AI210" i="4"/>
  <c r="R210" i="4"/>
  <c r="AT75" i="4"/>
  <c r="AK75" i="4"/>
  <c r="AR220" i="4"/>
  <c r="AI220" i="4"/>
  <c r="R220" i="4"/>
  <c r="AS99" i="4"/>
  <c r="AJ99" i="4"/>
  <c r="S99" i="4"/>
  <c r="AJ131" i="4"/>
  <c r="AS131" i="4"/>
  <c r="S131" i="4"/>
  <c r="AJ115" i="4"/>
  <c r="AS115" i="4"/>
  <c r="S115" i="4"/>
  <c r="AI224" i="4"/>
  <c r="AR224" i="4"/>
  <c r="R224" i="4"/>
  <c r="AJ93" i="4"/>
  <c r="AS93" i="4"/>
  <c r="S93" i="4"/>
  <c r="AR197" i="4"/>
  <c r="AI197" i="4"/>
  <c r="R197" i="4"/>
  <c r="AR118" i="4"/>
  <c r="AI118" i="4"/>
  <c r="R118" i="4"/>
  <c r="AJ154" i="4"/>
  <c r="AS154" i="4"/>
  <c r="S154" i="4"/>
  <c r="AT182" i="4"/>
  <c r="AK182" i="4"/>
  <c r="AR117" i="4"/>
  <c r="AI117" i="4"/>
  <c r="R117" i="4"/>
  <c r="AT143" i="4"/>
  <c r="AK143" i="4"/>
  <c r="AK82" i="4"/>
  <c r="AT82" i="4"/>
  <c r="AJ240" i="4"/>
  <c r="AS240" i="4"/>
  <c r="S240" i="4"/>
  <c r="AR109" i="4"/>
  <c r="AI109" i="4"/>
  <c r="R109" i="4"/>
  <c r="AK195" i="4"/>
  <c r="AT195" i="4"/>
  <c r="AR102" i="4"/>
  <c r="AI102" i="4"/>
  <c r="R102" i="4"/>
  <c r="AS136" i="4"/>
  <c r="AJ136" i="4"/>
  <c r="S136" i="4"/>
  <c r="AR113" i="4"/>
  <c r="AI113" i="4"/>
  <c r="R113" i="4"/>
  <c r="AS72" i="4"/>
  <c r="AJ72" i="4"/>
  <c r="S72" i="4"/>
  <c r="AR214" i="4"/>
  <c r="AI214" i="4"/>
  <c r="R214" i="4"/>
  <c r="AJ97" i="4"/>
  <c r="AS97" i="4"/>
  <c r="S97" i="4"/>
  <c r="AI162" i="4"/>
  <c r="AR162" i="4"/>
  <c r="R162" i="4"/>
  <c r="AR89" i="4"/>
  <c r="AI89" i="4"/>
  <c r="R89" i="4"/>
  <c r="AT153" i="4"/>
  <c r="AK153" i="4"/>
  <c r="AI190" i="4"/>
  <c r="AR190" i="4"/>
  <c r="R190" i="4"/>
  <c r="AJ112" i="4"/>
  <c r="AS112" i="4"/>
  <c r="S112" i="4"/>
  <c r="AR101" i="4"/>
  <c r="AI101" i="4"/>
  <c r="R101" i="4"/>
  <c r="AR87" i="4"/>
  <c r="AI87" i="4"/>
  <c r="R87" i="4"/>
  <c r="AS107" i="4"/>
  <c r="AJ107" i="4"/>
  <c r="S107" i="4"/>
  <c r="AR211" i="4"/>
  <c r="AI211" i="4"/>
  <c r="R211" i="4"/>
  <c r="AI184" i="4"/>
  <c r="AR184" i="4"/>
  <c r="R184" i="4"/>
  <c r="AS219" i="4"/>
  <c r="AJ219" i="4"/>
  <c r="S219" i="4"/>
  <c r="AT237" i="4"/>
  <c r="AK237" i="4"/>
  <c r="AJ238" i="4"/>
  <c r="AS238" i="4"/>
  <c r="S238" i="4"/>
  <c r="AR124" i="4"/>
  <c r="AI124" i="4"/>
  <c r="R124" i="4"/>
  <c r="AS203" i="4"/>
  <c r="AJ203" i="4"/>
  <c r="S203" i="4"/>
  <c r="AR173" i="4"/>
  <c r="AI173" i="4"/>
  <c r="R173" i="4"/>
  <c r="AR108" i="4"/>
  <c r="AI108" i="4"/>
  <c r="R108" i="4"/>
  <c r="AU54" i="6" l="1"/>
  <c r="AL54" i="6"/>
  <c r="BS49" i="2"/>
  <c r="S54" i="6" s="1"/>
  <c r="AS156" i="6"/>
  <c r="AJ156" i="6"/>
  <c r="AU183" i="6"/>
  <c r="AL183" i="6"/>
  <c r="AS89" i="6"/>
  <c r="AJ89" i="6"/>
  <c r="AU156" i="6"/>
  <c r="AL156" i="6"/>
  <c r="P15" i="6"/>
  <c r="AQ22" i="6"/>
  <c r="AQ15" i="6" s="1"/>
  <c r="AH22" i="6"/>
  <c r="AH15" i="6" s="1"/>
  <c r="F90" i="1"/>
  <c r="AS183" i="6"/>
  <c r="AJ183" i="6"/>
  <c r="AS54" i="6"/>
  <c r="AJ54" i="6"/>
  <c r="BP10" i="2"/>
  <c r="BS178" i="2"/>
  <c r="S183" i="6" s="1"/>
  <c r="BT17" i="2"/>
  <c r="BK10" i="2"/>
  <c r="BS151" i="2"/>
  <c r="S156" i="6" s="1"/>
  <c r="BQ10" i="2"/>
  <c r="Q22" i="6"/>
  <c r="BR17" i="2"/>
  <c r="BI10" i="2"/>
  <c r="AR100" i="4"/>
  <c r="AI100" i="4"/>
  <c r="R100" i="4"/>
  <c r="AJ101" i="4"/>
  <c r="AS101" i="4"/>
  <c r="S101" i="4"/>
  <c r="AS102" i="4"/>
  <c r="AJ102" i="4"/>
  <c r="S102" i="4"/>
  <c r="AT99" i="4"/>
  <c r="AK99" i="4"/>
  <c r="AS151" i="4"/>
  <c r="AJ151" i="4"/>
  <c r="S151" i="4"/>
  <c r="AS122" i="4"/>
  <c r="AJ122" i="4"/>
  <c r="S122" i="4"/>
  <c r="AT95" i="4"/>
  <c r="AK95" i="4"/>
  <c r="AK193" i="4"/>
  <c r="AT193" i="4"/>
  <c r="AT123" i="4"/>
  <c r="AK123" i="4"/>
  <c r="AS217" i="4"/>
  <c r="AJ217" i="4"/>
  <c r="S217" i="4"/>
  <c r="AK204" i="4"/>
  <c r="AT204" i="4"/>
  <c r="AJ231" i="4"/>
  <c r="AS231" i="4"/>
  <c r="S231" i="4"/>
  <c r="AT146" i="4"/>
  <c r="AK146" i="4"/>
  <c r="AT196" i="4"/>
  <c r="AK196" i="4"/>
  <c r="AJ223" i="4"/>
  <c r="AS223" i="4"/>
  <c r="S223" i="4"/>
  <c r="AT215" i="4"/>
  <c r="AK215" i="4"/>
  <c r="AJ108" i="4"/>
  <c r="AS108" i="4"/>
  <c r="S108" i="4"/>
  <c r="AT238" i="4"/>
  <c r="AK238" i="4"/>
  <c r="AS184" i="4"/>
  <c r="AJ184" i="4"/>
  <c r="S184" i="4"/>
  <c r="AJ87" i="4"/>
  <c r="AS87" i="4"/>
  <c r="S87" i="4"/>
  <c r="AS190" i="4"/>
  <c r="AJ190" i="4"/>
  <c r="S190" i="4"/>
  <c r="AS162" i="4"/>
  <c r="AJ162" i="4"/>
  <c r="S162" i="4"/>
  <c r="AK136" i="4"/>
  <c r="AT136" i="4"/>
  <c r="AS109" i="4"/>
  <c r="AJ109" i="4"/>
  <c r="S109" i="4"/>
  <c r="AS197" i="4"/>
  <c r="AJ197" i="4"/>
  <c r="S197" i="4"/>
  <c r="AT131" i="4"/>
  <c r="AK131" i="4"/>
  <c r="AJ167" i="4"/>
  <c r="AS167" i="4"/>
  <c r="S167" i="4"/>
  <c r="AK216" i="4"/>
  <c r="AT216" i="4"/>
  <c r="AJ209" i="4"/>
  <c r="AS209" i="4"/>
  <c r="S209" i="4"/>
  <c r="AS165" i="4"/>
  <c r="AJ165" i="4"/>
  <c r="S165" i="4"/>
  <c r="AS78" i="4"/>
  <c r="AJ78" i="4"/>
  <c r="S78" i="4"/>
  <c r="AS92" i="4"/>
  <c r="AJ92" i="4"/>
  <c r="S92" i="4"/>
  <c r="AT235" i="4"/>
  <c r="AK235" i="4"/>
  <c r="AT218" i="4"/>
  <c r="AK218" i="4"/>
  <c r="AJ225" i="4"/>
  <c r="AS225" i="4"/>
  <c r="S225" i="4"/>
  <c r="AS135" i="4"/>
  <c r="AJ135" i="4"/>
  <c r="S135" i="4"/>
  <c r="AS134" i="4"/>
  <c r="AJ134" i="4"/>
  <c r="S134" i="4"/>
  <c r="AS179" i="4"/>
  <c r="AJ179" i="4"/>
  <c r="S179" i="4"/>
  <c r="AK171" i="4"/>
  <c r="AT171" i="4"/>
  <c r="AJ177" i="4"/>
  <c r="AS177" i="4"/>
  <c r="S177" i="4"/>
  <c r="AJ142" i="4"/>
  <c r="AS142" i="4"/>
  <c r="S142" i="4"/>
  <c r="AS192" i="4"/>
  <c r="AJ192" i="4"/>
  <c r="S192" i="4"/>
  <c r="AT163" i="4"/>
  <c r="AK163" i="4"/>
  <c r="AS119" i="4"/>
  <c r="AJ119" i="4"/>
  <c r="S119" i="4"/>
  <c r="AJ160" i="4"/>
  <c r="AS160" i="4"/>
  <c r="S160" i="4"/>
  <c r="AJ161" i="4"/>
  <c r="AS161" i="4"/>
  <c r="S161" i="4"/>
  <c r="AK126" i="4"/>
  <c r="AT126" i="4"/>
  <c r="AK74" i="4"/>
  <c r="AT74" i="4"/>
  <c r="AK194" i="4"/>
  <c r="AT194" i="4"/>
  <c r="AS211" i="4"/>
  <c r="AJ211" i="4"/>
  <c r="S211" i="4"/>
  <c r="AJ111" i="4"/>
  <c r="AS111" i="4"/>
  <c r="S111" i="4"/>
  <c r="AS124" i="4"/>
  <c r="AJ124" i="4"/>
  <c r="S124" i="4"/>
  <c r="AK219" i="4"/>
  <c r="AT219" i="4"/>
  <c r="AS89" i="4"/>
  <c r="AJ89" i="4"/>
  <c r="S89" i="4"/>
  <c r="AT72" i="4"/>
  <c r="AK72" i="4"/>
  <c r="AJ113" i="4"/>
  <c r="AS113" i="4"/>
  <c r="S113" i="4"/>
  <c r="AS118" i="4"/>
  <c r="AJ118" i="4"/>
  <c r="S118" i="4"/>
  <c r="AK115" i="4"/>
  <c r="AT115" i="4"/>
  <c r="AJ130" i="4"/>
  <c r="AS130" i="4"/>
  <c r="S130" i="4"/>
  <c r="AS168" i="4"/>
  <c r="AJ168" i="4"/>
  <c r="S168" i="4"/>
  <c r="AS198" i="4"/>
  <c r="AJ198" i="4"/>
  <c r="S198" i="4"/>
  <c r="AS187" i="4"/>
  <c r="AJ187" i="4"/>
  <c r="S187" i="4"/>
  <c r="AK73" i="4"/>
  <c r="AT73" i="4"/>
  <c r="AT186" i="4"/>
  <c r="AK186" i="4"/>
  <c r="AK227" i="4"/>
  <c r="AT227" i="4"/>
  <c r="AT169" i="4"/>
  <c r="AK169" i="4"/>
  <c r="AJ159" i="4"/>
  <c r="AS159" i="4"/>
  <c r="S159" i="4"/>
  <c r="AS138" i="4"/>
  <c r="AJ138" i="4"/>
  <c r="S138" i="4"/>
  <c r="AT155" i="4"/>
  <c r="AK155" i="4"/>
  <c r="AT80" i="4"/>
  <c r="AK80" i="4"/>
  <c r="AT221" i="4"/>
  <c r="AK221" i="4"/>
  <c r="AT127" i="4"/>
  <c r="AK127" i="4"/>
  <c r="AS206" i="4"/>
  <c r="AJ206" i="4"/>
  <c r="S206" i="4"/>
  <c r="AT150" i="4"/>
  <c r="AK150" i="4"/>
  <c r="AT174" i="4"/>
  <c r="AK174" i="4"/>
  <c r="AS129" i="4"/>
  <c r="AJ129" i="4"/>
  <c r="S129" i="4"/>
  <c r="AJ86" i="4"/>
  <c r="AS86" i="4"/>
  <c r="S86" i="4"/>
  <c r="AS90" i="4"/>
  <c r="AJ90" i="4"/>
  <c r="S90" i="4"/>
  <c r="AT148" i="4"/>
  <c r="AK148" i="4"/>
  <c r="AJ173" i="4"/>
  <c r="AS173" i="4"/>
  <c r="S173" i="4"/>
  <c r="AT97" i="4"/>
  <c r="AK97" i="4"/>
  <c r="AK240" i="4"/>
  <c r="AT240" i="4"/>
  <c r="AK93" i="4"/>
  <c r="AT93" i="4"/>
  <c r="AJ210" i="4"/>
  <c r="AS210" i="4"/>
  <c r="S210" i="4"/>
  <c r="AT229" i="4"/>
  <c r="AK229" i="4"/>
  <c r="AK181" i="4"/>
  <c r="AT181" i="4"/>
  <c r="AK147" i="4"/>
  <c r="AT147" i="4"/>
  <c r="AS199" i="4"/>
  <c r="AJ199" i="4"/>
  <c r="S199" i="4"/>
  <c r="AK170" i="4"/>
  <c r="AT170" i="4"/>
  <c r="AT203" i="4"/>
  <c r="AK203" i="4"/>
  <c r="AT107" i="4"/>
  <c r="AK107" i="4"/>
  <c r="AK112" i="4"/>
  <c r="AT112" i="4"/>
  <c r="AJ214" i="4"/>
  <c r="AS214" i="4"/>
  <c r="S214" i="4"/>
  <c r="AS117" i="4"/>
  <c r="AJ117" i="4"/>
  <c r="S117" i="4"/>
  <c r="AT154" i="4"/>
  <c r="AK154" i="4"/>
  <c r="AS224" i="4"/>
  <c r="AJ224" i="4"/>
  <c r="S224" i="4"/>
  <c r="AS220" i="4"/>
  <c r="AJ220" i="4"/>
  <c r="S220" i="4"/>
  <c r="AJ226" i="4"/>
  <c r="AS226" i="4"/>
  <c r="S226" i="4"/>
  <c r="AT105" i="4"/>
  <c r="AK105" i="4"/>
  <c r="AS103" i="4"/>
  <c r="AJ103" i="4"/>
  <c r="S103" i="4"/>
  <c r="AK233" i="4"/>
  <c r="AT233" i="4"/>
  <c r="AT230" i="4"/>
  <c r="AK230" i="4"/>
  <c r="AS79" i="4"/>
  <c r="AJ79" i="4"/>
  <c r="S79" i="4"/>
  <c r="AK152" i="4"/>
  <c r="AT152" i="4"/>
  <c r="AS106" i="4"/>
  <c r="AJ106" i="4"/>
  <c r="S106" i="4"/>
  <c r="AJ157" i="4"/>
  <c r="AS157" i="4"/>
  <c r="S157" i="4"/>
  <c r="AT200" i="4"/>
  <c r="AK200" i="4"/>
  <c r="AT232" i="4"/>
  <c r="AK232" i="4"/>
  <c r="AK172" i="4"/>
  <c r="AT172" i="4"/>
  <c r="AK145" i="4"/>
  <c r="AT145" i="4"/>
  <c r="AS98" i="4"/>
  <c r="AJ98" i="4"/>
  <c r="S98" i="4"/>
  <c r="AS104" i="4"/>
  <c r="AJ104" i="4"/>
  <c r="S104" i="4"/>
  <c r="AT133" i="4"/>
  <c r="AK133" i="4"/>
  <c r="AT54" i="6" l="1"/>
  <c r="AK54" i="6"/>
  <c r="Q15" i="6"/>
  <c r="AI22" i="6"/>
  <c r="AI15" i="6" s="1"/>
  <c r="AR22" i="6"/>
  <c r="G90" i="1"/>
  <c r="AT183" i="6"/>
  <c r="AK183" i="6"/>
  <c r="AT156" i="6"/>
  <c r="AK156" i="6"/>
  <c r="T22" i="6"/>
  <c r="BT10" i="2"/>
  <c r="BR10" i="2"/>
  <c r="R22" i="6"/>
  <c r="AR15" i="6"/>
  <c r="BS17" i="2"/>
  <c r="BJ10" i="2"/>
  <c r="S100" i="4"/>
  <c r="AJ100" i="4"/>
  <c r="AS100" i="4"/>
  <c r="AK160" i="4"/>
  <c r="AT160" i="4"/>
  <c r="AT225" i="4"/>
  <c r="AK225" i="4"/>
  <c r="AK209" i="4"/>
  <c r="AT209" i="4"/>
  <c r="AK87" i="4"/>
  <c r="AT87" i="4"/>
  <c r="AT122" i="4"/>
  <c r="AK122" i="4"/>
  <c r="AT104" i="4"/>
  <c r="AK104" i="4"/>
  <c r="AT106" i="4"/>
  <c r="AK106" i="4"/>
  <c r="AK103" i="4"/>
  <c r="AT103" i="4"/>
  <c r="AK220" i="4"/>
  <c r="AT220" i="4"/>
  <c r="AT117" i="4"/>
  <c r="AK117" i="4"/>
  <c r="AK173" i="4"/>
  <c r="AT173" i="4"/>
  <c r="AK86" i="4"/>
  <c r="AT86" i="4"/>
  <c r="AK187" i="4"/>
  <c r="AT187" i="4"/>
  <c r="AT89" i="4"/>
  <c r="AK89" i="4"/>
  <c r="AT111" i="4"/>
  <c r="AK111" i="4"/>
  <c r="AK161" i="4"/>
  <c r="AT161" i="4"/>
  <c r="AK165" i="4"/>
  <c r="AT165" i="4"/>
  <c r="AK167" i="4"/>
  <c r="AT167" i="4"/>
  <c r="AT109" i="4"/>
  <c r="AK109" i="4"/>
  <c r="AT190" i="4"/>
  <c r="AK190" i="4"/>
  <c r="AK101" i="4"/>
  <c r="AT101" i="4"/>
  <c r="AK224" i="4"/>
  <c r="AT224" i="4"/>
  <c r="AT210" i="4"/>
  <c r="AK210" i="4"/>
  <c r="AK129" i="4"/>
  <c r="AT129" i="4"/>
  <c r="AK157" i="4"/>
  <c r="AT157" i="4"/>
  <c r="AK79" i="4"/>
  <c r="AT79" i="4"/>
  <c r="AK226" i="4"/>
  <c r="AT226" i="4"/>
  <c r="AT90" i="4"/>
  <c r="AK90" i="4"/>
  <c r="AK138" i="4"/>
  <c r="AT138" i="4"/>
  <c r="AT130" i="4"/>
  <c r="AK130" i="4"/>
  <c r="AT113" i="4"/>
  <c r="AK113" i="4"/>
  <c r="AT124" i="4"/>
  <c r="AK124" i="4"/>
  <c r="AT177" i="4"/>
  <c r="AK177" i="4"/>
  <c r="AT134" i="4"/>
  <c r="AK134" i="4"/>
  <c r="AT135" i="4"/>
  <c r="AK135" i="4"/>
  <c r="AT78" i="4"/>
  <c r="AK78" i="4"/>
  <c r="AK197" i="4"/>
  <c r="AT197" i="4"/>
  <c r="AK162" i="4"/>
  <c r="AT162" i="4"/>
  <c r="AK231" i="4"/>
  <c r="AT231" i="4"/>
  <c r="AK102" i="4"/>
  <c r="AT102" i="4"/>
  <c r="AT98" i="4"/>
  <c r="AK98" i="4"/>
  <c r="AT214" i="4"/>
  <c r="AK214" i="4"/>
  <c r="AK159" i="4"/>
  <c r="AT159" i="4"/>
  <c r="AK198" i="4"/>
  <c r="AT198" i="4"/>
  <c r="AT211" i="4"/>
  <c r="AK211" i="4"/>
  <c r="AT192" i="4"/>
  <c r="AK192" i="4"/>
  <c r="AK108" i="4"/>
  <c r="AT108" i="4"/>
  <c r="AT199" i="4"/>
  <c r="AK199" i="4"/>
  <c r="AT206" i="4"/>
  <c r="AK206" i="4"/>
  <c r="AT168" i="4"/>
  <c r="AK168" i="4"/>
  <c r="AK118" i="4"/>
  <c r="AT118" i="4"/>
  <c r="AK119" i="4"/>
  <c r="AT119" i="4"/>
  <c r="AT142" i="4"/>
  <c r="AK142" i="4"/>
  <c r="AK179" i="4"/>
  <c r="AT179" i="4"/>
  <c r="AT92" i="4"/>
  <c r="AK92" i="4"/>
  <c r="AK184" i="4"/>
  <c r="AT184" i="4"/>
  <c r="AK223" i="4"/>
  <c r="AT223" i="4"/>
  <c r="AT217" i="4"/>
  <c r="AK217" i="4"/>
  <c r="AT151" i="4"/>
  <c r="AK151" i="4"/>
  <c r="R15" i="6" l="1"/>
  <c r="AS22" i="6"/>
  <c r="AS15" i="6" s="1"/>
  <c r="AJ22" i="6"/>
  <c r="AJ15" i="6" s="1"/>
  <c r="H90" i="1"/>
  <c r="AU22" i="6"/>
  <c r="AU15" i="6" s="1"/>
  <c r="AL22" i="6"/>
  <c r="AL15" i="6" s="1"/>
  <c r="J90" i="1"/>
  <c r="T15" i="6"/>
  <c r="BS10" i="2"/>
  <c r="S22" i="6"/>
  <c r="AK100" i="4"/>
  <c r="AT100" i="4"/>
  <c r="S15" i="6" l="1"/>
  <c r="AT22" i="6"/>
  <c r="AT15" i="6" s="1"/>
  <c r="AK22" i="6"/>
  <c r="AK15" i="6" s="1"/>
  <c r="I90" i="1"/>
</calcChain>
</file>

<file path=xl/sharedStrings.xml><?xml version="1.0" encoding="utf-8"?>
<sst xmlns="http://schemas.openxmlformats.org/spreadsheetml/2006/main" count="3264" uniqueCount="697">
  <si>
    <t>Base Aid Ratio</t>
  </si>
  <si>
    <t>ENGL Adjustment Factor</t>
  </si>
  <si>
    <t>MHI Adjustment Factor</t>
  </si>
  <si>
    <t>DRG</t>
  </si>
  <si>
    <t>C</t>
  </si>
  <si>
    <t>Andover</t>
  </si>
  <si>
    <t>H</t>
  </si>
  <si>
    <t>Ansonia</t>
  </si>
  <si>
    <t>E</t>
  </si>
  <si>
    <t>Ashford</t>
  </si>
  <si>
    <t>B</t>
  </si>
  <si>
    <t>Avon</t>
  </si>
  <si>
    <t>Barkhamsted</t>
  </si>
  <si>
    <t>Beacon Falls</t>
  </si>
  <si>
    <t>D</t>
  </si>
  <si>
    <t>Berlin</t>
  </si>
  <si>
    <t>Bethany</t>
  </si>
  <si>
    <t>Bethel</t>
  </si>
  <si>
    <t>Bethlehem</t>
  </si>
  <si>
    <t>G</t>
  </si>
  <si>
    <t>Bloomfield</t>
  </si>
  <si>
    <t>Bolton</t>
  </si>
  <si>
    <t>Bozrah</t>
  </si>
  <si>
    <t>Branford</t>
  </si>
  <si>
    <t>I</t>
  </si>
  <si>
    <t>Bridgeport</t>
  </si>
  <si>
    <t>Bridgewater</t>
  </si>
  <si>
    <t>Bristol</t>
  </si>
  <si>
    <t>Brookfield</t>
  </si>
  <si>
    <t>Brooklyn</t>
  </si>
  <si>
    <t>Burlington</t>
  </si>
  <si>
    <t>Canaan</t>
  </si>
  <si>
    <t>F</t>
  </si>
  <si>
    <t>Canterbury</t>
  </si>
  <si>
    <t>Canton</t>
  </si>
  <si>
    <t>Chaplin</t>
  </si>
  <si>
    <t>Cheshire</t>
  </si>
  <si>
    <t>Chester</t>
  </si>
  <si>
    <t>Clinton</t>
  </si>
  <si>
    <t>Colchester</t>
  </si>
  <si>
    <t>Colebrook</t>
  </si>
  <si>
    <t>Columbia</t>
  </si>
  <si>
    <t>Cornwall</t>
  </si>
  <si>
    <t>Coventry</t>
  </si>
  <si>
    <t>Cromwell</t>
  </si>
  <si>
    <t>Danbury</t>
  </si>
  <si>
    <t>A</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</si>
  <si>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</si>
  <si>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</si>
  <si>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</si>
  <si>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</si>
  <si>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</si>
  <si>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</si>
  <si>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</si>
  <si>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</si>
  <si>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</si>
  <si>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</si>
  <si>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</si>
  <si>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</si>
  <si>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</si>
  <si>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</si>
  <si>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</si>
  <si>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</si>
  <si>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</si>
  <si>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</si>
  <si>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</si>
  <si>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</si>
  <si>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</si>
  <si>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</si>
  <si>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</si>
  <si>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</si>
  <si>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</si>
  <si>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</si>
  <si>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</si>
  <si>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</si>
  <si>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</si>
  <si>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</si>
  <si>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</si>
  <si>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</si>
  <si>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</si>
  <si>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</si>
  <si>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</si>
  <si>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</si>
  <si>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</si>
  <si>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</si>
  <si>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</si>
  <si>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</si>
  <si>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</si>
  <si>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</si>
  <si>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</si>
  <si>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</si>
  <si>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</si>
  <si>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</si>
  <si>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</si>
  <si>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</si>
  <si>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</si>
  <si>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</si>
  <si>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</si>
  <si>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</si>
  <si>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</si>
  <si>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</si>
  <si>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</si>
  <si>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</si>
  <si>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</si>
  <si>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</si>
  <si>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</si>
  <si>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</si>
  <si>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</si>
  <si>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</si>
  <si>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</si>
  <si>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</si>
  <si>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</si>
  <si>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</si>
  <si>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</si>
  <si>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</si>
  <si>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</si>
  <si>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</si>
  <si>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</si>
  <si>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</si>
  <si>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</si>
  <si>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</si>
  <si>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</si>
  <si>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</si>
  <si>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</si>
  <si>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</si>
  <si>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</si>
  <si>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</si>
  <si>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</si>
  <si>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</si>
  <si>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</si>
  <si>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</si>
  <si>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</si>
  <si>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</si>
  <si>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</si>
  <si>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</si>
  <si>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</si>
  <si>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</si>
  <si>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</si>
  <si>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</si>
  <si>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</si>
  <si>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</si>
  <si>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</si>
  <si>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</si>
  <si>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</si>
  <si>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</si>
  <si>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</si>
  <si>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</si>
  <si>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</si>
  <si>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</si>
  <si>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</si>
  <si>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</si>
  <si>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</si>
  <si>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</si>
  <si>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</si>
  <si>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</si>
  <si>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</si>
  <si>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</si>
  <si>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</si>
  <si>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</si>
  <si>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</si>
  <si>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</si>
  <si>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</si>
  <si>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</si>
  <si>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</si>
  <si>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</si>
  <si>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</si>
  <si>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</si>
  <si>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</si>
  <si>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</si>
  <si>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</si>
  <si>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</si>
  <si>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</si>
  <si>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</si>
  <si>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</si>
  <si>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</si>
  <si>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</si>
  <si>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</si>
  <si>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</si>
  <si>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</si>
  <si>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</si>
  <si>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</si>
  <si>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</si>
  <si>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Model</t>
  </si>
  <si>
    <t>Sources</t>
  </si>
  <si>
    <t>Color Code:</t>
  </si>
  <si>
    <t>Data</t>
  </si>
  <si>
    <t>Formula</t>
  </si>
  <si>
    <t>User Input</t>
  </si>
  <si>
    <t>Column Number</t>
  </si>
  <si>
    <t>Sources + Detail</t>
  </si>
  <si>
    <t>PSD Districts</t>
  </si>
  <si>
    <t>Alliance Districts</t>
  </si>
  <si>
    <t>Alliance Non-Reform</t>
  </si>
  <si>
    <t>Reform Districts</t>
  </si>
  <si>
    <t>Town Code</t>
  </si>
  <si>
    <t>Town Name</t>
  </si>
  <si>
    <t>ECS ENGL per Capita (EEPC)</t>
  </si>
  <si>
    <t>Need Students</t>
  </si>
  <si>
    <t>Wealth Adjustment Factor</t>
  </si>
  <si>
    <t>Regional District Bonus</t>
  </si>
  <si>
    <t>Projection</t>
  </si>
  <si>
    <t>Total Cost</t>
  </si>
  <si>
    <t>Town Wealth Decile</t>
  </si>
  <si>
    <t>'Data' Col 13 * Col 2</t>
  </si>
  <si>
    <t>Item</t>
  </si>
  <si>
    <t>Detail</t>
  </si>
  <si>
    <t>Threshold Factor</t>
  </si>
  <si>
    <t>Non-Alliance District Minimum Aid Ratio</t>
  </si>
  <si>
    <t>Alliance District Minimum Aid Ratio</t>
  </si>
  <si>
    <t>Foundation</t>
  </si>
  <si>
    <t>Directions</t>
  </si>
  <si>
    <t>Col. 10 / Col. 11</t>
  </si>
  <si>
    <t>Modeled Formula</t>
  </si>
  <si>
    <t>Base ECS Formula Aid</t>
  </si>
  <si>
    <t>Concentrated Poverty Threshold</t>
  </si>
  <si>
    <t>Concentrated Poverty Weight</t>
  </si>
  <si>
    <t>FRPL Poverty Percentage</t>
  </si>
  <si>
    <t>Concentrated Poverty Students</t>
  </si>
  <si>
    <t>FY17 PIC Score</t>
  </si>
  <si>
    <t>PIC Rank Group for BAR</t>
  </si>
  <si>
    <t>Group</t>
  </si>
  <si>
    <t>1-5</t>
  </si>
  <si>
    <t>6-10</t>
  </si>
  <si>
    <t>11-15</t>
  </si>
  <si>
    <t>N/A</t>
  </si>
  <si>
    <t>&gt;300</t>
  </si>
  <si>
    <t>&lt;300</t>
  </si>
  <si>
    <t>(Col. 5 / Col. 6) - 1</t>
  </si>
  <si>
    <t>2016-17 ECS Entitlement with rescissions</t>
  </si>
  <si>
    <t>Increase Sum %</t>
  </si>
  <si>
    <t>Decrease Sum %</t>
  </si>
  <si>
    <t>Fiscal Year</t>
  </si>
  <si>
    <t>J</t>
  </si>
  <si>
    <t>K</t>
  </si>
  <si>
    <t>L</t>
  </si>
  <si>
    <t>M</t>
  </si>
  <si>
    <t>Modeled Formula Fully Funded</t>
  </si>
  <si>
    <t>Estimate</t>
  </si>
  <si>
    <t>Modeled Formula with Phase-in Estimates</t>
  </si>
  <si>
    <t>Fiscal Year 2020</t>
  </si>
  <si>
    <t>Fiscal Year 2021</t>
  </si>
  <si>
    <t>Fiscal Year 2022</t>
  </si>
  <si>
    <t>Fiscal Year 2023</t>
  </si>
  <si>
    <t>Fiscal Year 2024</t>
  </si>
  <si>
    <t>Fiscal Year 2025</t>
  </si>
  <si>
    <t>Fiscal Year 2026</t>
  </si>
  <si>
    <t>Fiscal Year 2027</t>
  </si>
  <si>
    <t>Fiscal Year 2028</t>
  </si>
  <si>
    <t>Yes</t>
  </si>
  <si>
    <t>Alliance District Hold Harmless</t>
  </si>
  <si>
    <t>If Col. 9.2 &gt; Item E, then: (Col. 9.2 - Item E) * Item F, else 0</t>
  </si>
  <si>
    <t>Col. 9 * Need Weighting Factor (Item J)</t>
  </si>
  <si>
    <t>Col. 8 + Col. 17 + Col. 9.3 + (Col. 9.1 * Item G)</t>
  </si>
  <si>
    <t>Col. 19 / EEPC Threshold (Item N)</t>
  </si>
  <si>
    <t>Col. 12 / MHI Threshold (Item O)</t>
  </si>
  <si>
    <t>(1 - ((Col. 20 * ENGL per capita weight (Item L))+ Col. 21 * MHI Weight (Item I)))</t>
  </si>
  <si>
    <t>Base Aid Ratio Bonus</t>
  </si>
  <si>
    <t>PIC Rank Range</t>
  </si>
  <si>
    <t>PIC Index Value Range</t>
  </si>
  <si>
    <t>FY19 Grants</t>
  </si>
  <si>
    <t># of Puerto Rican Displacements</t>
  </si>
  <si>
    <t>PR Bonus</t>
  </si>
  <si>
    <t>Table 2: Public Investment Communities (PIC) Index Group Base Aid Ratio Bonus</t>
  </si>
  <si>
    <t>Table 3: Phase-in Schedule</t>
  </si>
  <si>
    <t>Conn. Acts 18-81.</t>
  </si>
  <si>
    <t>Education Cost Sharing (ECS) Formula Model</t>
  </si>
  <si>
    <t>Last Revision Made</t>
  </si>
  <si>
    <t>English Learner Weight</t>
  </si>
  <si>
    <t>Income (Median Household Income) Weight</t>
  </si>
  <si>
    <t>Low-income Weight</t>
  </si>
  <si>
    <t>Property (Equalized Net Grand List per Capita) Weight</t>
  </si>
  <si>
    <t>Median Household Income Threshold</t>
  </si>
  <si>
    <t>Equalized Net Grand List per Capita Threshold</t>
  </si>
  <si>
    <t>Regional District
per Pupil Bonus</t>
  </si>
  <si>
    <t>Fully Phased-in
Modeled Formula</t>
  </si>
  <si>
    <t>FY 2019 Appropriation with Dsiplaced Student Supplement</t>
  </si>
  <si>
    <t>Modeled Formula Increase Phase-in</t>
  </si>
  <si>
    <t>Modeled Formula Decrease Phase-in</t>
  </si>
  <si>
    <t>Revised Biennial Budget Increase Phase-in</t>
  </si>
  <si>
    <t>Revised Biennial Budget Decrease Phase-in</t>
  </si>
  <si>
    <t>2) Determine the Phase-in Plan for the ECS Formula</t>
  </si>
  <si>
    <t>Conn. Acts 17-2 (June Special Session).</t>
  </si>
  <si>
    <r>
      <t xml:space="preserve">State of Connecticut, Office of Policy and Management. (2017). </t>
    </r>
    <r>
      <rPr>
        <i/>
        <sz val="10"/>
        <rFont val="Arial"/>
        <family val="2"/>
      </rPr>
      <t>Municipal Fiscal Indicators, Fiscal Years Ended 2012-2016</t>
    </r>
    <r>
      <rPr>
        <sz val="10"/>
        <rFont val="Arial"/>
        <family val="2"/>
      </rPr>
      <t>. Retrieved from http://www.ct.gov/opm/lib/opm/FI_2012-16_Edition_As_of_2-6-18.pdf.</t>
    </r>
  </si>
  <si>
    <r>
      <t xml:space="preserve">Connecticut State Department of Education, Bureau of Grants Management. (2017). </t>
    </r>
    <r>
      <rPr>
        <i/>
        <sz val="10"/>
        <color theme="1"/>
        <rFont val="Arial"/>
        <family val="2"/>
      </rPr>
      <t>Education Cost Sharing (ECS) Entitlements</t>
    </r>
    <r>
      <rPr>
        <sz val="10"/>
        <color theme="1"/>
        <rFont val="Arial"/>
        <family val="2"/>
      </rPr>
      <t>. Retrieved from http://portal.ct.gov/-/media/SDE/Grants-Management/ECSMBR/ECSEntit.pdf?la=en.</t>
    </r>
  </si>
  <si>
    <t>Source #</t>
  </si>
  <si>
    <t>Source Name</t>
  </si>
  <si>
    <t>Fully Funded Grant</t>
  </si>
  <si>
    <t>FRPL Weight</t>
  </si>
  <si>
    <t>FY 2018 Grants w/ holdbacks</t>
  </si>
  <si>
    <t>Col 3 + Col 4 Alliance Districts that would otherwise receive a decrease in state education aid, according to the new ECS formula, are permanently “held harmless” at their fiscal year 2017 ECS grant amounts.</t>
  </si>
  <si>
    <t>Overage/Underage FY 17 for without hold harmless</t>
  </si>
  <si>
    <t>Foundation (Item A) * 'Data' Col 18 * Col 1</t>
  </si>
  <si>
    <t>If Non-Alliance: Greater of Minimum Aid Ratio (Item F) or 'Data' Col. 22, if Alliance: Greater of Minimum Aid Ratio (Item E) or 'Data' Col. 22</t>
  </si>
  <si>
    <t>Table 1: Formula Variables and Inputs for FY 2020 and beyond</t>
  </si>
  <si>
    <t>Conn. Acts 19-117.</t>
  </si>
  <si>
    <t>1)  Determine the ECS Formula for Fiscal Year 2019 and Beyond using the Formula Inputs</t>
  </si>
  <si>
    <t>Change from FY 2019</t>
  </si>
  <si>
    <t>Modeled Formula FY 2020</t>
  </si>
  <si>
    <t>FY 2020 Appropriation</t>
  </si>
  <si>
    <t>Model Order</t>
  </si>
  <si>
    <t>Shell Order</t>
  </si>
  <si>
    <t>Check Order</t>
  </si>
  <si>
    <t>Biennial Budget Fully Funded (Conn. Acts 19-117.)</t>
  </si>
  <si>
    <t>ELL 2018</t>
  </si>
  <si>
    <t>Students sent to Regional</t>
  </si>
  <si>
    <t>Regional Grades</t>
  </si>
  <si>
    <t>Fully Phased-in
FY 2020/21  Budget</t>
  </si>
  <si>
    <t>Difference in Cost ($) between Fully 
Phased-in Modeled Formula and
FY 2020 ECS</t>
  </si>
  <si>
    <t>Enacted FY 2020/21 Budget (Conn. Acts 19-117).</t>
  </si>
  <si>
    <t>Overage/Underage FY 17 w/ Alliance HH</t>
  </si>
  <si>
    <t>Shell</t>
  </si>
  <si>
    <t>Diff</t>
  </si>
  <si>
    <t>Difference in Cost (%) between Fully Phased-in
Modeled Formula and FY 2020 ECS</t>
  </si>
  <si>
    <t>Difference in Cost (%) between Modeled Formula and FY 2020/21 Enacted Budget (Conn. Acts 19-117).</t>
  </si>
  <si>
    <t>Col. 5 - 'Data' Col. 31</t>
  </si>
  <si>
    <t>Difference in Cost ($) between Modeled Formula and FY 2020/21 Enacted Budget (Conn. Acts 19-117).</t>
  </si>
  <si>
    <t>('Data' Col. 14 / 13) * 100</t>
  </si>
  <si>
    <t>Fully phased in ECS formula amounts from Conn. Acts 19-117.</t>
  </si>
  <si>
    <t>(Col. 5 / 'Data' Col. 31) - 1</t>
  </si>
  <si>
    <t>Similar to Col 10</t>
  </si>
  <si>
    <t>Modeled FY 2020 ECS Grants</t>
  </si>
  <si>
    <t>Col. 10 - Col. 19</t>
  </si>
  <si>
    <t>Col. 11 - Col. 20</t>
  </si>
  <si>
    <t>Col. 12 - Col. 21</t>
  </si>
  <si>
    <t>Col. 13 - Col. 22</t>
  </si>
  <si>
    <t>Col. 14 - Col. 23</t>
  </si>
  <si>
    <t>Col. 15 - Col. 24</t>
  </si>
  <si>
    <t>Col. 16 - Col. 25</t>
  </si>
  <si>
    <t>Col. 17 - Col. 26</t>
  </si>
  <si>
    <t>Col. 18 - Col. 27</t>
  </si>
  <si>
    <t>(Col. 10 / Col. 19) - 1</t>
  </si>
  <si>
    <t>(Col. 11 / Col. 20) - 1</t>
  </si>
  <si>
    <t>(Col. 12 / Col. 21) - 1</t>
  </si>
  <si>
    <t>(Col. 13 / Col. 22) - 1</t>
  </si>
  <si>
    <t>(Col. 14 / Col. 23) - 1</t>
  </si>
  <si>
    <t>(Col. 15 / Col. 24) - 1</t>
  </si>
  <si>
    <t>(Col. 16 / Col. 25) - 1</t>
  </si>
  <si>
    <t>(Col. 17 / Col. 26) - 1</t>
  </si>
  <si>
    <t>(Col. 18 / Col. 27) - 1</t>
  </si>
  <si>
    <t>Select Town</t>
  </si>
  <si>
    <t>FY 2020 Model Grants</t>
  </si>
  <si>
    <t>Current Law ECS</t>
  </si>
  <si>
    <t>Formula Outputs</t>
  </si>
  <si>
    <t>ECS Formula - FY 2020</t>
  </si>
  <si>
    <r>
      <t xml:space="preserve">Use the funding formula variables in </t>
    </r>
    <r>
      <rPr>
        <b/>
        <sz val="10"/>
        <color theme="1"/>
        <rFont val="Arial"/>
        <family val="2"/>
      </rPr>
      <t>orange</t>
    </r>
    <r>
      <rPr>
        <sz val="10"/>
        <color theme="1"/>
        <rFont val="Arial"/>
        <family val="2"/>
      </rPr>
      <t xml:space="preserve"> (Tables 1, 2, and 3) to create a funding formula (referred to as the "Modeled Formula") for FY 2020. The current law values for FY 2020 ECS are shown in </t>
    </r>
    <r>
      <rPr>
        <b/>
        <sz val="10"/>
        <color theme="1"/>
        <rFont val="Arial"/>
        <family val="2"/>
      </rPr>
      <t>green</t>
    </r>
    <r>
      <rPr>
        <sz val="10"/>
        <color theme="1"/>
        <rFont val="Arial"/>
        <family val="2"/>
      </rPr>
      <t xml:space="preserve">. The results of changes made to the "Formula Inputs" are highlighted </t>
    </r>
    <r>
      <rPr>
        <b/>
        <sz val="10"/>
        <color theme="1"/>
        <rFont val="Arial"/>
        <family val="2"/>
      </rPr>
      <t>yellow</t>
    </r>
    <r>
      <rPr>
        <sz val="10"/>
        <color theme="1"/>
        <rFont val="Arial"/>
        <family val="2"/>
      </rPr>
      <t xml:space="preserve"> in the "Formula Outputs" section.</t>
    </r>
  </si>
  <si>
    <t>Table 6: Formula Outputs</t>
  </si>
  <si>
    <t>4) View Modeled and Estimated Formula Outputs</t>
  </si>
  <si>
    <t>Modeled Town ECS ($Thousands)</t>
  </si>
  <si>
    <t>Table 4 contains the estimated ECS totals for the duration of the Phase-In. Table 5 shows the ECS totals for the duration of the Phase-In for a selected town. Table 4 contains the aggregate outputs of the Modeled Formula. Column 7 compares the fully-funded modeled formula to the FY 2020 ECS appropriation, while Column 9 compares the modeled phased-in formula to the fully-funded formula contained in Connecticut's enacted budget for FY 2020. For additional analysis and explanation on the funding system passed in Conn. Acts 17-2 (Junes Special Session) and Conn. Acts 18-81, please visit http://ctschoolfinance.org/formula-analyses.</t>
  </si>
  <si>
    <t>Step 1: Select Formula Inputs</t>
  </si>
  <si>
    <t>Step 2: View Formula Outputs and Modify Inputs</t>
  </si>
  <si>
    <t>Step 2: View Aggregate Formula Outputs</t>
  </si>
  <si>
    <t>Table 4: Formula Output Totals</t>
  </si>
  <si>
    <t>FY 19 + Displaced</t>
  </si>
  <si>
    <r>
      <rPr>
        <b/>
        <sz val="10"/>
        <color theme="1"/>
        <rFont val="Arial"/>
        <family val="2"/>
      </rPr>
      <t>Outputs:</t>
    </r>
    <r>
      <rPr>
        <sz val="10"/>
        <color theme="1"/>
        <rFont val="Arial"/>
        <family val="2"/>
      </rPr>
      <t xml:space="preserve"> The "Outputs" section details the individual outputs of the ECS formula town by town. Changes made to the inputs in the "Inputs" section are reflected here and compared to the current law values. </t>
    </r>
  </si>
  <si>
    <t>Step 3: Detailed Formula Outputs</t>
  </si>
  <si>
    <t>Model Contents</t>
  </si>
  <si>
    <t xml:space="preserve">Property Weight
(Equalized Net Grand List per Capita) </t>
  </si>
  <si>
    <t xml:space="preserve">Income Weight (Median Household Income) </t>
  </si>
  <si>
    <r>
      <rPr>
        <b/>
        <sz val="10"/>
        <color theme="1"/>
        <rFont val="Arial"/>
        <family val="2"/>
      </rPr>
      <t>Inputs:</t>
    </r>
    <r>
      <rPr>
        <sz val="10"/>
        <color theme="1"/>
        <rFont val="Arial"/>
        <family val="2"/>
      </rPr>
      <t xml:space="preserve"> The "Inputs" section of this model shows the current law weights and varirables for the ECS formula and allows the user to change these weights and variables. This section also shows the initial outputs of the formula, which include tables and graphs of the formula's aggregate cost, and estimated grants going to a town of the user's choice.</t>
    </r>
  </si>
  <si>
    <t>Table 4 contains the aggregate outputs of the Modeled Formula. Table 5 contains the estimated ECS totals for the duration of the phase-in. Table 6 shows the ECS totals for the duration of the phase-in for a selected town. Detailed formula outputs can be found on the "Outputs" tab.</t>
  </si>
  <si>
    <t>Modeled Formula
Fully Funded</t>
  </si>
  <si>
    <t>Modeled Aggregate
ECS ($M)</t>
  </si>
  <si>
    <t>Table 6: ECS Phase-in for Selected Town</t>
  </si>
  <si>
    <r>
      <t xml:space="preserve">The results of the selected inputs from the "Inputs" page can be viewed in Table 7 below. The current law ECS figures are shown in </t>
    </r>
    <r>
      <rPr>
        <b/>
        <sz val="11"/>
        <color theme="1"/>
        <rFont val="Arial"/>
        <family val="2"/>
      </rPr>
      <t>green</t>
    </r>
    <r>
      <rPr>
        <sz val="11"/>
        <color theme="1"/>
        <rFont val="Arial"/>
        <family val="2"/>
      </rPr>
      <t xml:space="preserve">. The Modeled Formula outputs can be viewed in </t>
    </r>
    <r>
      <rPr>
        <b/>
        <sz val="11"/>
        <color theme="1"/>
        <rFont val="Arial"/>
        <family val="2"/>
      </rPr>
      <t>yellow</t>
    </r>
    <r>
      <rPr>
        <sz val="11"/>
        <color theme="1"/>
        <rFont val="Arial"/>
        <family val="2"/>
      </rPr>
      <t>.</t>
    </r>
  </si>
  <si>
    <t>Table 7: Detailed ECS Outputs and Phase-in</t>
  </si>
  <si>
    <t>Regional District
Per-pupil Bonus</t>
  </si>
  <si>
    <t>Regional
District Bonus</t>
  </si>
  <si>
    <t>A.</t>
  </si>
  <si>
    <t>Need Weighting Factor for Col 3:</t>
  </si>
  <si>
    <t>B.</t>
  </si>
  <si>
    <t>ENGL per Capita and MHI Threshold Factor for Col 8 &amp; Col 10:</t>
  </si>
  <si>
    <t>C.</t>
  </si>
  <si>
    <t>ENGL per Capita Weight for Col 11:</t>
  </si>
  <si>
    <t>D.</t>
  </si>
  <si>
    <t>MHI Weight for Col 11:</t>
  </si>
  <si>
    <t>E.</t>
  </si>
  <si>
    <t>Non-Alliance District Minimum Aid Ratio for use in Column 12:</t>
  </si>
  <si>
    <t>F.</t>
  </si>
  <si>
    <t>Alliance District Minimum Aid Ratio for use in Column 12:</t>
  </si>
  <si>
    <t>G.</t>
  </si>
  <si>
    <t>Foundation for Column 17:</t>
  </si>
  <si>
    <t>H.</t>
  </si>
  <si>
    <t>Adjustment % for Districts who are Fully Funded:</t>
  </si>
  <si>
    <t>I.</t>
  </si>
  <si>
    <t>Adjustment % for Districts who are not Fully Funded:</t>
  </si>
  <si>
    <t xml:space="preserve">K.  </t>
  </si>
  <si>
    <t>2014-15 Non-Alliance District Phase-In Rate for Col 24:</t>
  </si>
  <si>
    <t xml:space="preserve">L.  </t>
  </si>
  <si>
    <t>2014-15 Alliance District Phase-In Rate for Col 24:</t>
  </si>
  <si>
    <t xml:space="preserve">M.  </t>
  </si>
  <si>
    <t>2014-15 Reform District Phase-In Rate for Col 24:</t>
  </si>
  <si>
    <t xml:space="preserve">Totals  </t>
  </si>
  <si>
    <t>(1)</t>
  </si>
  <si>
    <t>(2)</t>
  </si>
  <si>
    <t>(3)</t>
  </si>
  <si>
    <t>(4)</t>
  </si>
  <si>
    <t>(5)</t>
  </si>
  <si>
    <t>(6)</t>
  </si>
  <si>
    <t>(7)</t>
  </si>
  <si>
    <t>(8)</t>
  </si>
  <si>
    <t>(9)</t>
  </si>
  <si>
    <t>(10)</t>
  </si>
  <si>
    <t>(11)</t>
  </si>
  <si>
    <t>(12)</t>
  </si>
  <si>
    <t>(13)</t>
  </si>
  <si>
    <t>(14)</t>
  </si>
  <si>
    <t>(15)</t>
  </si>
  <si>
    <t>(16)</t>
  </si>
  <si>
    <t>(17)</t>
  </si>
  <si>
    <t>(18)</t>
  </si>
  <si>
    <t>(19)</t>
  </si>
  <si>
    <t>Median:</t>
  </si>
  <si>
    <t>(EEPC</t>
  </si>
  <si>
    <t>(MHI</t>
  </si>
  <si>
    <t>Foundation:</t>
  </si>
  <si>
    <t>Preliminary</t>
  </si>
  <si>
    <t>Threshold:</t>
  </si>
  <si>
    <t>Wealth</t>
  </si>
  <si>
    <t>(Non-Alliance Districts</t>
  </si>
  <si>
    <t>Regional</t>
  </si>
  <si>
    <t>(Item E)</t>
  </si>
  <si>
    <t>2019-2020</t>
  </si>
  <si>
    <t>Free and</t>
  </si>
  <si>
    <t>Average</t>
  </si>
  <si>
    <t>Median</t>
  </si>
  <si>
    <t>Adjustment</t>
  </si>
  <si>
    <t>Greater of</t>
  </si>
  <si>
    <t>Additional PIC</t>
  </si>
  <si>
    <t>Students</t>
  </si>
  <si>
    <t>Number of</t>
  </si>
  <si>
    <t>District</t>
  </si>
  <si>
    <t xml:space="preserve">Grant </t>
  </si>
  <si>
    <t>ECS</t>
  </si>
  <si>
    <t>2020-2021</t>
  </si>
  <si>
    <t>Reduced</t>
  </si>
  <si>
    <t>If FRPL % above 75%,</t>
  </si>
  <si>
    <t>Free&amp;Reduced</t>
  </si>
  <si>
    <t>Need</t>
  </si>
  <si>
    <t>Equalized Net</t>
  </si>
  <si>
    <t>ECS ENGL</t>
  </si>
  <si>
    <t>Median x Item B)</t>
  </si>
  <si>
    <t>Household</t>
  </si>
  <si>
    <t>Factor</t>
  </si>
  <si>
    <t>Item E or Col 11),</t>
  </si>
  <si>
    <t>Points</t>
  </si>
  <si>
    <t>Including Additional</t>
  </si>
  <si>
    <t>Sent To</t>
  </si>
  <si>
    <t>per Pupil</t>
  </si>
  <si>
    <t>Base Formula</t>
  </si>
  <si>
    <t>Fully Funded</t>
  </si>
  <si>
    <t>Full Funding with</t>
  </si>
  <si>
    <t>Entitlement</t>
  </si>
  <si>
    <t>Fixed ECS</t>
  </si>
  <si>
    <t>Revised</t>
  </si>
  <si>
    <t>Alliance</t>
  </si>
  <si>
    <t>17 Town</t>
  </si>
  <si>
    <t>Resident</t>
  </si>
  <si>
    <t>Eligibility</t>
  </si>
  <si>
    <t>% above 75%</t>
  </si>
  <si>
    <t>Concentrated</t>
  </si>
  <si>
    <t>Weight</t>
  </si>
  <si>
    <t>Grand List</t>
  </si>
  <si>
    <t>Total</t>
  </si>
  <si>
    <t>per Capita</t>
  </si>
  <si>
    <t>Income</t>
  </si>
  <si>
    <t>(1 - ((Col 8 x</t>
  </si>
  <si>
    <t>(Alliance Districts:</t>
  </si>
  <si>
    <t>PIC Points</t>
  </si>
  <si>
    <t>Bonus</t>
  </si>
  <si>
    <t>Aid</t>
  </si>
  <si>
    <t>Grant</t>
  </si>
  <si>
    <t>HH Alliance</t>
  </si>
  <si>
    <t>2016-17</t>
  </si>
  <si>
    <t>(Absolute</t>
  </si>
  <si>
    <t>Greater</t>
  </si>
  <si>
    <t>Using Revised</t>
  </si>
  <si>
    <t>PSD</t>
  </si>
  <si>
    <t>Non-</t>
  </si>
  <si>
    <t>Reform</t>
  </si>
  <si>
    <t>PIC</t>
  </si>
  <si>
    <t>Town</t>
  </si>
  <si>
    <t>October</t>
  </si>
  <si>
    <t>Poverty</t>
  </si>
  <si>
    <t>ELL</t>
  </si>
  <si>
    <t>(Col 2 x</t>
  </si>
  <si>
    <t>(Col 1 +</t>
  </si>
  <si>
    <t>(ECS ENGL)</t>
  </si>
  <si>
    <t>Population</t>
  </si>
  <si>
    <t>(EEPC)</t>
  </si>
  <si>
    <t>(Col 7 /</t>
  </si>
  <si>
    <t>(MHI)</t>
  </si>
  <si>
    <t>(Col 9 /</t>
  </si>
  <si>
    <t>Item C) +</t>
  </si>
  <si>
    <t>Grades</t>
  </si>
  <si>
    <t>((Col 14 /</t>
  </si>
  <si>
    <t>(Col 13 x</t>
  </si>
  <si>
    <t>(Col 4 x Col 12</t>
  </si>
  <si>
    <t>(Col 16 +</t>
  </si>
  <si>
    <t>Value of Col 19</t>
  </si>
  <si>
    <t>Than Base</t>
  </si>
  <si>
    <t xml:space="preserve">FY18 PIC </t>
  </si>
  <si>
    <t>Phase-In</t>
  </si>
  <si>
    <t>Without</t>
  </si>
  <si>
    <t>SSFP Projection</t>
  </si>
  <si>
    <t>Districts</t>
  </si>
  <si>
    <t>Decile</t>
  </si>
  <si>
    <t>FY 20</t>
  </si>
  <si>
    <t>Code</t>
  </si>
  <si>
    <t>Name</t>
  </si>
  <si>
    <t>(10/2019)</t>
  </si>
  <si>
    <t>at 75%</t>
  </si>
  <si>
    <t>Item A)</t>
  </si>
  <si>
    <t>Col 3)</t>
  </si>
  <si>
    <t>(2015/16/17)</t>
  </si>
  <si>
    <t>(Col 5 / Col 6)</t>
  </si>
  <si>
    <t>Threshold)</t>
  </si>
  <si>
    <t>Col 10 x Item D))</t>
  </si>
  <si>
    <t>Item F or Col 11)</t>
  </si>
  <si>
    <t>13) x 100)</t>
  </si>
  <si>
    <t>Col 15)</t>
  </si>
  <si>
    <t>x Found)</t>
  </si>
  <si>
    <t>Col 17)</t>
  </si>
  <si>
    <t>ACTUAL</t>
  </si>
  <si>
    <t>- Col 18)</t>
  </si>
  <si>
    <t>(Yes/No)</t>
  </si>
  <si>
    <t>Rankings</t>
  </si>
  <si>
    <t>Amount</t>
  </si>
  <si>
    <t>Alliance HH</t>
  </si>
  <si>
    <t>FY 2022</t>
  </si>
  <si>
    <t>FY 2023</t>
  </si>
  <si>
    <t>FY 2024</t>
  </si>
  <si>
    <t>FY 2025</t>
  </si>
  <si>
    <t>FY 2026</t>
  </si>
  <si>
    <t>FY 2027</t>
  </si>
  <si>
    <t>FY 2028</t>
  </si>
  <si>
    <t>(# students above 75%)</t>
  </si>
  <si>
    <t>NO HH Alliance</t>
  </si>
  <si>
    <t>With Alliance HH</t>
  </si>
  <si>
    <t>No Alliance HH</t>
  </si>
  <si>
    <t>Number of Regional District Grades (10/2019)</t>
  </si>
  <si>
    <t>ECS Formula - FY 2021</t>
  </si>
  <si>
    <t>Formula BAR Bonus</t>
  </si>
  <si>
    <t>Table 2: Public Investment Communities (PIC) Index Group Base Aid Ratio (BAR) Bonus</t>
  </si>
  <si>
    <t>16-19</t>
  </si>
  <si>
    <t>20+</t>
  </si>
  <si>
    <t>FY 2022 no Alliance HH</t>
  </si>
  <si>
    <t>FY 2023 no Alliance HH</t>
  </si>
  <si>
    <t>FY 2024 no Alliance HH</t>
  </si>
  <si>
    <t>FY 2025 no Alliance HH</t>
  </si>
  <si>
    <t>FY 2026 no Alliance HH</t>
  </si>
  <si>
    <t>FY 2027 no Alliance HH</t>
  </si>
  <si>
    <t>FY 2028 no Alliance HH</t>
  </si>
  <si>
    <t>Fully Funded Greater than Base</t>
  </si>
  <si>
    <t>Fully Funded Grant Without HH</t>
  </si>
  <si>
    <t>Difference in Cost ($) between Fully 
Phased-in Modeled Formula and
FY 2021 ECS</t>
  </si>
  <si>
    <t>Difference in Cost (%) between Fully Phased-in
Modeled Formula and FY 2021 ECS</t>
  </si>
  <si>
    <t>FY 2023 Alliance HH</t>
  </si>
  <si>
    <t>FY 2024 Alliance HH</t>
  </si>
  <si>
    <t>FY 2025 Alliance HH</t>
  </si>
  <si>
    <t>FY 2026 Alliance HH</t>
  </si>
  <si>
    <t>FY 2027 Alliance HH</t>
  </si>
  <si>
    <t>FY 2028 Alliance HH</t>
  </si>
  <si>
    <t>Phase-In Amount FY 2022</t>
  </si>
  <si>
    <t>Phase-In Amount FY 2023</t>
  </si>
  <si>
    <t>Phase-In Amount FY 2024</t>
  </si>
  <si>
    <t>Phase-In Amount FY 2025</t>
  </si>
  <si>
    <t>Phase-In Amount FY 2026</t>
  </si>
  <si>
    <t>Phase-In Amount FY 2027</t>
  </si>
  <si>
    <t>Phase-In Amount FY 2028</t>
  </si>
  <si>
    <t>Graph of ECS Phase-in for Selected Town</t>
  </si>
  <si>
    <t>FF regular Approps with HH Alliance:</t>
  </si>
  <si>
    <t>Regional District</t>
  </si>
  <si>
    <t>TOTAL</t>
  </si>
  <si>
    <t>Reg. Bonus for</t>
  </si>
  <si>
    <t>Bonus from Acads.</t>
  </si>
  <si>
    <t xml:space="preserve">Regional </t>
  </si>
  <si>
    <t>Difference (increase from Approps):</t>
  </si>
  <si>
    <t>Number of Endowed</t>
  </si>
  <si>
    <t>Endowed Academy</t>
  </si>
  <si>
    <t>(AJ*AL)</t>
  </si>
  <si>
    <t>District Bonus</t>
  </si>
  <si>
    <t>Sent to</t>
  </si>
  <si>
    <t>Academy</t>
  </si>
  <si>
    <t>Sent Students</t>
  </si>
  <si>
    <t>Incl. Academies</t>
  </si>
  <si>
    <t xml:space="preserve">Endowed </t>
  </si>
  <si>
    <t>Per Pupil</t>
  </si>
  <si>
    <t>(10/2020)</t>
  </si>
  <si>
    <t>(AK/13)*100</t>
  </si>
  <si>
    <t>AK*100</t>
  </si>
  <si>
    <t>Number of Towns Declining</t>
  </si>
  <si>
    <t>Total Cuts to Declining Towns</t>
  </si>
  <si>
    <t>SSFP Projections</t>
  </si>
  <si>
    <t>Phase-In Complete</t>
  </si>
  <si>
    <t>Phase-Out Complete</t>
  </si>
  <si>
    <t>Number of Towns Gaining</t>
  </si>
  <si>
    <t>Total Increases to Gaining Towns</t>
  </si>
  <si>
    <t>No Alliance Hold Harmless</t>
  </si>
  <si>
    <t>With Alliance Hold Harmless</t>
  </si>
  <si>
    <t>% FRPL</t>
  </si>
  <si>
    <t>Additional Need</t>
  </si>
  <si>
    <t>Additional Base Aid</t>
  </si>
  <si>
    <t>Final Base Aid Ratio</t>
  </si>
  <si>
    <t>Students Due to</t>
  </si>
  <si>
    <t xml:space="preserve">Ratio Pts. Due to </t>
  </si>
  <si>
    <t>FY 23</t>
  </si>
  <si>
    <t>Number of Alliance Districts HH</t>
  </si>
  <si>
    <t>If FRPL % above 60%,</t>
  </si>
  <si>
    <t>Concentr. Pov.</t>
  </si>
  <si>
    <t xml:space="preserve">PIC </t>
  </si>
  <si>
    <t xml:space="preserve">Fully Funded </t>
  </si>
  <si>
    <t>Method not applic</t>
  </si>
  <si>
    <t>% above 60%</t>
  </si>
  <si>
    <t>FY 22</t>
  </si>
  <si>
    <t>Change</t>
  </si>
  <si>
    <t>Sum check</t>
  </si>
  <si>
    <t>Net</t>
  </si>
  <si>
    <t>((Col 14</t>
  </si>
  <si>
    <t>(Col 17 +</t>
  </si>
  <si>
    <t>With HH Alliance</t>
  </si>
  <si>
    <t>from prior yr</t>
  </si>
  <si>
    <t>FY 21</t>
  </si>
  <si>
    <t>at 60%</t>
  </si>
  <si>
    <t>(2016/17/18)</t>
  </si>
  <si>
    <t xml:space="preserve"> x 100)</t>
  </si>
  <si>
    <t>AN)</t>
  </si>
  <si>
    <t>FY 24</t>
  </si>
  <si>
    <t>FY 25</t>
  </si>
  <si>
    <t>FY26</t>
  </si>
  <si>
    <t>FY 27</t>
  </si>
  <si>
    <t>FY 28</t>
  </si>
  <si>
    <t>FY 29</t>
  </si>
  <si>
    <t>FY 30</t>
  </si>
  <si>
    <t>(# students above 60%)</t>
  </si>
  <si>
    <t>No HH Alliance</t>
  </si>
  <si>
    <t>2021-2022</t>
  </si>
  <si>
    <t>FY 22 Change</t>
  </si>
  <si>
    <t>from FY 21</t>
  </si>
  <si>
    <t>Modeled Formula
FY 2022</t>
  </si>
  <si>
    <t>FY 2021 Appropriation</t>
  </si>
  <si>
    <t>FY 2022
Appropriation</t>
  </si>
  <si>
    <t>Preliminary Resident Students (10/2020)</t>
  </si>
  <si>
    <t>Preliminary Free and Reduced Eligibility October 2020</t>
  </si>
  <si>
    <t>ELL 2020</t>
  </si>
  <si>
    <t>Average Equalized Net Grand List (ECS ENGL) (2016/17/18)</t>
  </si>
  <si>
    <t>Total Population 2018</t>
  </si>
  <si>
    <t>Median Household Income (MHI) 2018</t>
  </si>
  <si>
    <t>Students Sent To Regional District (10/2020)</t>
  </si>
  <si>
    <t>Students Sent To Endowed Academy 2020</t>
  </si>
  <si>
    <t>Number of Endowed Academy Grades 2020</t>
  </si>
  <si>
    <t>FY21 PIC Rank</t>
  </si>
  <si>
    <t>FY 2022 Grants</t>
  </si>
  <si>
    <t>Endowed Academy Per-pupil Bonus</t>
  </si>
  <si>
    <t>Endowed Academy Bonus</t>
  </si>
  <si>
    <t>Fully Phased-in
Enacted Budget for FYs 2022 and 2023</t>
  </si>
  <si>
    <t>FY 2021 Grants</t>
  </si>
  <si>
    <t>Difference in Cost (%) between Modeled Formula and Enacted Budget for
FYs 2022 and 2023
(Conn. Acts 19-117).</t>
  </si>
  <si>
    <t>Totals</t>
  </si>
  <si>
    <t>NA</t>
  </si>
  <si>
    <t>Fiscal Year 2029</t>
  </si>
  <si>
    <t>Fiscal Year 2030</t>
  </si>
  <si>
    <t>Phase-In Amount FY 2029</t>
  </si>
  <si>
    <t>FY 2029 no Alliance HH</t>
  </si>
  <si>
    <t>FY 2029 Alliance HH</t>
  </si>
  <si>
    <t>Phase-In Amount FY 2030</t>
  </si>
  <si>
    <t>FY 2030 no Alliance HH</t>
  </si>
  <si>
    <t>FY 2030 Alliance HH</t>
  </si>
  <si>
    <t>Change from FY 2021</t>
  </si>
  <si>
    <t>Conn. Special Acts 21-15.</t>
  </si>
  <si>
    <t>Conn. Acts 21-2 (June Special Session).</t>
  </si>
  <si>
    <t>Biennial Budget
Fully Funded
Conn. Acts 21-2 (June Special Session)</t>
  </si>
  <si>
    <t>Table 1: Formula Variables and Inputs for FY 2022 and beyond</t>
  </si>
  <si>
    <t>100 * 'Data' Col 16</t>
  </si>
  <si>
    <t>Col 4 * 'Data' Col 15</t>
  </si>
  <si>
    <t>Foundation (Item A) * 'Data' Col 19 * Col 1</t>
  </si>
  <si>
    <t>Col. 7 - 'Data' Col. 37</t>
  </si>
  <si>
    <t>(Col. 7 / 'Data' Col. 37) - 1</t>
  </si>
  <si>
    <t>(Col. 7 / Col. 8) - 1</t>
  </si>
  <si>
    <t>Modeled
FY 2022
ECS Grants</t>
  </si>
  <si>
    <t>Similar to Col 12</t>
  </si>
  <si>
    <t>Col. 19 - Col. 28</t>
  </si>
  <si>
    <t>Col. 20 - Col. 29</t>
  </si>
  <si>
    <t>(Col. 19 / Col. 28) - 1</t>
  </si>
  <si>
    <t>(Col. 20 / Col. 29) - 1</t>
  </si>
  <si>
    <r>
      <rPr>
        <b/>
        <sz val="10"/>
        <color theme="1"/>
        <rFont val="Arial"/>
        <family val="2"/>
      </rPr>
      <t>Overview:</t>
    </r>
    <r>
      <rPr>
        <sz val="10"/>
        <color theme="1"/>
        <rFont val="Arial"/>
        <family val="2"/>
      </rPr>
      <t xml:space="preserve"> This model allows the user to alter the input variables in Connecticut's Education Cost Sharing (ECS) formula that the State of Connecticut uses to distribute approximately $2 billion in state education funding to local and regional public school districts. The model is divided into the "Inputs" and "Outputs" sections, which show the formula's components and visualize its results. </t>
    </r>
  </si>
  <si>
    <t>Conn. Gen. Statues ch. 172, §§ 10-262f, 10-262h.</t>
  </si>
  <si>
    <r>
      <t xml:space="preserve">State of Connecticut, Office of Policy and Management. (2021). </t>
    </r>
    <r>
      <rPr>
        <i/>
        <sz val="10"/>
        <rFont val="Arial"/>
        <family val="2"/>
      </rPr>
      <t>Municipal Fiscal Indicators, Fiscal Years Ended 2015-2019</t>
    </r>
    <r>
      <rPr>
        <sz val="10"/>
        <rFont val="Arial"/>
        <family val="2"/>
      </rPr>
      <t>. Hartford, CT: Author. Retrieved from https://portal.ct.gov/-/media/OPM/IGP/munfinsr/Municipal-Fiscal-Indicators/FI-2015-19-Final-AsOf-4-30-21.pdf.</t>
    </r>
  </si>
  <si>
    <r>
      <t xml:space="preserve">State of Connecticut, Office of Policy and Management. (2021). </t>
    </r>
    <r>
      <rPr>
        <i/>
        <sz val="10"/>
        <color theme="1"/>
        <rFont val="Arial"/>
        <family val="2"/>
      </rPr>
      <t>FY 2021 Public Investment Community Index</t>
    </r>
    <r>
      <rPr>
        <sz val="10"/>
        <color theme="1"/>
        <rFont val="Arial"/>
        <family val="2"/>
      </rPr>
      <t>. Hartford, CT: Author. Available from https://portal.ct.gov/OPM/IGPP-MAIN/Services/Public-Investment-Community-Index.</t>
    </r>
  </si>
  <si>
    <r>
      <t xml:space="preserve">Use the funding formula variables in </t>
    </r>
    <r>
      <rPr>
        <b/>
        <sz val="11"/>
        <color theme="1"/>
        <rFont val="Arial"/>
        <family val="2"/>
      </rPr>
      <t>orange</t>
    </r>
    <r>
      <rPr>
        <sz val="11"/>
        <color theme="1"/>
        <rFont val="Arial"/>
        <family val="2"/>
      </rPr>
      <t xml:space="preserve"> (Tables 1-3) to create a funding formula (referred to as the "Modeled Formula") for FY 2022. The current law values for the ECS formula for FY 2022 are shown in </t>
    </r>
    <r>
      <rPr>
        <b/>
        <sz val="11"/>
        <color theme="1"/>
        <rFont val="Arial"/>
        <family val="2"/>
      </rPr>
      <t>green</t>
    </r>
    <r>
      <rPr>
        <sz val="11"/>
        <color theme="1"/>
        <rFont val="Arial"/>
        <family val="2"/>
      </rPr>
      <t xml:space="preserve">. The results of changes made to the "Formula Inputs" are highlighted </t>
    </r>
    <r>
      <rPr>
        <b/>
        <sz val="11"/>
        <color theme="1"/>
        <rFont val="Arial"/>
        <family val="2"/>
      </rPr>
      <t>yellow</t>
    </r>
    <r>
      <rPr>
        <sz val="11"/>
        <color theme="1"/>
        <rFont val="Arial"/>
        <family val="2"/>
      </rPr>
      <t xml:space="preserve"> in the "Detailed Formula Outputs" section of the "Outputs" tab.</t>
    </r>
  </si>
  <si>
    <t>1)  Determine the ECS Formula for Fiscal Year 2022 and Beyond Using the Formula Inputs</t>
  </si>
  <si>
    <t>Table 5: Aggregate ECS Phase-in</t>
  </si>
  <si>
    <t>Col 3 + Col 4 
Alliance Districts that would otherwise receive a decrease in state education aid, according to the ECS formula, are permanently “held harmless” at their
ECS grant amount for FY 2017</t>
  </si>
  <si>
    <t xml:space="preserve">Fully phased-in ECS formula amounts from Conn. Acts 21-2 (June Special Session) </t>
  </si>
  <si>
    <t>Enacted Budget for FYs 2022 and 2023 (Conn. Acts 21-2 (June Special Session))</t>
  </si>
  <si>
    <t>Difference in Cost ($) between Modeled Formula and Enacted Budget for FYs 2022 and 2023</t>
  </si>
  <si>
    <t>Difference in Cost (%) between Modeled Formula and Enacted Budget for FYs 2022 and 2023 (Conn. Acts 21-2 (June Special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</si>
</sst>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0%"/>
    <numFmt numFmtId="165" formatCode="_(* #,##0_);_(* \(#,##0\);_(* &quot;-&quot;??_);_(@_)"/>
    <numFmt numFmtId="166" formatCode="_(&quot;$&quot;* #,##0_);_(&quot;$&quot;* \(#,##0\);_(&quot;$&quot;* &quot;-&quot;??_);_(@_)"/>
    <numFmt numFmtId="167" formatCode="&quot;$&quot;#,##0"/>
    <numFmt numFmtId="168" formatCode="_(&quot;$&quot;* #,##0.00_);_(&quot;$&quot;* \(#,##0.00\);_(&quot;$&quot;* &quot;-&quot;_);_(@_)"/>
    <numFmt numFmtId="169" formatCode="0.000000"/>
    <numFmt numFmtId="170" formatCode="0.0%"/>
    <numFmt numFmtId="171" formatCode="0.00000000000"/>
    <numFmt numFmtId="172" formatCode="#,##0.000000_);[Red]\(#,##0.000000\)"/>
    <numFmt numFmtId="173" formatCode="#,##0.000_);\(#,##0.000\)"/>
    <numFmt numFmtId="174" formatCode="#,##0.000000_);\(#,##0.000000\)"/>
    <numFmt numFmtId="175" formatCode="0.0000%"/>
  </numFmts>
  <fonts count="4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sz val="11"/>
      <color indexed="8"/>
      <name val="Arial"/>
      <family val="2"/>
    </font>
    <font>
      <b/>
      <sz val="18"/>
      <color theme="3"/>
      <name val="Calibri Light"/>
      <family val="2"/>
      <scheme val="major"/>
    </font>
    <font>
      <sz val="10"/>
      <name val="Arial"/>
      <family val="2"/>
    </font>
    <font>
      <b/>
      <sz val="12"/>
      <color theme="0"/>
      <name val="Arial"/>
      <family val="2"/>
    </font>
    <font>
      <sz val="11"/>
      <color theme="1"/>
      <name val="Arial"/>
      <family val="2"/>
    </font>
    <font>
      <sz val="11"/>
      <color theme="3"/>
      <name val="Arial"/>
      <family val="2"/>
    </font>
    <font>
      <b/>
      <sz val="11"/>
      <color theme="0"/>
      <name val="Arial"/>
      <family val="2"/>
    </font>
    <font>
      <u/>
      <sz val="11"/>
      <color theme="10"/>
      <name val="Calibri"/>
      <family val="2"/>
      <scheme val="minor"/>
    </font>
    <font>
      <u/>
      <sz val="8"/>
      <color theme="10"/>
      <name val="Arial"/>
      <family val="2"/>
    </font>
    <font>
      <sz val="10"/>
      <color theme="1"/>
      <name val="Arial"/>
      <family val="2"/>
    </font>
    <font>
      <b/>
      <sz val="10"/>
      <name val="Arial"/>
      <family val="2"/>
    </font>
    <font>
      <b/>
      <sz val="10"/>
      <color theme="1"/>
      <name val="Arial"/>
      <family val="2"/>
    </font>
    <font>
      <b/>
      <sz val="11"/>
      <color theme="1"/>
      <name val="Arial"/>
      <family val="2"/>
    </font>
    <font>
      <b/>
      <sz val="10"/>
      <color theme="0"/>
      <name val="Arial"/>
      <family val="2"/>
    </font>
    <font>
      <i/>
      <sz val="10"/>
      <color theme="1"/>
      <name val="Arial"/>
      <family val="2"/>
    </font>
    <font>
      <b/>
      <sz val="12"/>
      <name val="Arial"/>
      <family val="2"/>
    </font>
    <font>
      <u/>
      <sz val="11"/>
      <color theme="11"/>
      <name val="Calibri"/>
      <family val="2"/>
      <scheme val="minor"/>
    </font>
    <font>
      <i/>
      <sz val="10"/>
      <name val="Arial"/>
      <family val="2"/>
    </font>
    <font>
      <b/>
      <sz val="10"/>
      <color indexed="8"/>
      <name val="Arial"/>
      <family val="2"/>
    </font>
    <font>
      <sz val="10"/>
      <color indexed="8"/>
      <name val="Arial"/>
      <family val="2"/>
    </font>
    <font>
      <b/>
      <sz val="14"/>
      <color theme="1"/>
      <name val="Arial"/>
      <family val="2"/>
    </font>
    <font>
      <b/>
      <sz val="11"/>
      <name val="Arial"/>
      <family val="2"/>
    </font>
    <font>
      <b/>
      <sz val="20"/>
      <color theme="1"/>
      <name val="Arial"/>
      <family val="2"/>
    </font>
    <font>
      <b/>
      <sz val="11"/>
      <color indexed="8"/>
      <name val="Arial"/>
      <family val="2"/>
    </font>
    <font>
      <sz val="11"/>
      <color theme="4" tint="-0.249977111117893"/>
      <name val="Arial"/>
      <family val="2"/>
    </font>
    <font>
      <b/>
      <sz val="11"/>
      <color rgb="FFFF0000"/>
      <name val="Arial"/>
      <family val="2"/>
    </font>
    <font>
      <sz val="11"/>
      <color rgb="FF0070C0"/>
      <name val="Arial"/>
      <family val="2"/>
    </font>
    <font>
      <u/>
      <sz val="11"/>
      <color indexed="8"/>
      <name val="Arial"/>
      <family val="2"/>
    </font>
    <font>
      <sz val="9"/>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8" tint="0.59999389629810485"/>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top/>
      <bottom style="dashed">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tted">
        <color auto="1"/>
      </right>
      <top/>
      <bottom/>
      <diagonal/>
    </border>
    <border>
      <left style="dotted">
        <color auto="1"/>
      </left>
      <right/>
      <top/>
      <bottom style="dashed">
        <color auto="1"/>
      </bottom>
      <diagonal/>
    </border>
    <border>
      <left/>
      <right style="thin">
        <color auto="1"/>
      </right>
      <top style="thin">
        <color auto="1"/>
      </top>
      <bottom style="thin">
        <color auto="1"/>
      </bottom>
      <diagonal/>
    </border>
    <border>
      <left/>
      <right style="dashed">
        <color auto="1"/>
      </right>
      <top style="dashed">
        <color auto="1"/>
      </top>
      <bottom/>
      <diagonal/>
    </border>
    <border>
      <left style="dashed">
        <color auto="1"/>
      </left>
      <right/>
      <top style="dashed">
        <color auto="1"/>
      </top>
      <bottom/>
      <diagonal/>
    </border>
    <border>
      <left/>
      <right style="dashed">
        <color auto="1"/>
      </right>
      <top/>
      <bottom/>
      <diagonal/>
    </border>
    <border>
      <left style="dashed">
        <color auto="1"/>
      </left>
      <right/>
      <top/>
      <bottom/>
      <diagonal/>
    </border>
    <border>
      <left/>
      <right style="dashed">
        <color auto="1"/>
      </right>
      <top/>
      <bottom style="dashed">
        <color auto="1"/>
      </bottom>
      <diagonal/>
    </border>
    <border>
      <left style="dashed">
        <color auto="1"/>
      </left>
      <right/>
      <top/>
      <bottom style="dashed">
        <color auto="1"/>
      </bottom>
      <diagonal/>
    </border>
    <border>
      <left/>
      <right/>
      <top style="dotted">
        <color auto="1"/>
      </top>
      <bottom/>
      <diagonal/>
    </border>
    <border>
      <left/>
      <right/>
      <top style="dashed">
        <color auto="1"/>
      </top>
      <bottom/>
      <diagonal/>
    </border>
    <border>
      <left/>
      <right/>
      <top/>
      <bottom style="medium">
        <color indexed="64"/>
      </bottom>
      <diagonal/>
    </border>
    <border>
      <left/>
      <right style="dashed">
        <color auto="1"/>
      </right>
      <top style="dotted">
        <color auto="1"/>
      </top>
      <bottom/>
      <diagonal/>
    </border>
    <border>
      <left/>
      <right style="dotted">
        <color auto="1"/>
      </right>
      <top style="dotted">
        <color auto="1"/>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auto="1"/>
      </left>
      <right/>
      <top style="dotted">
        <color auto="1"/>
      </top>
      <bottom/>
      <diagonal/>
    </border>
    <border>
      <left style="dotted">
        <color auto="1"/>
      </left>
      <right/>
      <top style="dashed">
        <color indexed="64"/>
      </top>
      <bottom/>
      <diagonal/>
    </border>
    <border>
      <left/>
      <right style="dashed">
        <color indexed="64"/>
      </right>
      <top/>
      <bottom style="medium">
        <color indexed="64"/>
      </bottom>
      <diagonal/>
    </border>
    <border>
      <left/>
      <right style="dashed">
        <color indexed="64"/>
      </right>
      <top style="medium">
        <color indexed="64"/>
      </top>
      <bottom/>
      <diagonal/>
    </border>
  </borders>
  <cellStyleXfs count="5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0" fontId="20"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391">
    <xf numFmtId="0" fontId="0" fillId="0" borderId="0" xfId="0"/>
    <xf numFmtId="0" fontId="22" fillId="0" borderId="0" xfId="0" applyFont="1"/>
    <xf numFmtId="0" fontId="27" fillId="0" borderId="0" xfId="0" applyFont="1" applyAlignment="1">
      <alignment vertical="top" wrapText="1"/>
    </xf>
    <xf numFmtId="0" fontId="22" fillId="0" borderId="0" xfId="0" applyFont="1" applyAlignment="1">
      <alignment vertical="top"/>
    </xf>
    <xf numFmtId="0" fontId="24" fillId="34" borderId="0" xfId="7" applyFont="1" applyFill="1" applyAlignment="1">
      <alignment horizontal="center"/>
    </xf>
    <xf numFmtId="0" fontId="23" fillId="0" borderId="1" xfId="4" applyFont="1" applyAlignment="1">
      <alignment horizontal="center"/>
    </xf>
    <xf numFmtId="0" fontId="21" fillId="34" borderId="1" xfId="4" applyFont="1" applyFill="1" applyAlignment="1">
      <alignment horizontal="center"/>
    </xf>
    <xf numFmtId="0" fontId="18" fillId="0" borderId="0" xfId="0" applyNumberFormat="1" applyFont="1" applyFill="1"/>
    <xf numFmtId="0" fontId="18" fillId="0" borderId="0" xfId="0" applyFont="1"/>
    <xf numFmtId="37" fontId="18" fillId="0" borderId="0" xfId="0" applyNumberFormat="1" applyFont="1" applyFill="1"/>
    <xf numFmtId="0" fontId="18" fillId="0" borderId="0" xfId="0" applyNumberFormat="1" applyFont="1" applyFill="1" applyAlignment="1">
      <alignment horizontal="center"/>
    </xf>
    <xf numFmtId="0" fontId="18" fillId="0" borderId="0" xfId="0" applyNumberFormat="1" applyFont="1" applyFill="1" applyAlignment="1">
      <alignment horizontal="left"/>
    </xf>
    <xf numFmtId="0" fontId="20" fillId="0" borderId="0" xfId="0" applyNumberFormat="1" applyFont="1" applyFill="1" applyAlignment="1">
      <alignment horizontal="center"/>
    </xf>
    <xf numFmtId="0" fontId="28" fillId="33" borderId="10" xfId="0" applyNumberFormat="1" applyFont="1" applyFill="1" applyBorder="1" applyAlignment="1">
      <alignment horizontal="center" vertical="center" wrapText="1"/>
    </xf>
    <xf numFmtId="0" fontId="28" fillId="35" borderId="10" xfId="0" applyNumberFormat="1" applyFont="1" applyFill="1" applyBorder="1" applyAlignment="1">
      <alignment horizontal="center" vertical="center" wrapText="1"/>
    </xf>
    <xf numFmtId="0" fontId="28" fillId="37" borderId="10" xfId="0" applyNumberFormat="1" applyFont="1" applyFill="1" applyBorder="1" applyAlignment="1">
      <alignment horizontal="center" vertical="center" wrapText="1"/>
    </xf>
    <xf numFmtId="0" fontId="22" fillId="0" borderId="0" xfId="0" applyFont="1" applyFill="1"/>
    <xf numFmtId="0" fontId="18" fillId="0" borderId="0" xfId="0" applyFont="1" applyFill="1"/>
    <xf numFmtId="0" fontId="20" fillId="0" borderId="0" xfId="0" applyFont="1"/>
    <xf numFmtId="0" fontId="20" fillId="0" borderId="0" xfId="0" applyFont="1" applyAlignment="1">
      <alignment vertical="top" wrapText="1"/>
    </xf>
    <xf numFmtId="10" fontId="20" fillId="0" borderId="0" xfId="0" applyNumberFormat="1" applyFont="1" applyFill="1"/>
    <xf numFmtId="0" fontId="20" fillId="0" borderId="0" xfId="0" applyFont="1" applyBorder="1" applyAlignment="1">
      <alignment vertical="top" wrapText="1"/>
    </xf>
    <xf numFmtId="39" fontId="20" fillId="33" borderId="11" xfId="0" applyNumberFormat="1" applyFont="1" applyFill="1" applyBorder="1" applyAlignment="1">
      <alignment horizontal="center"/>
    </xf>
    <xf numFmtId="39" fontId="20" fillId="33" borderId="15" xfId="0" applyNumberFormat="1" applyFont="1" applyFill="1" applyBorder="1" applyAlignment="1">
      <alignment horizontal="center"/>
    </xf>
    <xf numFmtId="0" fontId="20" fillId="0" borderId="10" xfId="0" applyFont="1" applyBorder="1" applyAlignment="1">
      <alignment horizontal="center" vertical="center" wrapText="1"/>
    </xf>
    <xf numFmtId="0" fontId="20" fillId="0" borderId="0" xfId="0" applyFont="1" applyBorder="1" applyAlignment="1">
      <alignment horizontal="center"/>
    </xf>
    <xf numFmtId="0" fontId="20" fillId="0" borderId="0" xfId="0" applyFont="1" applyBorder="1" applyAlignment="1">
      <alignment horizontal="center" vertical="center" wrapText="1"/>
    </xf>
    <xf numFmtId="0" fontId="28" fillId="0" borderId="10" xfId="0" applyFont="1" applyBorder="1" applyAlignment="1">
      <alignment horizontal="center" vertical="center" wrapText="1"/>
    </xf>
    <xf numFmtId="0" fontId="20" fillId="0" borderId="0" xfId="0" quotePrefix="1" applyFont="1" applyAlignment="1">
      <alignment horizontal="center"/>
    </xf>
    <xf numFmtId="0" fontId="20" fillId="0" borderId="0" xfId="0" applyNumberFormat="1" applyFont="1" applyFill="1" applyAlignment="1">
      <alignment horizontal="left"/>
    </xf>
    <xf numFmtId="40" fontId="20" fillId="0" borderId="0" xfId="0" applyNumberFormat="1" applyFont="1" applyFill="1" applyAlignment="1">
      <alignment horizontal="center"/>
    </xf>
    <xf numFmtId="0" fontId="20" fillId="0" borderId="0" xfId="0" applyFont="1" applyAlignment="1">
      <alignment wrapText="1"/>
    </xf>
    <xf numFmtId="0" fontId="26" fillId="0" borderId="0" xfId="44" applyFont="1" applyAlignment="1">
      <alignment horizontal="left" vertical="center" wrapText="1"/>
    </xf>
    <xf numFmtId="0" fontId="28" fillId="0" borderId="10" xfId="0" quotePrefix="1" applyFont="1" applyBorder="1" applyAlignment="1">
      <alignment horizontal="center" vertical="center" wrapText="1"/>
    </xf>
    <xf numFmtId="0" fontId="20" fillId="38" borderId="0" xfId="0" applyFont="1" applyFill="1" applyAlignment="1">
      <alignment vertical="center"/>
    </xf>
    <xf numFmtId="0" fontId="20" fillId="38" borderId="0" xfId="44" applyFont="1" applyFill="1" applyAlignment="1">
      <alignment horizontal="left" vertical="center"/>
    </xf>
    <xf numFmtId="0" fontId="28" fillId="0" borderId="0" xfId="6" applyFont="1" applyBorder="1"/>
    <xf numFmtId="10" fontId="30" fillId="0" borderId="0" xfId="3" applyNumberFormat="1" applyFont="1" applyFill="1" applyBorder="1" applyAlignment="1">
      <alignment horizontal="left"/>
    </xf>
    <xf numFmtId="0" fontId="22" fillId="0" borderId="20" xfId="0" applyFont="1" applyBorder="1"/>
    <xf numFmtId="0" fontId="23" fillId="0" borderId="0" xfId="4" applyFont="1" applyBorder="1" applyAlignment="1">
      <alignment horizontal="center"/>
    </xf>
    <xf numFmtId="0" fontId="31" fillId="34" borderId="0" xfId="0" applyFont="1" applyFill="1" applyAlignment="1">
      <alignment horizontal="center" vertical="center"/>
    </xf>
    <xf numFmtId="0" fontId="27" fillId="33" borderId="10" xfId="0" applyFont="1" applyFill="1" applyBorder="1" applyAlignment="1">
      <alignment horizontal="center" vertical="center"/>
    </xf>
    <xf numFmtId="0" fontId="27" fillId="35" borderId="10" xfId="0" applyFont="1" applyFill="1" applyBorder="1" applyAlignment="1">
      <alignment horizontal="center" vertical="center"/>
    </xf>
    <xf numFmtId="10" fontId="27" fillId="36" borderId="10" xfId="3" applyNumberFormat="1" applyFont="1" applyFill="1" applyBorder="1" applyAlignment="1">
      <alignment horizontal="center" vertical="center"/>
    </xf>
    <xf numFmtId="10" fontId="27" fillId="37" borderId="10" xfId="3" applyNumberFormat="1" applyFont="1" applyFill="1" applyBorder="1" applyAlignment="1">
      <alignment horizontal="center" vertical="center"/>
    </xf>
    <xf numFmtId="0" fontId="31" fillId="34" borderId="10" xfId="0" applyFont="1" applyFill="1" applyBorder="1" applyAlignment="1">
      <alignment horizontal="center" vertical="center" wrapText="1"/>
    </xf>
    <xf numFmtId="0" fontId="31" fillId="34" borderId="10" xfId="0" applyFont="1" applyFill="1" applyBorder="1" applyAlignment="1">
      <alignment horizontal="center"/>
    </xf>
    <xf numFmtId="0" fontId="28" fillId="0" borderId="10" xfId="6" applyFont="1" applyBorder="1" applyAlignment="1">
      <alignment horizontal="center"/>
    </xf>
    <xf numFmtId="0" fontId="20" fillId="38" borderId="0" xfId="0" applyFont="1" applyFill="1" applyBorder="1" applyAlignment="1">
      <alignment horizontal="center"/>
    </xf>
    <xf numFmtId="0" fontId="20" fillId="38" borderId="0" xfId="0" applyFont="1" applyFill="1" applyBorder="1" applyAlignment="1">
      <alignment horizontal="center" vertical="center"/>
    </xf>
    <xf numFmtId="0" fontId="20" fillId="38" borderId="0" xfId="0" applyFont="1" applyFill="1" applyBorder="1" applyAlignment="1">
      <alignment horizontal="center" vertical="center" wrapText="1"/>
    </xf>
    <xf numFmtId="2" fontId="20" fillId="38" borderId="0" xfId="0" applyNumberFormat="1" applyFont="1" applyFill="1" applyBorder="1" applyAlignment="1">
      <alignment horizontal="center" vertical="center" wrapText="1"/>
    </xf>
    <xf numFmtId="0" fontId="20" fillId="38" borderId="0" xfId="0" applyFont="1" applyFill="1" applyBorder="1"/>
    <xf numFmtId="0" fontId="28" fillId="38" borderId="0" xfId="0" applyFont="1" applyFill="1" applyBorder="1" applyAlignment="1">
      <alignment horizontal="center" vertical="center" wrapText="1"/>
    </xf>
    <xf numFmtId="2" fontId="28" fillId="38" borderId="0" xfId="0" applyNumberFormat="1" applyFont="1" applyFill="1" applyBorder="1" applyAlignment="1">
      <alignment horizontal="center" vertical="center" wrapText="1"/>
    </xf>
    <xf numFmtId="0" fontId="20" fillId="38" borderId="0" xfId="0" applyNumberFormat="1" applyFont="1" applyFill="1" applyBorder="1" applyAlignment="1">
      <alignment horizontal="center"/>
    </xf>
    <xf numFmtId="0" fontId="20" fillId="38" borderId="0" xfId="0" applyNumberFormat="1" applyFont="1" applyFill="1" applyBorder="1"/>
    <xf numFmtId="0" fontId="20" fillId="38" borderId="0" xfId="0" quotePrefix="1" applyFont="1" applyFill="1" applyBorder="1" applyAlignment="1">
      <alignment horizontal="center"/>
    </xf>
    <xf numFmtId="0" fontId="20" fillId="38" borderId="0" xfId="0" quotePrefix="1" applyNumberFormat="1" applyFont="1" applyFill="1" applyBorder="1" applyAlignment="1">
      <alignment horizontal="center"/>
    </xf>
    <xf numFmtId="2" fontId="20" fillId="38" borderId="0" xfId="0" applyNumberFormat="1" applyFont="1" applyFill="1" applyBorder="1" applyAlignment="1">
      <alignment horizontal="center"/>
    </xf>
    <xf numFmtId="0" fontId="28" fillId="38" borderId="0" xfId="0" applyNumberFormat="1" applyFont="1" applyFill="1" applyBorder="1" applyAlignment="1">
      <alignment horizontal="center" vertical="center" wrapText="1"/>
    </xf>
    <xf numFmtId="0" fontId="28" fillId="38" borderId="0" xfId="0" quotePrefix="1" applyFont="1" applyFill="1" applyBorder="1" applyAlignment="1">
      <alignment horizontal="center" vertical="center" wrapText="1"/>
    </xf>
    <xf numFmtId="0" fontId="20" fillId="38" borderId="0" xfId="0" applyNumberFormat="1" applyFont="1" applyFill="1" applyBorder="1" applyAlignment="1">
      <alignment horizontal="left"/>
    </xf>
    <xf numFmtId="3" fontId="20" fillId="38" borderId="0" xfId="0" applyNumberFormat="1" applyFont="1" applyFill="1" applyBorder="1" applyAlignment="1">
      <alignment horizontal="right"/>
    </xf>
    <xf numFmtId="165" fontId="20" fillId="38" borderId="0" xfId="1" applyNumberFormat="1" applyFont="1" applyFill="1" applyBorder="1" applyAlignment="1">
      <alignment horizontal="right"/>
    </xf>
    <xf numFmtId="166" fontId="20" fillId="38" borderId="0" xfId="2" applyNumberFormat="1" applyFont="1" applyFill="1" applyBorder="1" applyAlignment="1">
      <alignment horizontal="left"/>
    </xf>
    <xf numFmtId="0" fontId="20" fillId="38" borderId="0" xfId="0" applyFont="1" applyFill="1" applyBorder="1" applyAlignment="1">
      <alignment horizontal="right"/>
    </xf>
    <xf numFmtId="40" fontId="20" fillId="38" borderId="0" xfId="0" applyNumberFormat="1" applyFont="1" applyFill="1" applyBorder="1" applyAlignment="1">
      <alignment horizontal="right"/>
    </xf>
    <xf numFmtId="39" fontId="20" fillId="38" borderId="0" xfId="0" applyNumberFormat="1" applyFont="1" applyFill="1" applyBorder="1" applyAlignment="1">
      <alignment horizontal="right"/>
    </xf>
    <xf numFmtId="168" fontId="20" fillId="38" borderId="0" xfId="2" applyNumberFormat="1" applyFont="1" applyFill="1" applyBorder="1" applyAlignment="1">
      <alignment horizontal="left"/>
    </xf>
    <xf numFmtId="40" fontId="20" fillId="38" borderId="0" xfId="0" applyNumberFormat="1" applyFont="1" applyFill="1" applyBorder="1" applyAlignment="1">
      <alignment horizontal="center"/>
    </xf>
    <xf numFmtId="0" fontId="28" fillId="38" borderId="0" xfId="0" applyNumberFormat="1" applyFont="1" applyFill="1" applyBorder="1" applyAlignment="1">
      <alignment horizontal="center"/>
    </xf>
    <xf numFmtId="2" fontId="20" fillId="38" borderId="0" xfId="0" applyNumberFormat="1" applyFont="1" applyFill="1" applyBorder="1"/>
    <xf numFmtId="1" fontId="20" fillId="38" borderId="0" xfId="0" applyNumberFormat="1" applyFont="1" applyFill="1" applyBorder="1" applyAlignment="1">
      <alignment horizontal="center"/>
    </xf>
    <xf numFmtId="39" fontId="20" fillId="33" borderId="16" xfId="0" applyNumberFormat="1" applyFont="1" applyFill="1" applyBorder="1" applyAlignment="1">
      <alignment horizontal="center"/>
    </xf>
    <xf numFmtId="39" fontId="20" fillId="33" borderId="12" xfId="0" applyNumberFormat="1" applyFont="1" applyFill="1" applyBorder="1" applyAlignment="1">
      <alignment horizontal="center"/>
    </xf>
    <xf numFmtId="9" fontId="20" fillId="36" borderId="16" xfId="0" applyNumberFormat="1" applyFont="1" applyFill="1" applyBorder="1" applyAlignment="1" applyProtection="1">
      <alignment horizontal="center"/>
      <protection locked="0"/>
    </xf>
    <xf numFmtId="9" fontId="20" fillId="36" borderId="15" xfId="0" applyNumberFormat="1" applyFont="1" applyFill="1" applyBorder="1" applyAlignment="1" applyProtection="1">
      <alignment horizontal="center"/>
      <protection locked="0"/>
    </xf>
    <xf numFmtId="39" fontId="20" fillId="33" borderId="14" xfId="0" applyNumberFormat="1" applyFont="1" applyFill="1" applyBorder="1" applyAlignment="1">
      <alignment horizontal="center"/>
    </xf>
    <xf numFmtId="39" fontId="20" fillId="33" borderId="13" xfId="0" applyNumberFormat="1" applyFont="1" applyFill="1" applyBorder="1" applyAlignment="1">
      <alignment horizontal="center"/>
    </xf>
    <xf numFmtId="9" fontId="20" fillId="36" borderId="13" xfId="0" applyNumberFormat="1" applyFont="1" applyFill="1" applyBorder="1" applyAlignment="1" applyProtection="1">
      <alignment horizontal="center"/>
      <protection locked="0"/>
    </xf>
    <xf numFmtId="0" fontId="20" fillId="0" borderId="16" xfId="0" applyFont="1" applyBorder="1" applyAlignment="1">
      <alignment horizontal="center"/>
    </xf>
    <xf numFmtId="0" fontId="20" fillId="0" borderId="15" xfId="0" applyFont="1" applyBorder="1" applyAlignment="1">
      <alignment horizontal="center"/>
    </xf>
    <xf numFmtId="0" fontId="20" fillId="0" borderId="13" xfId="0" applyFont="1" applyBorder="1" applyAlignment="1">
      <alignment horizontal="center"/>
    </xf>
    <xf numFmtId="10" fontId="20" fillId="36" borderId="16" xfId="0" applyNumberFormat="1" applyFont="1" applyFill="1" applyBorder="1" applyAlignment="1" applyProtection="1">
      <alignment horizontal="center"/>
      <protection locked="0"/>
    </xf>
    <xf numFmtId="10" fontId="20" fillId="36" borderId="10" xfId="0" applyNumberFormat="1" applyFont="1" applyFill="1" applyBorder="1" applyAlignment="1" applyProtection="1">
      <alignment horizontal="center"/>
      <protection locked="0"/>
    </xf>
    <xf numFmtId="10" fontId="20" fillId="35" borderId="10" xfId="3" applyNumberFormat="1" applyFont="1" applyFill="1" applyBorder="1" applyAlignment="1">
      <alignment horizontal="center"/>
    </xf>
    <xf numFmtId="0" fontId="20" fillId="0" borderId="12" xfId="0" applyFont="1" applyBorder="1"/>
    <xf numFmtId="0" fontId="20" fillId="0" borderId="21" xfId="0" applyFont="1" applyBorder="1"/>
    <xf numFmtId="0" fontId="20" fillId="0" borderId="19" xfId="0" applyFont="1" applyBorder="1"/>
    <xf numFmtId="0" fontId="20" fillId="0" borderId="11" xfId="0" applyFont="1" applyBorder="1"/>
    <xf numFmtId="0" fontId="20" fillId="0" borderId="17" xfId="0" applyFont="1" applyBorder="1"/>
    <xf numFmtId="0" fontId="20" fillId="0" borderId="0" xfId="0" applyNumberFormat="1" applyFont="1" applyFill="1" applyBorder="1" applyAlignment="1">
      <alignment horizontal="center"/>
    </xf>
    <xf numFmtId="0" fontId="20" fillId="0" borderId="0" xfId="0" applyFont="1" applyBorder="1"/>
    <xf numFmtId="0" fontId="20" fillId="0" borderId="11" xfId="0" applyNumberFormat="1" applyFont="1" applyFill="1" applyBorder="1" applyAlignment="1">
      <alignment horizontal="center"/>
    </xf>
    <xf numFmtId="0" fontId="20" fillId="0" borderId="14" xfId="0" applyFont="1" applyBorder="1"/>
    <xf numFmtId="0" fontId="20" fillId="0" borderId="22" xfId="0" applyFont="1" applyBorder="1"/>
    <xf numFmtId="0" fontId="20" fillId="0" borderId="18" xfId="0" applyFont="1" applyBorder="1"/>
    <xf numFmtId="164" fontId="20" fillId="0" borderId="22" xfId="0" applyNumberFormat="1" applyFont="1" applyFill="1" applyBorder="1"/>
    <xf numFmtId="0" fontId="22" fillId="0" borderId="0" xfId="0" applyFont="1" applyBorder="1"/>
    <xf numFmtId="0" fontId="20" fillId="38" borderId="0" xfId="44" applyFont="1" applyFill="1" applyBorder="1" applyAlignment="1">
      <alignment horizontal="left" vertical="center"/>
    </xf>
    <xf numFmtId="0" fontId="26" fillId="0" borderId="0" xfId="44" applyFont="1" applyBorder="1" applyAlignment="1">
      <alignment horizontal="left" vertical="center" wrapText="1"/>
    </xf>
    <xf numFmtId="0" fontId="28" fillId="0" borderId="23" xfId="0" applyFont="1" applyBorder="1"/>
    <xf numFmtId="0" fontId="20" fillId="0" borderId="24" xfId="0" applyFont="1" applyBorder="1"/>
    <xf numFmtId="0" fontId="27" fillId="0" borderId="25" xfId="0" applyFont="1" applyBorder="1" applyAlignment="1">
      <alignment horizontal="center" vertical="center"/>
    </xf>
    <xf numFmtId="0" fontId="20" fillId="0" borderId="25" xfId="0" applyFont="1" applyBorder="1"/>
    <xf numFmtId="0" fontId="22" fillId="0" borderId="26" xfId="0" applyFont="1" applyBorder="1"/>
    <xf numFmtId="0" fontId="27" fillId="0" borderId="0" xfId="0" applyFont="1"/>
    <xf numFmtId="0" fontId="20" fillId="0" borderId="27" xfId="0" applyFont="1" applyBorder="1"/>
    <xf numFmtId="14" fontId="17" fillId="0" borderId="0" xfId="0" quotePrefix="1" applyNumberFormat="1" applyFont="1" applyFill="1" applyBorder="1" applyAlignment="1">
      <alignment horizontal="center" vertical="center"/>
    </xf>
    <xf numFmtId="15" fontId="17" fillId="0" borderId="0" xfId="0" quotePrefix="1" applyNumberFormat="1" applyFont="1" applyFill="1" applyAlignment="1">
      <alignment horizontal="center" vertical="center"/>
    </xf>
    <xf numFmtId="0" fontId="33" fillId="0" borderId="0" xfId="4" applyFont="1" applyBorder="1" applyAlignment="1">
      <alignment vertical="center"/>
    </xf>
    <xf numFmtId="0" fontId="28" fillId="0" borderId="10" xfId="6" applyFont="1" applyBorder="1" applyAlignment="1">
      <alignment horizontal="center" vertical="center"/>
    </xf>
    <xf numFmtId="0" fontId="28" fillId="0" borderId="10" xfId="6" applyFont="1" applyFill="1" applyBorder="1" applyAlignment="1">
      <alignment horizontal="center" vertical="center"/>
    </xf>
    <xf numFmtId="0" fontId="22" fillId="36" borderId="0" xfId="0" applyFont="1" applyFill="1" applyBorder="1" applyAlignment="1" applyProtection="1">
      <alignment horizontal="center" vertical="center"/>
      <protection locked="0"/>
    </xf>
    <xf numFmtId="0" fontId="17" fillId="33" borderId="15" xfId="2" applyNumberFormat="1" applyFont="1" applyFill="1" applyBorder="1" applyAlignment="1">
      <alignment horizontal="center" vertical="center"/>
    </xf>
    <xf numFmtId="9" fontId="20" fillId="33" borderId="15" xfId="0" applyNumberFormat="1" applyFont="1" applyFill="1" applyBorder="1" applyAlignment="1">
      <alignment horizontal="center" vertical="center"/>
    </xf>
    <xf numFmtId="167" fontId="20" fillId="33" borderId="15" xfId="2" applyNumberFormat="1" applyFont="1" applyFill="1" applyBorder="1" applyAlignment="1">
      <alignment horizontal="center" vertical="center"/>
    </xf>
    <xf numFmtId="39" fontId="20" fillId="33" borderId="15" xfId="0" applyNumberFormat="1" applyFont="1" applyFill="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6" fontId="20" fillId="35" borderId="16" xfId="2" applyNumberFormat="1" applyFont="1" applyFill="1" applyBorder="1" applyAlignment="1">
      <alignment horizontal="center" vertical="center"/>
    </xf>
    <xf numFmtId="6" fontId="20" fillId="35" borderId="13" xfId="2" applyNumberFormat="1" applyFont="1" applyFill="1" applyBorder="1" applyAlignment="1">
      <alignment horizontal="center" vertical="center"/>
    </xf>
    <xf numFmtId="0" fontId="28" fillId="0" borderId="10" xfId="6" applyFont="1" applyBorder="1" applyAlignment="1">
      <alignment horizontal="center" vertical="center" wrapText="1"/>
    </xf>
    <xf numFmtId="0" fontId="28" fillId="0" borderId="16" xfId="6" applyFont="1" applyFill="1" applyBorder="1" applyAlignment="1">
      <alignment horizontal="center" vertical="center" wrapText="1"/>
    </xf>
    <xf numFmtId="6" fontId="20" fillId="35" borderId="10" xfId="1" applyNumberFormat="1" applyFont="1" applyFill="1" applyBorder="1" applyAlignment="1">
      <alignment horizontal="center" vertical="center"/>
    </xf>
    <xf numFmtId="0" fontId="28" fillId="0" borderId="1" xfId="4" applyFont="1" applyAlignment="1">
      <alignment horizontal="left" vertical="center"/>
    </xf>
    <xf numFmtId="9" fontId="27" fillId="0" borderId="0" xfId="3" applyFont="1" applyAlignment="1">
      <alignment horizontal="center" vertical="center"/>
    </xf>
    <xf numFmtId="39" fontId="20" fillId="0" borderId="0" xfId="0" applyNumberFormat="1" applyFont="1" applyFill="1" applyAlignment="1">
      <alignment horizontal="center" vertical="center"/>
    </xf>
    <xf numFmtId="42" fontId="27" fillId="0" borderId="0" xfId="0" applyNumberFormat="1" applyFont="1" applyAlignment="1">
      <alignment horizontal="center" vertical="center"/>
    </xf>
    <xf numFmtId="5" fontId="20" fillId="0" borderId="0" xfId="0" applyNumberFormat="1" applyFont="1"/>
    <xf numFmtId="5" fontId="20" fillId="0" borderId="0" xfId="0" applyNumberFormat="1" applyFont="1" applyFill="1" applyAlignment="1">
      <alignment horizontal="center"/>
    </xf>
    <xf numFmtId="0" fontId="20"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66" fontId="20" fillId="0" borderId="0" xfId="2" applyNumberFormat="1" applyFont="1" applyFill="1" applyBorder="1" applyAlignment="1">
      <alignment horizontal="left"/>
    </xf>
    <xf numFmtId="0" fontId="20" fillId="0" borderId="0" xfId="0" applyFont="1" applyFill="1" applyBorder="1"/>
    <xf numFmtId="0" fontId="20" fillId="38" borderId="22" xfId="0" applyFont="1" applyFill="1" applyBorder="1" applyAlignment="1">
      <alignment horizontal="center"/>
    </xf>
    <xf numFmtId="167" fontId="20" fillId="36" borderId="0" xfId="2" applyNumberFormat="1" applyFont="1" applyFill="1" applyBorder="1" applyAlignment="1" applyProtection="1">
      <alignment horizontal="center" vertical="center"/>
      <protection locked="0"/>
    </xf>
    <xf numFmtId="9" fontId="20" fillId="36" borderId="0" xfId="0" applyNumberFormat="1" applyFont="1" applyFill="1" applyBorder="1" applyAlignment="1" applyProtection="1">
      <alignment horizontal="center" vertical="center"/>
      <protection locked="0"/>
    </xf>
    <xf numFmtId="39" fontId="20" fillId="36" borderId="0" xfId="0" applyNumberFormat="1" applyFont="1" applyFill="1" applyBorder="1" applyAlignment="1" applyProtection="1">
      <alignment horizontal="center" vertical="center"/>
      <protection locked="0"/>
    </xf>
    <xf numFmtId="42" fontId="20" fillId="0" borderId="0" xfId="0" applyNumberFormat="1" applyFont="1" applyFill="1" applyAlignment="1">
      <alignment horizontal="center" vertical="center"/>
    </xf>
    <xf numFmtId="42" fontId="20" fillId="0" borderId="0" xfId="2" applyNumberFormat="1" applyFont="1" applyFill="1" applyAlignment="1">
      <alignment horizontal="center" vertical="center"/>
    </xf>
    <xf numFmtId="42" fontId="20" fillId="0" borderId="0" xfId="2" applyNumberFormat="1" applyFont="1" applyAlignment="1">
      <alignment horizontal="center" vertical="center"/>
    </xf>
    <xf numFmtId="9" fontId="0" fillId="0" borderId="0" xfId="3" applyFont="1"/>
    <xf numFmtId="0" fontId="28" fillId="37" borderId="0" xfId="0" applyNumberFormat="1" applyFont="1" applyFill="1" applyBorder="1" applyAlignment="1">
      <alignment horizontal="center" vertical="center" wrapText="1"/>
    </xf>
    <xf numFmtId="0" fontId="28" fillId="37" borderId="0" xfId="0" applyFont="1" applyFill="1" applyBorder="1" applyAlignment="1">
      <alignment horizontal="center" vertical="center" wrapText="1"/>
    </xf>
    <xf numFmtId="0" fontId="28" fillId="37" borderId="0" xfId="0" quotePrefix="1" applyFont="1" applyFill="1" applyBorder="1" applyAlignment="1">
      <alignment horizontal="center" vertical="center" wrapText="1"/>
    </xf>
    <xf numFmtId="169" fontId="20" fillId="38" borderId="0" xfId="0" applyNumberFormat="1" applyFont="1" applyFill="1" applyBorder="1" applyAlignment="1">
      <alignment horizontal="center"/>
    </xf>
    <xf numFmtId="1" fontId="20" fillId="38" borderId="0" xfId="1" applyNumberFormat="1" applyFont="1" applyFill="1" applyBorder="1" applyAlignment="1">
      <alignment horizontal="right"/>
    </xf>
    <xf numFmtId="170" fontId="20" fillId="38" borderId="0" xfId="1" applyNumberFormat="1" applyFont="1" applyFill="1" applyBorder="1" applyAlignment="1">
      <alignment horizontal="right"/>
    </xf>
    <xf numFmtId="44" fontId="20" fillId="38" borderId="0" xfId="2" applyNumberFormat="1" applyFont="1" applyFill="1" applyBorder="1" applyAlignment="1">
      <alignment horizontal="left"/>
    </xf>
    <xf numFmtId="171" fontId="0" fillId="0" borderId="0" xfId="0" applyNumberFormat="1"/>
    <xf numFmtId="0" fontId="22" fillId="0" borderId="28" xfId="0" applyFont="1" applyBorder="1"/>
    <xf numFmtId="0" fontId="22" fillId="0" borderId="30" xfId="0" applyFont="1" applyBorder="1"/>
    <xf numFmtId="0" fontId="22" fillId="0" borderId="31" xfId="0" applyFont="1" applyBorder="1"/>
    <xf numFmtId="0" fontId="20" fillId="0" borderId="30" xfId="0" applyFont="1" applyBorder="1"/>
    <xf numFmtId="0" fontId="20" fillId="0" borderId="31" xfId="0" applyFont="1" applyBorder="1"/>
    <xf numFmtId="0" fontId="22" fillId="0" borderId="30" xfId="0" applyFont="1" applyFill="1" applyBorder="1"/>
    <xf numFmtId="0" fontId="22" fillId="0" borderId="31" xfId="0" applyFont="1" applyFill="1" applyBorder="1"/>
    <xf numFmtId="0" fontId="20" fillId="0" borderId="30" xfId="0" applyFont="1" applyBorder="1" applyAlignment="1">
      <alignment vertical="top" wrapText="1"/>
    </xf>
    <xf numFmtId="0" fontId="20" fillId="0" borderId="31" xfId="0" applyFont="1" applyBorder="1" applyAlignment="1">
      <alignment vertical="top" wrapText="1"/>
    </xf>
    <xf numFmtId="0" fontId="22" fillId="0" borderId="32" xfId="0" applyFont="1" applyBorder="1"/>
    <xf numFmtId="0" fontId="30" fillId="0" borderId="0" xfId="0" applyFont="1" applyBorder="1"/>
    <xf numFmtId="0" fontId="30" fillId="0" borderId="29" xfId="0" applyFont="1" applyBorder="1"/>
    <xf numFmtId="42" fontId="20" fillId="38" borderId="0" xfId="0" applyNumberFormat="1" applyFont="1" applyFill="1" applyBorder="1"/>
    <xf numFmtId="0" fontId="36" fillId="0" borderId="10" xfId="0" applyFont="1" applyBorder="1" applyAlignment="1">
      <alignment horizontal="center"/>
    </xf>
    <xf numFmtId="0" fontId="37" fillId="0" borderId="10" xfId="0" applyNumberFormat="1" applyFont="1" applyFill="1" applyBorder="1" applyAlignment="1">
      <alignment horizontal="center"/>
    </xf>
    <xf numFmtId="0" fontId="37" fillId="0" borderId="0" xfId="0" applyFont="1" applyBorder="1"/>
    <xf numFmtId="0" fontId="37" fillId="0" borderId="0" xfId="0" applyFont="1" applyFill="1" applyBorder="1"/>
    <xf numFmtId="10" fontId="37" fillId="0" borderId="10" xfId="0" applyNumberFormat="1" applyFont="1" applyFill="1" applyBorder="1" applyAlignment="1">
      <alignment horizontal="center"/>
    </xf>
    <xf numFmtId="0" fontId="22" fillId="0" borderId="35" xfId="0" applyFont="1" applyBorder="1"/>
    <xf numFmtId="0" fontId="22" fillId="0" borderId="0" xfId="0" applyFont="1" applyFill="1" applyBorder="1"/>
    <xf numFmtId="0" fontId="22" fillId="0" borderId="36" xfId="0" applyFont="1" applyBorder="1"/>
    <xf numFmtId="0" fontId="20" fillId="0" borderId="36" xfId="0" applyFont="1" applyBorder="1"/>
    <xf numFmtId="0" fontId="22" fillId="0" borderId="34" xfId="0" applyFont="1" applyBorder="1"/>
    <xf numFmtId="0" fontId="22" fillId="0" borderId="37" xfId="0" applyFont="1" applyBorder="1"/>
    <xf numFmtId="0" fontId="27" fillId="0" borderId="35" xfId="0" applyFont="1" applyBorder="1" applyAlignment="1">
      <alignment vertical="top" wrapText="1"/>
    </xf>
    <xf numFmtId="0" fontId="20" fillId="0" borderId="20" xfId="0" applyFont="1" applyBorder="1"/>
    <xf numFmtId="0" fontId="20" fillId="0" borderId="32" xfId="0" applyFont="1" applyBorder="1"/>
    <xf numFmtId="0" fontId="20" fillId="0" borderId="33" xfId="0" applyFont="1" applyBorder="1"/>
    <xf numFmtId="0" fontId="27" fillId="0" borderId="28" xfId="0" applyFont="1" applyBorder="1" applyAlignment="1">
      <alignment vertical="top" wrapText="1"/>
    </xf>
    <xf numFmtId="0" fontId="27" fillId="0" borderId="30" xfId="0" applyFont="1" applyBorder="1" applyAlignment="1">
      <alignment vertical="top" wrapText="1"/>
    </xf>
    <xf numFmtId="0" fontId="27" fillId="0" borderId="0" xfId="0" applyFont="1" applyBorder="1" applyAlignment="1">
      <alignment vertical="top" wrapText="1"/>
    </xf>
    <xf numFmtId="0" fontId="38" fillId="0" borderId="0" xfId="0" applyFont="1"/>
    <xf numFmtId="37" fontId="18" fillId="0" borderId="36" xfId="0" applyNumberFormat="1" applyFont="1" applyFill="1" applyBorder="1"/>
    <xf numFmtId="0" fontId="18" fillId="0" borderId="36" xfId="0" applyNumberFormat="1" applyFont="1" applyFill="1" applyBorder="1" applyAlignment="1">
      <alignment horizontal="left"/>
    </xf>
    <xf numFmtId="0" fontId="22" fillId="0" borderId="39" xfId="0" applyFont="1" applyBorder="1"/>
    <xf numFmtId="0" fontId="22" fillId="0" borderId="40" xfId="0" applyFont="1" applyBorder="1"/>
    <xf numFmtId="0" fontId="20" fillId="0" borderId="40" xfId="0" applyFont="1" applyBorder="1"/>
    <xf numFmtId="0" fontId="22" fillId="0" borderId="40" xfId="0" applyFont="1" applyFill="1" applyBorder="1"/>
    <xf numFmtId="0" fontId="20" fillId="0" borderId="41" xfId="0" applyFont="1" applyBorder="1"/>
    <xf numFmtId="0" fontId="38" fillId="0" borderId="0" xfId="0" applyFont="1" applyBorder="1"/>
    <xf numFmtId="0" fontId="30" fillId="0" borderId="42" xfId="0" applyFont="1" applyFill="1" applyBorder="1"/>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42" fontId="27" fillId="0" borderId="10" xfId="0" applyNumberFormat="1" applyFont="1" applyBorder="1" applyAlignment="1">
      <alignment horizontal="center" vertical="center" wrapText="1"/>
    </xf>
    <xf numFmtId="10" fontId="30" fillId="0" borderId="34" xfId="3" applyNumberFormat="1" applyFont="1" applyFill="1" applyBorder="1" applyAlignment="1">
      <alignment horizontal="left"/>
    </xf>
    <xf numFmtId="0" fontId="26" fillId="0" borderId="34" xfId="44" applyFont="1" applyBorder="1" applyAlignment="1">
      <alignment horizontal="left" vertical="center" wrapText="1"/>
    </xf>
    <xf numFmtId="0" fontId="27" fillId="0" borderId="38" xfId="0" applyFont="1" applyBorder="1" applyAlignment="1">
      <alignment horizontal="center" vertical="center"/>
    </xf>
    <xf numFmtId="0" fontId="20" fillId="0" borderId="0" xfId="4" applyFont="1" applyBorder="1" applyAlignment="1">
      <alignment horizontal="left" vertical="center" wrapText="1"/>
    </xf>
    <xf numFmtId="42" fontId="27" fillId="0" borderId="10" xfId="0" applyNumberFormat="1" applyFont="1" applyBorder="1" applyAlignment="1">
      <alignment horizontal="center" vertical="center"/>
    </xf>
    <xf numFmtId="0" fontId="20" fillId="0" borderId="0" xfId="4" applyFont="1" applyBorder="1" applyAlignment="1">
      <alignment horizontal="left" vertical="center" wrapText="1"/>
    </xf>
    <xf numFmtId="0" fontId="20" fillId="0" borderId="11" xfId="0" applyFont="1" applyBorder="1" applyAlignment="1">
      <alignment horizontal="center" vertical="center"/>
    </xf>
    <xf numFmtId="0" fontId="28" fillId="0" borderId="10" xfId="6" applyFont="1" applyBorder="1" applyAlignment="1">
      <alignment horizontal="center" vertical="center"/>
    </xf>
    <xf numFmtId="0" fontId="18" fillId="0" borderId="0" xfId="0" applyNumberFormat="1" applyFont="1" applyFill="1" applyBorder="1" applyAlignment="1">
      <alignment horizontal="left"/>
    </xf>
    <xf numFmtId="0" fontId="20" fillId="0" borderId="0" xfId="4" applyFont="1" applyBorder="1" applyAlignment="1">
      <alignment vertical="center" wrapText="1"/>
    </xf>
    <xf numFmtId="0" fontId="31" fillId="34" borderId="10" xfId="0" applyFont="1" applyFill="1" applyBorder="1" applyAlignment="1">
      <alignment horizontal="center" vertical="center"/>
    </xf>
    <xf numFmtId="0" fontId="27" fillId="0" borderId="36" xfId="0" applyFont="1" applyBorder="1"/>
    <xf numFmtId="42" fontId="20" fillId="0" borderId="0" xfId="0" applyNumberFormat="1" applyFont="1"/>
    <xf numFmtId="0" fontId="29" fillId="0" borderId="0" xfId="0" applyFont="1" applyBorder="1"/>
    <xf numFmtId="0" fontId="27" fillId="0" borderId="0" xfId="0" applyFont="1" applyAlignment="1">
      <alignment horizontal="left" vertical="center" wrapText="1"/>
    </xf>
    <xf numFmtId="0" fontId="24" fillId="34" borderId="1" xfId="4" applyFont="1" applyFill="1" applyAlignment="1">
      <alignment horizontal="center"/>
    </xf>
    <xf numFmtId="0" fontId="39" fillId="0" borderId="0" xfId="4" applyFont="1" applyBorder="1" applyAlignment="1">
      <alignment vertical="center"/>
    </xf>
    <xf numFmtId="14" fontId="39" fillId="0" borderId="0" xfId="0" quotePrefix="1" applyNumberFormat="1" applyFont="1" applyFill="1" applyBorder="1" applyAlignment="1">
      <alignment horizontal="left" vertical="center"/>
    </xf>
    <xf numFmtId="0" fontId="27" fillId="0" borderId="0" xfId="0" applyFont="1" applyBorder="1" applyAlignment="1">
      <alignment horizontal="left" vertical="center" wrapText="1"/>
    </xf>
    <xf numFmtId="0" fontId="40" fillId="0" borderId="0" xfId="0" applyFont="1"/>
    <xf numFmtId="0" fontId="40" fillId="0" borderId="0" xfId="0" applyFont="1" applyBorder="1"/>
    <xf numFmtId="0" fontId="22" fillId="0" borderId="17" xfId="0" applyFont="1" applyBorder="1"/>
    <xf numFmtId="37" fontId="18" fillId="0" borderId="0" xfId="0" applyNumberFormat="1" applyFont="1" applyFill="1" applyBorder="1"/>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28" fillId="0" borderId="0" xfId="4" applyFont="1" applyBorder="1" applyAlignment="1">
      <alignment horizontal="left" vertical="center"/>
    </xf>
    <xf numFmtId="10" fontId="38" fillId="0" borderId="35" xfId="3" applyNumberFormat="1" applyFont="1" applyFill="1" applyBorder="1" applyAlignment="1">
      <alignment horizontal="left"/>
    </xf>
    <xf numFmtId="0" fontId="26" fillId="0" borderId="35" xfId="44" applyFont="1" applyBorder="1" applyAlignment="1">
      <alignment horizontal="left" vertical="center" wrapText="1"/>
    </xf>
    <xf numFmtId="0" fontId="38" fillId="0" borderId="43" xfId="0" applyFont="1" applyFill="1" applyBorder="1"/>
    <xf numFmtId="0" fontId="27" fillId="0" borderId="30" xfId="0" applyFont="1" applyBorder="1" applyAlignment="1">
      <alignment horizontal="center" vertical="center"/>
    </xf>
    <xf numFmtId="0" fontId="22" fillId="0" borderId="44" xfId="0" applyFont="1" applyBorder="1"/>
    <xf numFmtId="0" fontId="22" fillId="0" borderId="45" xfId="0" applyFont="1" applyBorder="1"/>
    <xf numFmtId="0" fontId="20" fillId="0" borderId="35" xfId="0" applyFont="1" applyBorder="1"/>
    <xf numFmtId="0" fontId="20" fillId="0" borderId="11" xfId="0" applyFont="1" applyBorder="1" applyAlignment="1">
      <alignment horizontal="center" vertical="center"/>
    </xf>
    <xf numFmtId="0" fontId="39" fillId="0" borderId="0" xfId="4" applyFont="1" applyBorder="1" applyAlignment="1">
      <alignment horizontal="left" vertical="center"/>
    </xf>
    <xf numFmtId="10" fontId="20" fillId="36" borderId="16" xfId="0" applyNumberFormat="1" applyFont="1" applyFill="1" applyBorder="1" applyAlignment="1" applyProtection="1">
      <alignment horizontal="center" vertical="center"/>
      <protection locked="0"/>
    </xf>
    <xf numFmtId="10" fontId="20" fillId="36" borderId="10" xfId="0" applyNumberFormat="1" applyFont="1" applyFill="1" applyBorder="1" applyAlignment="1" applyProtection="1">
      <alignment horizontal="center" vertical="center"/>
      <protection locked="0"/>
    </xf>
    <xf numFmtId="0" fontId="20" fillId="0" borderId="11" xfId="0" applyFont="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vertical="center"/>
    </xf>
    <xf numFmtId="10" fontId="37" fillId="0" borderId="10" xfId="0" applyNumberFormat="1" applyFont="1" applyFill="1" applyBorder="1" applyAlignment="1">
      <alignment horizontal="center" vertical="center"/>
    </xf>
    <xf numFmtId="0" fontId="20" fillId="0" borderId="14" xfId="0" applyFont="1" applyBorder="1" applyAlignment="1">
      <alignment vertical="center"/>
    </xf>
    <xf numFmtId="164" fontId="20" fillId="0" borderId="22" xfId="0" applyNumberFormat="1" applyFont="1" applyFill="1" applyBorder="1" applyAlignment="1">
      <alignment vertical="center"/>
    </xf>
    <xf numFmtId="0" fontId="20" fillId="0" borderId="22" xfId="0" applyFont="1" applyBorder="1" applyAlignment="1">
      <alignment vertical="center"/>
    </xf>
    <xf numFmtId="0" fontId="20" fillId="0" borderId="12" xfId="0" applyFont="1" applyBorder="1" applyAlignment="1">
      <alignment vertical="center"/>
    </xf>
    <xf numFmtId="0" fontId="20" fillId="0" borderId="21" xfId="0" applyFont="1" applyBorder="1" applyAlignment="1">
      <alignment vertical="center"/>
    </xf>
    <xf numFmtId="10" fontId="20" fillId="35" borderId="10" xfId="3"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0" xfId="0" applyFont="1" applyBorder="1" applyAlignment="1">
      <alignment vertical="center"/>
    </xf>
    <xf numFmtId="0" fontId="41" fillId="0" borderId="10" xfId="0" applyNumberFormat="1" applyFont="1" applyFill="1" applyBorder="1" applyAlignment="1">
      <alignment horizontal="center" vertical="center"/>
    </xf>
    <xf numFmtId="0" fontId="30" fillId="0" borderId="10" xfId="0" applyFont="1" applyBorder="1" applyAlignment="1">
      <alignment horizontal="center" vertical="center" wrapText="1"/>
    </xf>
    <xf numFmtId="0" fontId="39" fillId="0" borderId="22" xfId="4" applyFont="1" applyBorder="1" applyAlignment="1">
      <alignment horizontal="left" vertical="center"/>
    </xf>
    <xf numFmtId="15" fontId="17" fillId="0" borderId="0" xfId="0" quotePrefix="1" applyNumberFormat="1" applyFont="1" applyFill="1"/>
    <xf numFmtId="0" fontId="18" fillId="0" borderId="0" xfId="0" applyNumberFormat="1" applyFont="1" applyFill="1" applyAlignment="1">
      <alignment horizontal="right"/>
    </xf>
    <xf numFmtId="0" fontId="17" fillId="0" borderId="0" xfId="0" applyNumberFormat="1" applyFont="1" applyFill="1"/>
    <xf numFmtId="10" fontId="18" fillId="0" borderId="0" xfId="0" applyNumberFormat="1" applyFont="1" applyFill="1"/>
    <xf numFmtId="172" fontId="18" fillId="0" borderId="0" xfId="0" applyNumberFormat="1" applyFont="1"/>
    <xf numFmtId="39" fontId="18" fillId="0" borderId="0" xfId="0" applyNumberFormat="1" applyFont="1" applyFill="1"/>
    <xf numFmtId="173" fontId="18" fillId="0" borderId="0" xfId="0" applyNumberFormat="1" applyFont="1" applyFill="1"/>
    <xf numFmtId="5" fontId="18" fillId="0" borderId="0" xfId="0" applyNumberFormat="1" applyFont="1" applyFill="1"/>
    <xf numFmtId="2" fontId="18" fillId="0" borderId="0" xfId="0" applyNumberFormat="1" applyFont="1" applyFill="1"/>
    <xf numFmtId="164" fontId="18" fillId="0" borderId="0" xfId="0" applyNumberFormat="1" applyFont="1" applyFill="1"/>
    <xf numFmtId="0" fontId="18" fillId="0" borderId="0" xfId="0" applyFont="1" applyAlignment="1">
      <alignment horizontal="center"/>
    </xf>
    <xf numFmtId="0" fontId="18" fillId="0" borderId="0" xfId="0" applyFont="1" applyAlignment="1">
      <alignment horizontal="right"/>
    </xf>
    <xf numFmtId="10" fontId="18" fillId="0" borderId="0" xfId="0" applyNumberFormat="1" applyFont="1"/>
    <xf numFmtId="0" fontId="18" fillId="0" borderId="0" xfId="0" quotePrefix="1" applyNumberFormat="1" applyFont="1" applyFill="1"/>
    <xf numFmtId="37" fontId="17" fillId="0" borderId="0" xfId="0" applyNumberFormat="1" applyFont="1" applyFill="1"/>
    <xf numFmtId="40" fontId="18" fillId="0" borderId="0" xfId="0" applyNumberFormat="1" applyFont="1" applyFill="1"/>
    <xf numFmtId="172" fontId="18" fillId="0" borderId="0" xfId="0" applyNumberFormat="1" applyFont="1" applyFill="1" applyAlignment="1">
      <alignment horizontal="center"/>
    </xf>
    <xf numFmtId="9" fontId="18" fillId="0" borderId="0" xfId="3" applyFont="1" applyFill="1"/>
    <xf numFmtId="0" fontId="39" fillId="0" borderId="0" xfId="0" applyNumberFormat="1" applyFont="1" applyFill="1" applyAlignment="1">
      <alignment horizontal="right"/>
    </xf>
    <xf numFmtId="174" fontId="18" fillId="0" borderId="0" xfId="0" applyNumberFormat="1" applyFont="1" applyFill="1"/>
    <xf numFmtId="0" fontId="18" fillId="0" borderId="0" xfId="0" quotePrefix="1" applyFont="1" applyAlignment="1">
      <alignment horizontal="center"/>
    </xf>
    <xf numFmtId="0" fontId="17" fillId="0" borderId="0" xfId="0" quotePrefix="1" applyNumberFormat="1" applyFont="1" applyFill="1" applyAlignment="1">
      <alignment horizontal="center"/>
    </xf>
    <xf numFmtId="37" fontId="17" fillId="0" borderId="0" xfId="0" quotePrefix="1" applyNumberFormat="1" applyFont="1" applyFill="1" applyAlignment="1">
      <alignment horizontal="center"/>
    </xf>
    <xf numFmtId="3" fontId="17" fillId="0" borderId="0" xfId="0" quotePrefix="1" applyNumberFormat="1" applyFont="1" applyFill="1" applyAlignment="1">
      <alignment horizontal="center"/>
    </xf>
    <xf numFmtId="9" fontId="17" fillId="0" borderId="0" xfId="3" quotePrefix="1" applyFont="1" applyFill="1" applyAlignment="1">
      <alignment horizontal="center"/>
    </xf>
    <xf numFmtId="37" fontId="18" fillId="0" borderId="0" xfId="0" applyNumberFormat="1" applyFont="1"/>
    <xf numFmtId="0" fontId="41" fillId="0" borderId="0" xfId="0" applyNumberFormat="1" applyFont="1" applyFill="1" applyAlignment="1">
      <alignment horizontal="center"/>
    </xf>
    <xf numFmtId="0" fontId="17" fillId="0" borderId="0" xfId="0" applyNumberFormat="1" applyFont="1" applyFill="1" applyAlignment="1">
      <alignment horizontal="center"/>
    </xf>
    <xf numFmtId="40" fontId="41" fillId="0" borderId="0" xfId="0" applyNumberFormat="1" applyFont="1" applyFill="1"/>
    <xf numFmtId="6" fontId="41" fillId="0" borderId="0" xfId="0" applyNumberFormat="1" applyFont="1" applyFill="1" applyAlignment="1">
      <alignment horizontal="center"/>
    </xf>
    <xf numFmtId="0" fontId="39" fillId="0" borderId="0" xfId="0" quotePrefix="1" applyNumberFormat="1" applyFont="1" applyFill="1" applyAlignment="1">
      <alignment horizontal="center"/>
    </xf>
    <xf numFmtId="0" fontId="17" fillId="0" borderId="0" xfId="0" applyFont="1" applyAlignment="1">
      <alignment horizontal="center"/>
    </xf>
    <xf numFmtId="8" fontId="41" fillId="0" borderId="0" xfId="0" applyNumberFormat="1" applyFont="1" applyFill="1" applyAlignment="1">
      <alignment horizontal="center"/>
    </xf>
    <xf numFmtId="0" fontId="42" fillId="0" borderId="0" xfId="0" applyNumberFormat="1" applyFont="1" applyFill="1" applyAlignment="1">
      <alignment horizontal="center"/>
    </xf>
    <xf numFmtId="5" fontId="41" fillId="0" borderId="0" xfId="0" applyNumberFormat="1" applyFont="1" applyFill="1"/>
    <xf numFmtId="0" fontId="42" fillId="39" borderId="0" xfId="0" applyNumberFormat="1" applyFont="1" applyFill="1" applyAlignment="1">
      <alignment horizontal="center"/>
    </xf>
    <xf numFmtId="0" fontId="18" fillId="0" borderId="0" xfId="0" applyFont="1" applyFill="1" applyAlignment="1">
      <alignment wrapText="1"/>
    </xf>
    <xf numFmtId="0" fontId="18" fillId="0" borderId="0" xfId="0" quotePrefix="1" applyNumberFormat="1" applyFont="1" applyFill="1" applyAlignment="1">
      <alignment horizontal="center"/>
    </xf>
    <xf numFmtId="4" fontId="18" fillId="0" borderId="0" xfId="0" applyNumberFormat="1" applyFont="1" applyFill="1"/>
    <xf numFmtId="4" fontId="39" fillId="40" borderId="10" xfId="0" applyNumberFormat="1" applyFont="1" applyFill="1" applyBorder="1" applyAlignment="1">
      <alignment horizontal="right"/>
    </xf>
    <xf numFmtId="4" fontId="22" fillId="0" borderId="0" xfId="0" applyNumberFormat="1" applyFont="1"/>
    <xf numFmtId="170" fontId="22" fillId="0" borderId="0" xfId="0" applyNumberFormat="1" applyFont="1"/>
    <xf numFmtId="3" fontId="22" fillId="0" borderId="0" xfId="0" applyNumberFormat="1" applyFont="1"/>
    <xf numFmtId="40" fontId="18" fillId="0" borderId="0" xfId="0" applyNumberFormat="1" applyFont="1"/>
    <xf numFmtId="172" fontId="18" fillId="0" borderId="0" xfId="0" applyNumberFormat="1" applyFont="1" applyFill="1"/>
    <xf numFmtId="175" fontId="18" fillId="0" borderId="0" xfId="0" applyNumberFormat="1" applyFont="1" applyFill="1"/>
    <xf numFmtId="170" fontId="18" fillId="0" borderId="0" xfId="0" applyNumberFormat="1" applyFont="1" applyFill="1"/>
    <xf numFmtId="175" fontId="22" fillId="0" borderId="0" xfId="0" applyNumberFormat="1" applyFont="1"/>
    <xf numFmtId="37" fontId="18" fillId="0" borderId="0" xfId="0" applyNumberFormat="1" applyFont="1" applyFill="1" applyAlignment="1">
      <alignment horizontal="center"/>
    </xf>
    <xf numFmtId="3" fontId="18" fillId="0" borderId="0" xfId="0" applyNumberFormat="1" applyFont="1"/>
    <xf numFmtId="0" fontId="43" fillId="0" borderId="0" xfId="0" applyNumberFormat="1" applyFont="1" applyFill="1" applyAlignment="1">
      <alignment horizontal="center"/>
    </xf>
    <xf numFmtId="4" fontId="39" fillId="41" borderId="10" xfId="0" applyNumberFormat="1" applyFont="1" applyFill="1" applyBorder="1" applyAlignment="1">
      <alignment horizontal="right"/>
    </xf>
    <xf numFmtId="3" fontId="22" fillId="0" borderId="0" xfId="0" applyNumberFormat="1" applyFont="1" applyFill="1"/>
    <xf numFmtId="9" fontId="22" fillId="0" borderId="0" xfId="3" applyFont="1" applyFill="1"/>
    <xf numFmtId="2" fontId="28" fillId="37" borderId="0" xfId="0" applyNumberFormat="1" applyFont="1" applyFill="1" applyBorder="1" applyAlignment="1">
      <alignment horizontal="center" vertical="center" wrapText="1"/>
    </xf>
    <xf numFmtId="9" fontId="20" fillId="33" borderId="16" xfId="3" applyFont="1" applyFill="1" applyBorder="1" applyAlignment="1">
      <alignment horizontal="center"/>
    </xf>
    <xf numFmtId="9" fontId="20" fillId="33" borderId="15" xfId="3" applyFont="1" applyFill="1" applyBorder="1" applyAlignment="1">
      <alignment horizontal="center"/>
    </xf>
    <xf numFmtId="9" fontId="20" fillId="33" borderId="13" xfId="3" applyFont="1" applyFill="1" applyBorder="1" applyAlignment="1">
      <alignment horizontal="center"/>
    </xf>
    <xf numFmtId="39" fontId="20" fillId="33" borderId="14" xfId="0" quotePrefix="1" applyNumberFormat="1" applyFont="1" applyFill="1" applyBorder="1" applyAlignment="1">
      <alignment horizontal="center"/>
    </xf>
    <xf numFmtId="3" fontId="20" fillId="38" borderId="0" xfId="0" applyNumberFormat="1" applyFont="1" applyFill="1" applyBorder="1"/>
    <xf numFmtId="42" fontId="20" fillId="35" borderId="10" xfId="1" applyNumberFormat="1" applyFont="1" applyFill="1" applyBorder="1" applyAlignment="1">
      <alignment horizontal="center" vertical="center"/>
    </xf>
    <xf numFmtId="44" fontId="20" fillId="38" borderId="0" xfId="0" applyNumberFormat="1" applyFont="1" applyFill="1" applyBorder="1" applyAlignment="1">
      <alignment horizontal="center"/>
    </xf>
    <xf numFmtId="0" fontId="18" fillId="33" borderId="0" xfId="0" applyNumberFormat="1" applyFont="1" applyFill="1"/>
    <xf numFmtId="3" fontId="18" fillId="33" borderId="0" xfId="0" applyNumberFormat="1" applyFont="1" applyFill="1"/>
    <xf numFmtId="0" fontId="18" fillId="40" borderId="0" xfId="0" applyNumberFormat="1" applyFont="1" applyFill="1"/>
    <xf numFmtId="0" fontId="41" fillId="40" borderId="0" xfId="0" applyNumberFormat="1" applyFont="1" applyFill="1" applyAlignment="1">
      <alignment horizontal="center"/>
    </xf>
    <xf numFmtId="0" fontId="18" fillId="40" borderId="0" xfId="0" applyNumberFormat="1" applyFont="1" applyFill="1" applyAlignment="1">
      <alignment horizontal="center"/>
    </xf>
    <xf numFmtId="37" fontId="18" fillId="33" borderId="0" xfId="0" applyNumberFormat="1" applyFont="1" applyFill="1"/>
    <xf numFmtId="0" fontId="17" fillId="40" borderId="0" xfId="0" applyNumberFormat="1" applyFont="1" applyFill="1" applyAlignment="1">
      <alignment horizontal="center"/>
    </xf>
    <xf numFmtId="0" fontId="17" fillId="37" borderId="0" xfId="0" applyNumberFormat="1" applyFont="1" applyFill="1" applyAlignment="1">
      <alignment horizontal="center"/>
    </xf>
    <xf numFmtId="37" fontId="18" fillId="42" borderId="0" xfId="0" applyNumberFormat="1" applyFont="1" applyFill="1"/>
    <xf numFmtId="37" fontId="18" fillId="43" borderId="0" xfId="0" applyNumberFormat="1" applyFont="1" applyFill="1"/>
    <xf numFmtId="37" fontId="44" fillId="0" borderId="0" xfId="0" applyNumberFormat="1" applyFont="1" applyFill="1"/>
    <xf numFmtId="37" fontId="41" fillId="44" borderId="0" xfId="0" applyNumberFormat="1" applyFont="1" applyFill="1"/>
    <xf numFmtId="37" fontId="18" fillId="44" borderId="0" xfId="0" applyNumberFormat="1" applyFont="1" applyFill="1"/>
    <xf numFmtId="0" fontId="18" fillId="44" borderId="0" xfId="0" applyFont="1" applyFill="1"/>
    <xf numFmtId="0" fontId="41" fillId="44" borderId="0" xfId="0" applyFont="1" applyFill="1"/>
    <xf numFmtId="0" fontId="17" fillId="43" borderId="0" xfId="0" quotePrefix="1" applyNumberFormat="1" applyFont="1" applyFill="1" applyAlignment="1">
      <alignment horizontal="center"/>
    </xf>
    <xf numFmtId="37" fontId="44" fillId="0" borderId="0" xfId="0" quotePrefix="1" applyNumberFormat="1" applyFont="1" applyFill="1" applyAlignment="1">
      <alignment horizontal="center"/>
    </xf>
    <xf numFmtId="38" fontId="17" fillId="0" borderId="0" xfId="0" quotePrefix="1" applyNumberFormat="1" applyFont="1" applyFill="1" applyAlignment="1">
      <alignment horizontal="center"/>
    </xf>
    <xf numFmtId="0" fontId="18" fillId="43" borderId="0" xfId="0" applyFont="1" applyFill="1"/>
    <xf numFmtId="0" fontId="44" fillId="0" borderId="0" xfId="0" applyFont="1" applyFill="1"/>
    <xf numFmtId="38" fontId="18" fillId="0" borderId="0" xfId="0" applyNumberFormat="1" applyFont="1" applyFill="1"/>
    <xf numFmtId="0" fontId="41" fillId="37" borderId="0" xfId="0" applyFont="1" applyFill="1"/>
    <xf numFmtId="0" fontId="18" fillId="37" borderId="0" xfId="0" applyFont="1" applyFill="1"/>
    <xf numFmtId="0" fontId="41" fillId="43" borderId="0" xfId="0" applyFont="1" applyFill="1"/>
    <xf numFmtId="0" fontId="44" fillId="0" borderId="0" xfId="0" applyNumberFormat="1" applyFont="1" applyFill="1" applyAlignment="1">
      <alignment horizontal="center"/>
    </xf>
    <xf numFmtId="0" fontId="44" fillId="45" borderId="0" xfId="0" applyNumberFormat="1" applyFont="1" applyFill="1" applyAlignment="1">
      <alignment horizontal="center"/>
    </xf>
    <xf numFmtId="0" fontId="18" fillId="43" borderId="0" xfId="0" applyNumberFormat="1" applyFont="1" applyFill="1" applyAlignment="1">
      <alignment horizontal="center"/>
    </xf>
    <xf numFmtId="38" fontId="18" fillId="0" borderId="0" xfId="0" applyNumberFormat="1" applyFont="1" applyFill="1" applyAlignment="1">
      <alignment horizontal="center"/>
    </xf>
    <xf numFmtId="0" fontId="44" fillId="45" borderId="0" xfId="0" applyFont="1" applyFill="1" applyAlignment="1">
      <alignment horizontal="center"/>
    </xf>
    <xf numFmtId="0" fontId="44" fillId="0" borderId="0" xfId="0" applyNumberFormat="1" applyFont="1" applyFill="1"/>
    <xf numFmtId="0" fontId="17" fillId="45" borderId="0" xfId="0" applyFont="1" applyFill="1" applyAlignment="1">
      <alignment horizontal="center"/>
    </xf>
    <xf numFmtId="0" fontId="18" fillId="45" borderId="0" xfId="0" applyNumberFormat="1" applyFont="1" applyFill="1" applyAlignment="1">
      <alignment horizontal="center"/>
    </xf>
    <xf numFmtId="0" fontId="44" fillId="42" borderId="0" xfId="0" applyNumberFormat="1" applyFont="1" applyFill="1" applyAlignment="1">
      <alignment horizontal="center"/>
    </xf>
    <xf numFmtId="0" fontId="18" fillId="43" borderId="0" xfId="0" quotePrefix="1" applyFont="1" applyFill="1" applyAlignment="1">
      <alignment horizontal="center"/>
    </xf>
    <xf numFmtId="0" fontId="44" fillId="0" borderId="0" xfId="0" applyFont="1" applyFill="1" applyAlignment="1">
      <alignment horizontal="center" wrapText="1"/>
    </xf>
    <xf numFmtId="0" fontId="44" fillId="42" borderId="0" xfId="0" quotePrefix="1" applyFont="1" applyFill="1" applyAlignment="1">
      <alignment horizontal="center"/>
    </xf>
    <xf numFmtId="0" fontId="45" fillId="0" borderId="0" xfId="0" quotePrefix="1" applyFont="1" applyAlignment="1">
      <alignment horizontal="center"/>
    </xf>
    <xf numFmtId="0" fontId="44" fillId="0" borderId="0" xfId="0" quotePrefix="1" applyFont="1" applyFill="1" applyAlignment="1">
      <alignment horizontal="center"/>
    </xf>
    <xf numFmtId="3" fontId="18" fillId="0" borderId="0" xfId="0" quotePrefix="1" applyNumberFormat="1" applyFont="1" applyFill="1" applyAlignment="1">
      <alignment horizontal="center"/>
    </xf>
    <xf numFmtId="0" fontId="18" fillId="0" borderId="0" xfId="0" quotePrefix="1" applyFont="1" applyFill="1" applyAlignment="1">
      <alignment horizontal="center"/>
    </xf>
    <xf numFmtId="0" fontId="18" fillId="37" borderId="0" xfId="0" applyNumberFormat="1" applyFont="1" applyFill="1" applyAlignment="1">
      <alignment horizontal="center"/>
    </xf>
    <xf numFmtId="0" fontId="17" fillId="43" borderId="0" xfId="0" applyNumberFormat="1" applyFont="1" applyFill="1" applyAlignment="1">
      <alignment horizontal="center"/>
    </xf>
    <xf numFmtId="0" fontId="18" fillId="45" borderId="0" xfId="0" applyNumberFormat="1" applyFont="1" applyFill="1"/>
    <xf numFmtId="0" fontId="44" fillId="43" borderId="0" xfId="0" applyNumberFormat="1" applyFont="1" applyFill="1" applyAlignment="1">
      <alignment horizontal="center"/>
    </xf>
    <xf numFmtId="0" fontId="46" fillId="0" borderId="10" xfId="0" applyFont="1" applyFill="1" applyBorder="1"/>
    <xf numFmtId="4" fontId="0" fillId="0" borderId="0" xfId="0" applyNumberFormat="1"/>
    <xf numFmtId="3" fontId="0" fillId="0" borderId="0" xfId="0" applyNumberFormat="1"/>
    <xf numFmtId="38" fontId="22" fillId="0" borderId="0" xfId="0" applyNumberFormat="1" applyFont="1" applyFill="1"/>
    <xf numFmtId="0" fontId="46" fillId="33" borderId="10" xfId="0" applyFont="1" applyFill="1" applyBorder="1"/>
    <xf numFmtId="0" fontId="46" fillId="45" borderId="10" xfId="0" applyFont="1" applyFill="1" applyBorder="1"/>
    <xf numFmtId="0" fontId="28" fillId="0" borderId="0" xfId="0" applyFont="1" applyBorder="1" applyAlignment="1">
      <alignment horizontal="center" vertical="center" wrapText="1"/>
    </xf>
    <xf numFmtId="0" fontId="28" fillId="0" borderId="0" xfId="0" quotePrefix="1" applyFont="1" applyBorder="1" applyAlignment="1">
      <alignment horizontal="center" vertical="center" wrapText="1"/>
    </xf>
    <xf numFmtId="0" fontId="28" fillId="0" borderId="10" xfId="0" applyNumberFormat="1" applyFont="1" applyFill="1" applyBorder="1" applyAlignment="1">
      <alignment horizontal="center" vertical="center"/>
    </xf>
    <xf numFmtId="0" fontId="20" fillId="0" borderId="10" xfId="0" quotePrefix="1" applyFont="1" applyBorder="1" applyAlignment="1">
      <alignment horizontal="center" vertical="center" wrapText="1"/>
    </xf>
    <xf numFmtId="42" fontId="20" fillId="0" borderId="10" xfId="0" applyNumberFormat="1" applyFont="1" applyBorder="1" applyAlignment="1">
      <alignment horizontal="center" vertical="center" wrapText="1"/>
    </xf>
    <xf numFmtId="0" fontId="27" fillId="0" borderId="0" xfId="0" applyFont="1" applyAlignment="1" applyProtection="1">
      <alignment vertical="center"/>
    </xf>
    <xf numFmtId="10" fontId="30" fillId="36" borderId="10" xfId="3" applyNumberFormat="1" applyFont="1" applyFill="1" applyBorder="1" applyAlignment="1" applyProtection="1">
      <alignment horizontal="center" vertical="center"/>
      <protection locked="0"/>
    </xf>
    <xf numFmtId="0" fontId="27" fillId="0" borderId="10" xfId="0" applyFont="1" applyBorder="1" applyAlignment="1">
      <alignment horizontal="left" vertical="center" wrapText="1"/>
    </xf>
    <xf numFmtId="0" fontId="20" fillId="38" borderId="0" xfId="44" applyFont="1" applyFill="1" applyAlignment="1">
      <alignment horizontal="left" vertical="center" wrapText="1"/>
    </xf>
    <xf numFmtId="0" fontId="27" fillId="0" borderId="0" xfId="0" applyFont="1" applyAlignment="1">
      <alignment horizontal="left" vertical="center" wrapText="1"/>
    </xf>
    <xf numFmtId="0" fontId="36" fillId="0" borderId="10" xfId="0" applyFont="1" applyBorder="1" applyAlignment="1">
      <alignment horizontal="center" vertical="center"/>
    </xf>
    <xf numFmtId="0" fontId="17" fillId="0" borderId="21" xfId="4" applyFont="1" applyBorder="1" applyAlignment="1">
      <alignment horizontal="left" vertical="center" wrapText="1"/>
    </xf>
    <xf numFmtId="0" fontId="17" fillId="0" borderId="0" xfId="4" applyFont="1" applyBorder="1" applyAlignment="1">
      <alignment horizontal="left" vertical="center" wrapText="1"/>
    </xf>
    <xf numFmtId="0" fontId="41"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xf>
    <xf numFmtId="0" fontId="20" fillId="0" borderId="17"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2" fillId="0" borderId="21" xfId="0" applyFont="1" applyBorder="1" applyAlignment="1">
      <alignment horizontal="left" vertical="top" wrapText="1"/>
    </xf>
    <xf numFmtId="0" fontId="22" fillId="0" borderId="0" xfId="0" applyFont="1" applyBorder="1" applyAlignment="1">
      <alignment horizontal="left" vertical="top" wrapText="1"/>
    </xf>
    <xf numFmtId="0" fontId="28" fillId="0" borderId="10" xfId="6" applyFont="1" applyBorder="1" applyAlignment="1">
      <alignment horizontal="center" vertical="center"/>
    </xf>
    <xf numFmtId="0" fontId="20" fillId="38" borderId="11" xfId="0" applyFont="1" applyFill="1" applyBorder="1" applyAlignment="1">
      <alignment horizontal="center" vertical="center"/>
    </xf>
    <xf numFmtId="0" fontId="20" fillId="38" borderId="17" xfId="0" applyFont="1" applyFill="1" applyBorder="1" applyAlignment="1">
      <alignment horizontal="center" vertical="center"/>
    </xf>
    <xf numFmtId="0" fontId="20"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2" fillId="0" borderId="0" xfId="0" applyFont="1" applyAlignment="1">
      <alignment horizontal="left" vertical="center" wrapText="1"/>
    </xf>
    <xf numFmtId="0" fontId="20" fillId="0" borderId="0" xfId="4" applyFont="1" applyBorder="1" applyAlignment="1">
      <alignment horizontal="left" vertical="center" wrapText="1"/>
    </xf>
    <xf numFmtId="0" fontId="27" fillId="0" borderId="0" xfId="0" applyFont="1" applyBorder="1" applyAlignment="1">
      <alignment horizontal="left" vertical="top"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6" xr:uid="{00000000-0005-0000-0000-00001C000000}"/>
    <cellStyle name="Currency" xfId="2" builtinId="4"/>
    <cellStyle name="Explanatory Text" xfId="18" builtinId="53" customBuiltin="1"/>
    <cellStyle name="Followed Hyperlink" xfId="48" builtinId="9" hidden="1"/>
    <cellStyle name="Followed Hyperlink" xfId="49" builtinId="9" hidden="1"/>
    <cellStyle name="Followed Hyperlink" xfId="50" builtinId="9" hidde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3" xfId="47" xr:uid="{00000000-0005-0000-0000-00002C000000}"/>
    <cellStyle name="Note" xfId="17" builtinId="10" customBuiltin="1"/>
    <cellStyle name="Output" xfId="12" builtinId="21" customBuiltin="1"/>
    <cellStyle name="Percent" xfId="3" builtinId="5"/>
    <cellStyle name="Title 2" xfId="45" xr:uid="{00000000-0005-0000-0000-000030000000}"/>
    <cellStyle name="Total" xfId="19" builtinId="25" customBuiltin="1"/>
    <cellStyle name="Warning Text" xfId="16" builtinId="11" customBuiltin="1"/>
  </cellStyles>
  <dxfs count="99">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D7D31"/>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Modeled</a:t>
            </a:r>
            <a:r>
              <a:rPr lang="en-US" baseline="0"/>
              <a:t> Aggregate ECS Phase-in</a:t>
            </a:r>
            <a:endParaRPr lang="en-US"/>
          </a:p>
        </c:rich>
      </c:tx>
      <c:overlay val="0"/>
    </c:title>
    <c:autoTitleDeleted val="0"/>
    <c:plotArea>
      <c:layout/>
      <c:barChart>
        <c:barDir val="col"/>
        <c:grouping val="clustered"/>
        <c:varyColors val="0"/>
        <c:ser>
          <c:idx val="0"/>
          <c:order val="1"/>
          <c:tx>
            <c:strRef>
              <c:f>Inputs!$B$90</c:f>
              <c:strCache>
                <c:ptCount val="1"/>
                <c:pt idx="0">
                  <c:v>Modeled Aggregate
ECS ($M)</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Inputs!$C$89:$K$89</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Inputs!$C$90:$K$90</c:f>
              <c:numCache>
                <c:formatCode>_("$"* #,##0_);_("$"* \(#,##0\);_("$"* "-"_);_(@_)</c:formatCode>
                <c:ptCount val="9"/>
                <c:pt idx="0">
                  <c:v>2139</c:v>
                </c:pt>
                <c:pt idx="1">
                  <c:v>2185</c:v>
                </c:pt>
                <c:pt idx="2">
                  <c:v>2223</c:v>
                </c:pt>
                <c:pt idx="3">
                  <c:v>2262</c:v>
                </c:pt>
                <c:pt idx="4">
                  <c:v>2300</c:v>
                </c:pt>
                <c:pt idx="5">
                  <c:v>2339</c:v>
                </c:pt>
                <c:pt idx="6">
                  <c:v>2376</c:v>
                </c:pt>
                <c:pt idx="7">
                  <c:v>2369</c:v>
                </c:pt>
                <c:pt idx="8">
                  <c:v>2360</c:v>
                </c:pt>
              </c:numCache>
            </c:numRef>
          </c:val>
          <c:extLst>
            <c:ext xmlns:c16="http://schemas.microsoft.com/office/drawing/2014/chart" uri="{C3380CC4-5D6E-409C-BE32-E72D297353CC}">
              <c16:uniqueId val="{00000000-B1F7-4F36-865A-45CB220395A2}"/>
            </c:ext>
          </c:extLst>
        </c:ser>
        <c:ser>
          <c:idx val="2"/>
          <c:order val="2"/>
          <c:tx>
            <c:strRef>
              <c:f>Inputs!$B$91</c:f>
              <c:strCache>
                <c:ptCount val="1"/>
                <c:pt idx="0">
                  <c:v>Current Law ECS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Inputs!$C$89:$K$89</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Inputs!$C$91:$K$91</c:f>
              <c:numCache>
                <c:formatCode>_("$"* #,##0_);_("$"* \(#,##0\);_("$"* "-"_);_(@_)</c:formatCode>
                <c:ptCount val="9"/>
                <c:pt idx="0">
                  <c:v>2139</c:v>
                </c:pt>
                <c:pt idx="1">
                  <c:v>2185</c:v>
                </c:pt>
                <c:pt idx="2">
                  <c:v>2223</c:v>
                </c:pt>
                <c:pt idx="3">
                  <c:v>2262</c:v>
                </c:pt>
                <c:pt idx="4">
                  <c:v>2300</c:v>
                </c:pt>
                <c:pt idx="5">
                  <c:v>2339</c:v>
                </c:pt>
                <c:pt idx="6">
                  <c:v>2376</c:v>
                </c:pt>
                <c:pt idx="7">
                  <c:v>2369</c:v>
                </c:pt>
                <c:pt idx="8">
                  <c:v>2360</c:v>
                </c:pt>
              </c:numCache>
            </c:numRef>
          </c:val>
          <c:extLst>
            <c:ext xmlns:c16="http://schemas.microsoft.com/office/drawing/2014/chart" uri="{C3380CC4-5D6E-409C-BE32-E72D297353CC}">
              <c16:uniqueId val="{00000000-4B03-493E-B546-A81C117EA31C}"/>
            </c:ext>
          </c:extLst>
        </c:ser>
        <c:dLbls>
          <c:dLblPos val="ctr"/>
          <c:showLegendKey val="0"/>
          <c:showVal val="1"/>
          <c:showCatName val="0"/>
          <c:showSerName val="0"/>
          <c:showPercent val="0"/>
          <c:showBubbleSize val="0"/>
        </c:dLbls>
        <c:gapWidth val="150"/>
        <c:axId val="1909851616"/>
        <c:axId val="1909852704"/>
        <c:extLst>
          <c:ext xmlns:c15="http://schemas.microsoft.com/office/drawing/2012/chart" uri="{02D57815-91ED-43cb-92C2-25804820EDAC}">
            <c15:filteredBarSeries>
              <c15:ser>
                <c:idx val="1"/>
                <c:order val="0"/>
                <c:tx>
                  <c:strRef>
                    <c:extLst>
                      <c:ext uri="{02D57815-91ED-43cb-92C2-25804820EDAC}">
                        <c15:formulaRef>
                          <c15:sqref>Inputs!$B$89</c15:sqref>
                        </c15:formulaRef>
                      </c:ext>
                    </c:extLst>
                    <c:strCache>
                      <c:ptCount val="1"/>
                      <c:pt idx="0">
                        <c:v>Fiscal Year</c:v>
                      </c:pt>
                    </c:strCache>
                  </c:strRef>
                </c:tx>
                <c:invertIfNegative val="0"/>
                <c:dLbls>
                  <c:spPr>
                    <a:noFill/>
                    <a:ln>
                      <a:noFill/>
                    </a:ln>
                    <a:effectLst/>
                  </c:spPr>
                  <c:dLblPos val="ct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Inputs!$C$89:$K$89</c15:sqref>
                        </c15:formulaRef>
                      </c:ext>
                    </c:extLst>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uri="{02D57815-91ED-43cb-92C2-25804820EDAC}">
                        <c15:formulaRef>
                          <c15:sqref>Inputs!$C$89:$K$89</c15:sqref>
                        </c15:formulaRef>
                      </c:ext>
                    </c:extLst>
                    <c:numCache>
                      <c:formatCode>General</c:formatCode>
                      <c:ptCount val="9"/>
                      <c:pt idx="0">
                        <c:v>2022</c:v>
                      </c:pt>
                      <c:pt idx="1">
                        <c:v>2023</c:v>
                      </c:pt>
                      <c:pt idx="2">
                        <c:v>2024</c:v>
                      </c:pt>
                      <c:pt idx="3">
                        <c:v>2025</c:v>
                      </c:pt>
                      <c:pt idx="4">
                        <c:v>2026</c:v>
                      </c:pt>
                      <c:pt idx="5">
                        <c:v>2027</c:v>
                      </c:pt>
                      <c:pt idx="6">
                        <c:v>2028</c:v>
                      </c:pt>
                      <c:pt idx="7">
                        <c:v>2029</c:v>
                      </c:pt>
                      <c:pt idx="8">
                        <c:v>2030</c:v>
                      </c:pt>
                    </c:numCache>
                  </c:numRef>
                </c:val>
                <c:extLst>
                  <c:ext xmlns:c16="http://schemas.microsoft.com/office/drawing/2014/chart" uri="{C3380CC4-5D6E-409C-BE32-E72D297353CC}">
                    <c16:uniqueId val="{00000003-B4D6-49EB-95DE-66844DFAC582}"/>
                  </c:ext>
                </c:extLst>
              </c15:ser>
            </c15:filteredBarSeries>
          </c:ext>
        </c:extLst>
      </c:barChart>
      <c:catAx>
        <c:axId val="1909851616"/>
        <c:scaling>
          <c:orientation val="minMax"/>
        </c:scaling>
        <c:delete val="0"/>
        <c:axPos val="b"/>
        <c:title>
          <c:tx>
            <c:rich>
              <a:bodyPr/>
              <a:lstStyle/>
              <a:p>
                <a:pPr>
                  <a:defRPr/>
                </a:pPr>
                <a:r>
                  <a:rPr lang="en-US"/>
                  <a:t>Fiscal</a:t>
                </a:r>
                <a:r>
                  <a:rPr lang="en-US" baseline="0"/>
                  <a:t> Year</a:t>
                </a:r>
                <a:endParaRPr lang="en-US"/>
              </a:p>
            </c:rich>
          </c:tx>
          <c:overlay val="0"/>
        </c:title>
        <c:numFmt formatCode="General" sourceLinked="1"/>
        <c:majorTickMark val="out"/>
        <c:minorTickMark val="none"/>
        <c:tickLblPos val="nextTo"/>
        <c:txPr>
          <a:bodyPr/>
          <a:lstStyle/>
          <a:p>
            <a:pPr>
              <a:defRPr sz="800"/>
            </a:pPr>
            <a:endParaRPr lang="en-US"/>
          </a:p>
        </c:txPr>
        <c:crossAx val="1909852704"/>
        <c:crosses val="autoZero"/>
        <c:auto val="1"/>
        <c:lblAlgn val="ctr"/>
        <c:lblOffset val="100"/>
        <c:noMultiLvlLbl val="0"/>
      </c:catAx>
      <c:valAx>
        <c:axId val="1909852704"/>
        <c:scaling>
          <c:orientation val="minMax"/>
          <c:min val="0"/>
        </c:scaling>
        <c:delete val="0"/>
        <c:axPos val="l"/>
        <c:title>
          <c:tx>
            <c:rich>
              <a:bodyPr rot="-5400000" vert="horz"/>
              <a:lstStyle/>
              <a:p>
                <a:pPr>
                  <a:defRPr/>
                </a:pPr>
                <a:r>
                  <a:rPr lang="en-US"/>
                  <a:t>Aggregate</a:t>
                </a:r>
                <a:r>
                  <a:rPr lang="en-US" baseline="0"/>
                  <a:t> ECS Grants (Millions of $)</a:t>
                </a:r>
                <a:endParaRPr lang="en-US"/>
              </a:p>
            </c:rich>
          </c:tx>
          <c:overlay val="0"/>
        </c:title>
        <c:numFmt formatCode="&quot;$&quot;#,##0" sourceLinked="0"/>
        <c:majorTickMark val="out"/>
        <c:minorTickMark val="none"/>
        <c:tickLblPos val="nextTo"/>
        <c:crossAx val="1909851616"/>
        <c:crosses val="autoZero"/>
        <c:crossBetween val="between"/>
      </c:valAx>
    </c:plotArea>
    <c:legend>
      <c:legendPos val="r"/>
      <c:overlay val="0"/>
    </c:legend>
    <c:plotVisOnly val="1"/>
    <c:dispBlanksAs val="gap"/>
    <c:showDLblsOverMax val="0"/>
  </c:chart>
  <c:spPr>
    <a:ln>
      <a:noFill/>
    </a:ln>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Modeled Town ECS Phase-in </a:t>
            </a:r>
          </a:p>
        </c:rich>
      </c:tx>
      <c:overlay val="0"/>
    </c:title>
    <c:autoTitleDeleted val="0"/>
    <c:plotArea>
      <c:layout/>
      <c:barChart>
        <c:barDir val="col"/>
        <c:grouping val="clustered"/>
        <c:varyColors val="0"/>
        <c:ser>
          <c:idx val="0"/>
          <c:order val="1"/>
          <c:tx>
            <c:strRef>
              <c:f>Inputs!$B$122</c:f>
              <c:strCache>
                <c:ptCount val="1"/>
                <c:pt idx="0">
                  <c:v>Modeled Town ECS ($Thousands)</c:v>
                </c:pt>
              </c:strCache>
            </c:strRef>
          </c:tx>
          <c:spPr>
            <a:solidFill>
              <a:srgbClr val="5B9BD5">
                <a:lumMod val="75000"/>
              </a:srgbClr>
            </a:solidFill>
            <a:ln w="28575">
              <a:no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Inputs!$C$121:$K$121</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Inputs!$C$122:$K$122</c:f>
              <c:numCache>
                <c:formatCode>_("$"* #,##0_);_("$"* \(#,##0\);_("$"* "-"_);_(@_)</c:formatCode>
                <c:ptCount val="9"/>
                <c:pt idx="0">
                  <c:v>2005</c:v>
                </c:pt>
                <c:pt idx="1">
                  <c:v>2005</c:v>
                </c:pt>
                <c:pt idx="2">
                  <c:v>1948</c:v>
                </c:pt>
                <c:pt idx="3">
                  <c:v>1891</c:v>
                </c:pt>
                <c:pt idx="4">
                  <c:v>1833</c:v>
                </c:pt>
                <c:pt idx="5">
                  <c:v>1776</c:v>
                </c:pt>
                <c:pt idx="6">
                  <c:v>1719</c:v>
                </c:pt>
                <c:pt idx="7">
                  <c:v>1662</c:v>
                </c:pt>
                <c:pt idx="8">
                  <c:v>1645</c:v>
                </c:pt>
              </c:numCache>
            </c:numRef>
          </c:val>
          <c:extLst>
            <c:ext xmlns:c16="http://schemas.microsoft.com/office/drawing/2014/chart" uri="{C3380CC4-5D6E-409C-BE32-E72D297353CC}">
              <c16:uniqueId val="{00000000-9501-4484-A61B-2BBA3A6FB34F}"/>
            </c:ext>
          </c:extLst>
        </c:ser>
        <c:ser>
          <c:idx val="2"/>
          <c:order val="2"/>
          <c:tx>
            <c:strRef>
              <c:f>Inputs!$B$123</c:f>
              <c:strCache>
                <c:ptCount val="1"/>
                <c:pt idx="0">
                  <c:v>Current Law ECS</c:v>
                </c:pt>
              </c:strCache>
            </c:strRef>
          </c:tx>
          <c:spPr>
            <a:solidFill>
              <a:srgbClr val="ED7D31"/>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Inputs!$C$121:$K$121</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Inputs!$C$123:$K$123</c:f>
              <c:numCache>
                <c:formatCode>_("$"* #,##0_);_("$"* \(#,##0\);_("$"* "-"_);_(@_)</c:formatCode>
                <c:ptCount val="9"/>
                <c:pt idx="0">
                  <c:v>2005</c:v>
                </c:pt>
                <c:pt idx="1">
                  <c:v>2005</c:v>
                </c:pt>
                <c:pt idx="2">
                  <c:v>1948</c:v>
                </c:pt>
                <c:pt idx="3">
                  <c:v>1891</c:v>
                </c:pt>
                <c:pt idx="4">
                  <c:v>1833</c:v>
                </c:pt>
                <c:pt idx="5">
                  <c:v>1776</c:v>
                </c:pt>
                <c:pt idx="6">
                  <c:v>1719</c:v>
                </c:pt>
                <c:pt idx="7">
                  <c:v>1662</c:v>
                </c:pt>
                <c:pt idx="8">
                  <c:v>1645</c:v>
                </c:pt>
              </c:numCache>
            </c:numRef>
          </c:val>
          <c:extLst>
            <c:ext xmlns:c16="http://schemas.microsoft.com/office/drawing/2014/chart" uri="{C3380CC4-5D6E-409C-BE32-E72D297353CC}">
              <c16:uniqueId val="{00000000-4D6C-4518-B965-9B2CE86CF9F0}"/>
            </c:ext>
          </c:extLst>
        </c:ser>
        <c:dLbls>
          <c:dLblPos val="ctr"/>
          <c:showLegendKey val="0"/>
          <c:showVal val="1"/>
          <c:showCatName val="0"/>
          <c:showSerName val="0"/>
          <c:showPercent val="0"/>
          <c:showBubbleSize val="0"/>
        </c:dLbls>
        <c:gapWidth val="150"/>
        <c:axId val="1909853792"/>
        <c:axId val="1909854880"/>
        <c:extLst>
          <c:ext xmlns:c15="http://schemas.microsoft.com/office/drawing/2012/chart" uri="{02D57815-91ED-43cb-92C2-25804820EDAC}">
            <c15:filteredBarSeries>
              <c15:ser>
                <c:idx val="1"/>
                <c:order val="0"/>
                <c:tx>
                  <c:strRef>
                    <c:extLst>
                      <c:ext uri="{02D57815-91ED-43cb-92C2-25804820EDAC}">
                        <c15:formulaRef>
                          <c15:sqref>Inputs!$B$121</c15:sqref>
                        </c15:formulaRef>
                      </c:ext>
                    </c:extLst>
                    <c:strCache>
                      <c:ptCount val="1"/>
                      <c:pt idx="0">
                        <c:v>Fiscal Year</c:v>
                      </c:pt>
                    </c:strCache>
                  </c:strRef>
                </c:tx>
                <c:invertIfNegative val="0"/>
                <c:dLbls>
                  <c:spPr>
                    <a:noFill/>
                    <a:ln>
                      <a:noFill/>
                    </a:ln>
                    <a:effectLst/>
                  </c:spPr>
                  <c:dLblPos val="ct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Inputs!$C$121:$K$121</c15:sqref>
                        </c15:formulaRef>
                      </c:ext>
                    </c:extLst>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extLst>
                      <c:ext uri="{02D57815-91ED-43cb-92C2-25804820EDAC}">
                        <c15:formulaRef>
                          <c15:sqref>Inputs!$C$121:$K$121</c15:sqref>
                        </c15:formulaRef>
                      </c:ext>
                    </c:extLst>
                    <c:numCache>
                      <c:formatCode>General</c:formatCode>
                      <c:ptCount val="9"/>
                      <c:pt idx="0">
                        <c:v>2022</c:v>
                      </c:pt>
                      <c:pt idx="1">
                        <c:v>2023</c:v>
                      </c:pt>
                      <c:pt idx="2">
                        <c:v>2024</c:v>
                      </c:pt>
                      <c:pt idx="3">
                        <c:v>2025</c:v>
                      </c:pt>
                      <c:pt idx="4">
                        <c:v>2026</c:v>
                      </c:pt>
                      <c:pt idx="5">
                        <c:v>2027</c:v>
                      </c:pt>
                      <c:pt idx="6">
                        <c:v>2028</c:v>
                      </c:pt>
                      <c:pt idx="7">
                        <c:v>2029</c:v>
                      </c:pt>
                      <c:pt idx="8">
                        <c:v>2030</c:v>
                      </c:pt>
                    </c:numCache>
                  </c:numRef>
                </c:val>
                <c:extLst>
                  <c:ext xmlns:c16="http://schemas.microsoft.com/office/drawing/2014/chart" uri="{C3380CC4-5D6E-409C-BE32-E72D297353CC}">
                    <c16:uniqueId val="{00000002-F93A-4639-A9BC-F868F836AE01}"/>
                  </c:ext>
                </c:extLst>
              </c15:ser>
            </c15:filteredBarSeries>
          </c:ext>
        </c:extLst>
      </c:barChart>
      <c:catAx>
        <c:axId val="1909853792"/>
        <c:scaling>
          <c:orientation val="minMax"/>
        </c:scaling>
        <c:delete val="0"/>
        <c:axPos val="b"/>
        <c:title>
          <c:tx>
            <c:rich>
              <a:bodyPr/>
              <a:lstStyle/>
              <a:p>
                <a:pPr>
                  <a:defRPr/>
                </a:pPr>
                <a:r>
                  <a:rPr lang="en-US"/>
                  <a:t>Fiscal</a:t>
                </a:r>
                <a:r>
                  <a:rPr lang="en-US" baseline="0"/>
                  <a:t> Year</a:t>
                </a:r>
                <a:endParaRPr lang="en-US"/>
              </a:p>
            </c:rich>
          </c:tx>
          <c:overlay val="0"/>
        </c:title>
        <c:numFmt formatCode="General" sourceLinked="1"/>
        <c:majorTickMark val="out"/>
        <c:minorTickMark val="none"/>
        <c:tickLblPos val="nextTo"/>
        <c:txPr>
          <a:bodyPr/>
          <a:lstStyle/>
          <a:p>
            <a:pPr>
              <a:defRPr sz="800"/>
            </a:pPr>
            <a:endParaRPr lang="en-US"/>
          </a:p>
        </c:txPr>
        <c:crossAx val="1909854880"/>
        <c:crosses val="autoZero"/>
        <c:auto val="1"/>
        <c:lblAlgn val="ctr"/>
        <c:lblOffset val="100"/>
        <c:noMultiLvlLbl val="0"/>
      </c:catAx>
      <c:valAx>
        <c:axId val="1909854880"/>
        <c:scaling>
          <c:orientation val="minMax"/>
          <c:min val="0"/>
        </c:scaling>
        <c:delete val="0"/>
        <c:axPos val="l"/>
        <c:title>
          <c:tx>
            <c:rich>
              <a:bodyPr rot="-5400000" vert="horz"/>
              <a:lstStyle/>
              <a:p>
                <a:pPr>
                  <a:defRPr/>
                </a:pPr>
                <a:r>
                  <a:rPr lang="en-US"/>
                  <a:t>Town</a:t>
                </a:r>
                <a:r>
                  <a:rPr lang="en-US" baseline="0"/>
                  <a:t> ECS Grants (Thousands of $)</a:t>
                </a:r>
                <a:endParaRPr lang="en-US"/>
              </a:p>
            </c:rich>
          </c:tx>
          <c:overlay val="0"/>
        </c:title>
        <c:numFmt formatCode="&quot;$&quot;#,##0" sourceLinked="0"/>
        <c:majorTickMark val="out"/>
        <c:minorTickMark val="none"/>
        <c:tickLblPos val="nextTo"/>
        <c:crossAx val="1909853792"/>
        <c:crosses val="autoZero"/>
        <c:crossBetween val="between"/>
      </c:valAx>
    </c:plotArea>
    <c:legend>
      <c:legendPos val="r"/>
      <c:overlay val="0"/>
    </c:legend>
    <c:plotVisOnly val="1"/>
    <c:dispBlanksAs val="gap"/>
    <c:showDLblsOverMax val="0"/>
  </c:chart>
  <c:spPr>
    <a:ln>
      <a:noFill/>
    </a:ln>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881744</xdr:colOff>
      <xdr:row>92</xdr:row>
      <xdr:rowOff>3</xdr:rowOff>
    </xdr:from>
    <xdr:to>
      <xdr:col>12</xdr:col>
      <xdr:colOff>762000</xdr:colOff>
      <xdr:row>112</xdr:row>
      <xdr:rowOff>78922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847722</xdr:colOff>
      <xdr:row>124</xdr:row>
      <xdr:rowOff>54428</xdr:rowOff>
    </xdr:from>
    <xdr:to>
      <xdr:col>12</xdr:col>
      <xdr:colOff>911678</xdr:colOff>
      <xdr:row>144</xdr:row>
      <xdr:rowOff>146956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L31"/>
  <sheetViews>
    <sheetView showGridLines="0" tabSelected="1" workbookViewId="0"/>
  </sheetViews>
  <sheetFormatPr baseColWidth="10" defaultColWidth="9.1640625" defaultRowHeight="13" x14ac:dyDescent="0.15"/>
  <cols>
    <col min="1" max="1" width="21.33203125" style="107" bestFit="1" customWidth="1"/>
    <col min="2" max="2" width="10.1640625" style="107" bestFit="1" customWidth="1"/>
    <col min="3" max="16384" width="9.1640625" style="107"/>
  </cols>
  <sheetData>
    <row r="1" spans="1:12" ht="15" thickBot="1" x14ac:dyDescent="0.2">
      <c r="A1" s="212" t="s">
        <v>182</v>
      </c>
      <c r="B1" s="213" t="s">
        <v>265</v>
      </c>
    </row>
    <row r="2" spans="1:12" ht="15" thickTop="1" x14ac:dyDescent="0.15">
      <c r="A2" s="4" t="s">
        <v>266</v>
      </c>
      <c r="B2" s="109">
        <v>44396</v>
      </c>
    </row>
    <row r="3" spans="1:12" ht="14" x14ac:dyDescent="0.15">
      <c r="B3" s="109"/>
    </row>
    <row r="4" spans="1:12" ht="14" x14ac:dyDescent="0.15">
      <c r="B4" s="214" t="s">
        <v>356</v>
      </c>
    </row>
    <row r="6" spans="1:12" ht="12.75" customHeight="1" x14ac:dyDescent="0.15">
      <c r="B6" s="368" t="s">
        <v>685</v>
      </c>
      <c r="C6" s="368"/>
      <c r="D6" s="368"/>
      <c r="E6" s="368"/>
      <c r="F6" s="368"/>
      <c r="G6" s="368"/>
      <c r="H6" s="368"/>
      <c r="I6" s="368"/>
      <c r="J6" s="368"/>
      <c r="K6" s="368"/>
      <c r="L6" s="368"/>
    </row>
    <row r="7" spans="1:12" x14ac:dyDescent="0.15">
      <c r="B7" s="368"/>
      <c r="C7" s="368"/>
      <c r="D7" s="368"/>
      <c r="E7" s="368"/>
      <c r="F7" s="368"/>
      <c r="G7" s="368"/>
      <c r="H7" s="368"/>
      <c r="I7" s="368"/>
      <c r="J7" s="368"/>
      <c r="K7" s="368"/>
      <c r="L7" s="368"/>
    </row>
    <row r="8" spans="1:12" x14ac:dyDescent="0.15">
      <c r="B8" s="368"/>
      <c r="C8" s="368"/>
      <c r="D8" s="368"/>
      <c r="E8" s="368"/>
      <c r="F8" s="368"/>
      <c r="G8" s="368"/>
      <c r="H8" s="368"/>
      <c r="I8" s="368"/>
      <c r="J8" s="368"/>
      <c r="K8" s="368"/>
      <c r="L8" s="368"/>
    </row>
    <row r="9" spans="1:12" x14ac:dyDescent="0.15">
      <c r="B9" s="368"/>
      <c r="C9" s="368"/>
      <c r="D9" s="368"/>
      <c r="E9" s="368"/>
      <c r="F9" s="368"/>
      <c r="G9" s="368"/>
      <c r="H9" s="368"/>
      <c r="I9" s="368"/>
      <c r="J9" s="368"/>
      <c r="K9" s="368"/>
      <c r="L9" s="368"/>
    </row>
    <row r="10" spans="1:12" x14ac:dyDescent="0.15">
      <c r="B10" s="368"/>
      <c r="C10" s="368"/>
      <c r="D10" s="368"/>
      <c r="E10" s="368"/>
      <c r="F10" s="368"/>
      <c r="G10" s="368"/>
      <c r="H10" s="368"/>
      <c r="I10" s="368"/>
      <c r="J10" s="368"/>
      <c r="K10" s="368"/>
      <c r="L10" s="368"/>
    </row>
    <row r="11" spans="1:12" x14ac:dyDescent="0.15">
      <c r="B11" s="368"/>
      <c r="C11" s="368"/>
      <c r="D11" s="368"/>
      <c r="E11" s="368"/>
      <c r="F11" s="368"/>
      <c r="G11" s="368"/>
      <c r="H11" s="368"/>
      <c r="I11" s="368"/>
      <c r="J11" s="368"/>
      <c r="K11" s="368"/>
      <c r="L11" s="368"/>
    </row>
    <row r="12" spans="1:12" ht="12.75" customHeight="1" x14ac:dyDescent="0.15">
      <c r="B12" s="368" t="s">
        <v>359</v>
      </c>
      <c r="C12" s="368"/>
      <c r="D12" s="368"/>
      <c r="E12" s="368"/>
      <c r="F12" s="368"/>
      <c r="G12" s="368"/>
      <c r="H12" s="368"/>
      <c r="I12" s="368"/>
      <c r="J12" s="368"/>
      <c r="K12" s="368"/>
      <c r="L12" s="368"/>
    </row>
    <row r="13" spans="1:12" x14ac:dyDescent="0.15">
      <c r="B13" s="368"/>
      <c r="C13" s="368"/>
      <c r="D13" s="368"/>
      <c r="E13" s="368"/>
      <c r="F13" s="368"/>
      <c r="G13" s="368"/>
      <c r="H13" s="368"/>
      <c r="I13" s="368"/>
      <c r="J13" s="368"/>
      <c r="K13" s="368"/>
      <c r="L13" s="368"/>
    </row>
    <row r="14" spans="1:12" x14ac:dyDescent="0.15">
      <c r="B14" s="368"/>
      <c r="C14" s="368"/>
      <c r="D14" s="368"/>
      <c r="E14" s="368"/>
      <c r="F14" s="368"/>
      <c r="G14" s="368"/>
      <c r="H14" s="368"/>
      <c r="I14" s="368"/>
      <c r="J14" s="368"/>
      <c r="K14" s="368"/>
      <c r="L14" s="368"/>
    </row>
    <row r="15" spans="1:12" x14ac:dyDescent="0.15">
      <c r="B15" s="368"/>
      <c r="C15" s="368"/>
      <c r="D15" s="368"/>
      <c r="E15" s="368"/>
      <c r="F15" s="368"/>
      <c r="G15" s="368"/>
      <c r="H15" s="368"/>
      <c r="I15" s="368"/>
      <c r="J15" s="368"/>
      <c r="K15" s="368"/>
      <c r="L15" s="368"/>
    </row>
    <row r="16" spans="1:12" x14ac:dyDescent="0.15">
      <c r="B16" s="368"/>
      <c r="C16" s="368"/>
      <c r="D16" s="368"/>
      <c r="E16" s="368"/>
      <c r="F16" s="368"/>
      <c r="G16" s="368"/>
      <c r="H16" s="368"/>
      <c r="I16" s="368"/>
      <c r="J16" s="368"/>
      <c r="K16" s="368"/>
      <c r="L16" s="368"/>
    </row>
    <row r="17" spans="2:12" ht="12.75" customHeight="1" x14ac:dyDescent="0.15">
      <c r="B17" s="368" t="s">
        <v>354</v>
      </c>
      <c r="C17" s="368"/>
      <c r="D17" s="368"/>
      <c r="E17" s="368"/>
      <c r="F17" s="368"/>
      <c r="G17" s="368"/>
      <c r="H17" s="368"/>
      <c r="I17" s="368"/>
      <c r="J17" s="368"/>
      <c r="K17" s="368"/>
      <c r="L17" s="368"/>
    </row>
    <row r="18" spans="2:12" x14ac:dyDescent="0.15">
      <c r="B18" s="368"/>
      <c r="C18" s="368"/>
      <c r="D18" s="368"/>
      <c r="E18" s="368"/>
      <c r="F18" s="368"/>
      <c r="G18" s="368"/>
      <c r="H18" s="368"/>
      <c r="I18" s="368"/>
      <c r="J18" s="368"/>
      <c r="K18" s="368"/>
      <c r="L18" s="368"/>
    </row>
    <row r="19" spans="2:12" x14ac:dyDescent="0.15">
      <c r="B19" s="368"/>
      <c r="C19" s="368"/>
      <c r="D19" s="368"/>
      <c r="E19" s="368"/>
      <c r="F19" s="368"/>
      <c r="G19" s="368"/>
      <c r="H19" s="368"/>
      <c r="I19" s="368"/>
      <c r="J19" s="368"/>
      <c r="K19" s="368"/>
      <c r="L19" s="368"/>
    </row>
    <row r="20" spans="2:12" x14ac:dyDescent="0.15">
      <c r="B20" s="215"/>
      <c r="C20" s="215"/>
      <c r="D20" s="215"/>
      <c r="E20" s="215"/>
      <c r="F20" s="215"/>
      <c r="G20" s="215"/>
      <c r="H20" s="215"/>
    </row>
    <row r="22" spans="2:12" ht="15" thickBot="1" x14ac:dyDescent="0.2">
      <c r="B22" s="126" t="s">
        <v>183</v>
      </c>
      <c r="C22" s="5"/>
      <c r="D22" s="5"/>
      <c r="E22" s="5"/>
      <c r="F22" s="5"/>
      <c r="G22" s="5"/>
      <c r="H22" s="5"/>
      <c r="I22" s="5"/>
      <c r="J22" s="5"/>
      <c r="K22" s="5"/>
      <c r="L22" s="5"/>
    </row>
    <row r="23" spans="2:12" ht="15" thickTop="1" x14ac:dyDescent="0.15">
      <c r="B23" s="34" t="s">
        <v>686</v>
      </c>
      <c r="C23" s="1"/>
      <c r="D23" s="39"/>
      <c r="E23" s="39"/>
      <c r="F23" s="39"/>
      <c r="G23" s="39"/>
    </row>
    <row r="24" spans="2:12" ht="14" x14ac:dyDescent="0.15">
      <c r="B24" s="366" t="s">
        <v>669</v>
      </c>
      <c r="C24" s="1"/>
      <c r="D24" s="39"/>
      <c r="E24" s="39"/>
      <c r="F24" s="39"/>
      <c r="G24" s="39"/>
    </row>
    <row r="25" spans="2:12" ht="14" x14ac:dyDescent="0.15">
      <c r="B25" s="366" t="s">
        <v>670</v>
      </c>
      <c r="C25" s="1"/>
      <c r="D25" s="39"/>
      <c r="E25" s="39"/>
      <c r="F25" s="39"/>
      <c r="G25" s="39"/>
    </row>
    <row r="26" spans="2:12" ht="14.25" customHeight="1" x14ac:dyDescent="0.15">
      <c r="B26" s="369" t="s">
        <v>687</v>
      </c>
      <c r="C26" s="369"/>
      <c r="D26" s="369"/>
      <c r="E26" s="369"/>
      <c r="F26" s="369"/>
      <c r="G26" s="369"/>
      <c r="H26" s="369"/>
      <c r="I26" s="369"/>
      <c r="J26" s="369"/>
      <c r="K26" s="369"/>
      <c r="L26" s="369"/>
    </row>
    <row r="27" spans="2:12" ht="27" customHeight="1" x14ac:dyDescent="0.15">
      <c r="B27" s="369"/>
      <c r="C27" s="369"/>
      <c r="D27" s="369"/>
      <c r="E27" s="369"/>
      <c r="F27" s="369"/>
      <c r="G27" s="369"/>
      <c r="H27" s="369"/>
      <c r="I27" s="369"/>
      <c r="J27" s="369"/>
      <c r="K27" s="369"/>
      <c r="L27" s="369"/>
    </row>
    <row r="28" spans="2:12" ht="12.75" customHeight="1" x14ac:dyDescent="0.15">
      <c r="B28" s="370" t="s">
        <v>688</v>
      </c>
      <c r="C28" s="370"/>
      <c r="D28" s="370"/>
      <c r="E28" s="370"/>
      <c r="F28" s="370"/>
      <c r="G28" s="370"/>
      <c r="H28" s="370"/>
      <c r="I28" s="370"/>
      <c r="J28" s="370"/>
      <c r="K28" s="370"/>
      <c r="L28" s="370"/>
    </row>
    <row r="29" spans="2:12" x14ac:dyDescent="0.15">
      <c r="B29" s="370"/>
      <c r="C29" s="370"/>
      <c r="D29" s="370"/>
      <c r="E29" s="370"/>
      <c r="F29" s="370"/>
      <c r="G29" s="370"/>
      <c r="H29" s="370"/>
      <c r="I29" s="370"/>
      <c r="J29" s="370"/>
      <c r="K29" s="370"/>
      <c r="L29" s="370"/>
    </row>
    <row r="30" spans="2:12" ht="1" customHeight="1" x14ac:dyDescent="0.15">
      <c r="B30" s="370"/>
      <c r="C30" s="370"/>
      <c r="D30" s="370"/>
      <c r="E30" s="370"/>
      <c r="F30" s="370"/>
      <c r="G30" s="370"/>
      <c r="H30" s="370"/>
      <c r="I30" s="370"/>
      <c r="J30" s="370"/>
      <c r="K30" s="370"/>
      <c r="L30" s="370"/>
    </row>
    <row r="31" spans="2:12" x14ac:dyDescent="0.15">
      <c r="B31" s="211"/>
      <c r="C31" s="211"/>
      <c r="D31" s="211"/>
      <c r="E31" s="211"/>
      <c r="F31" s="211"/>
      <c r="G31" s="211"/>
      <c r="H31" s="211"/>
      <c r="I31" s="211"/>
      <c r="J31" s="211"/>
      <c r="K31" s="211"/>
      <c r="L31" s="211"/>
    </row>
  </sheetData>
  <sheetProtection algorithmName="SHA-512" hashValue="/TRZYnxfOZ4mXyG0as0fcPnFJslaTimMq+Vyi2U/+SWML+tJ40wzMtwKTEbRjWuIu8oH6FiDL68G64oaSw3tFg==" saltValue="tIJ2erX6Yvur4AhQBU/vXQ==" spinCount="100000" sheet="1" objects="1" scenarios="1" selectLockedCells="1"/>
  <mergeCells count="5">
    <mergeCell ref="B6:L11"/>
    <mergeCell ref="B12:L16"/>
    <mergeCell ref="B17:L19"/>
    <mergeCell ref="B26:L27"/>
    <mergeCell ref="B28:L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M498"/>
  <sheetViews>
    <sheetView showGridLines="0" topLeftCell="A8" zoomScale="80" zoomScaleNormal="80" zoomScalePageLayoutView="70" workbookViewId="0">
      <selection activeCell="C117" sqref="C117"/>
    </sheetView>
  </sheetViews>
  <sheetFormatPr baseColWidth="10" defaultColWidth="8.33203125" defaultRowHeight="14" x14ac:dyDescent="0.15"/>
  <cols>
    <col min="1" max="1" width="23.33203125" style="16" customWidth="1"/>
    <col min="2" max="2" width="22.83203125" style="16" customWidth="1"/>
    <col min="3" max="4" width="17.6640625" style="16" customWidth="1"/>
    <col min="5" max="6" width="22.83203125" style="16" customWidth="1"/>
    <col min="7" max="12" width="17.6640625" style="16" customWidth="1"/>
    <col min="13" max="15" width="21.1640625" style="16" customWidth="1"/>
    <col min="16" max="16" width="25.6640625" style="16" customWidth="1"/>
    <col min="17" max="19" width="21.1640625" style="16" customWidth="1"/>
    <col min="20" max="20" width="20.33203125" style="16" customWidth="1"/>
    <col min="21" max="21" width="22.1640625" style="16" customWidth="1"/>
    <col min="22" max="22" width="21.6640625" style="16" customWidth="1"/>
    <col min="23" max="23" width="18.83203125" style="16" customWidth="1"/>
    <col min="24" max="25" width="23.1640625" style="16" customWidth="1"/>
    <col min="26" max="26" width="22.83203125" style="16" customWidth="1"/>
    <col min="27" max="27" width="22.1640625" style="16" customWidth="1"/>
    <col min="28" max="28" width="21.33203125" style="16" customWidth="1"/>
    <col min="29" max="49" width="15.33203125" style="16" customWidth="1"/>
    <col min="50" max="50" width="20.6640625" style="16" customWidth="1"/>
    <col min="51" max="63" width="15.33203125" style="16" customWidth="1"/>
    <col min="64" max="64" width="27.6640625" style="16" customWidth="1"/>
    <col min="65" max="87" width="15.33203125" style="16" customWidth="1"/>
    <col min="88" max="16384" width="8.33203125" style="16"/>
  </cols>
  <sheetData>
    <row r="1" spans="1:91" ht="17" thickBot="1" x14ac:dyDescent="0.25">
      <c r="A1" s="6" t="s">
        <v>182</v>
      </c>
      <c r="B1" s="111" t="s">
        <v>265</v>
      </c>
      <c r="C1" s="111"/>
      <c r="D1" s="111"/>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row>
    <row r="2" spans="1:91" ht="15" thickTop="1" x14ac:dyDescent="0.15">
      <c r="A2" s="4" t="s">
        <v>266</v>
      </c>
      <c r="B2" s="109">
        <v>44396</v>
      </c>
      <c r="C2" s="109"/>
      <c r="D2" s="110"/>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row>
    <row r="3" spans="1:91" x14ac:dyDescent="0.15">
      <c r="I3" s="39"/>
      <c r="J3" s="39"/>
      <c r="K3" s="39"/>
      <c r="L3" s="39"/>
      <c r="M3" s="39"/>
      <c r="N3" s="39"/>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row>
    <row r="4" spans="1:91" x14ac:dyDescent="0.15">
      <c r="A4" s="40" t="s">
        <v>184</v>
      </c>
      <c r="I4" s="39"/>
      <c r="J4" s="39"/>
      <c r="K4" s="39"/>
      <c r="L4" s="39"/>
      <c r="M4" s="39"/>
      <c r="N4" s="39"/>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row>
    <row r="5" spans="1:91" s="1" customFormat="1" ht="15" x14ac:dyDescent="0.2">
      <c r="A5" s="41" t="s">
        <v>185</v>
      </c>
      <c r="N5"/>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row>
    <row r="6" spans="1:91" s="1" customFormat="1" ht="15" customHeight="1" x14ac:dyDescent="0.2">
      <c r="A6" s="42" t="s">
        <v>186</v>
      </c>
      <c r="M6"/>
      <c r="N6"/>
      <c r="O6" s="9"/>
      <c r="P6" s="7"/>
      <c r="AQ6" s="3"/>
      <c r="AR6" s="3"/>
      <c r="AS6" s="3"/>
      <c r="AT6" s="3"/>
      <c r="AU6" s="3"/>
      <c r="AV6" s="3"/>
      <c r="AW6" s="3"/>
      <c r="AX6" s="3"/>
      <c r="AY6" s="3"/>
      <c r="AZ6" s="3"/>
      <c r="BA6" s="3"/>
      <c r="BB6" s="3"/>
      <c r="BC6" s="3"/>
      <c r="BD6" s="3"/>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row>
    <row r="7" spans="1:91" s="1" customFormat="1" ht="14.25" customHeight="1" x14ac:dyDescent="0.2">
      <c r="A7" s="43" t="s">
        <v>187</v>
      </c>
      <c r="B7" s="8"/>
      <c r="M7"/>
      <c r="N7"/>
      <c r="O7" s="9"/>
      <c r="P7" s="7"/>
      <c r="AQ7" s="3"/>
      <c r="AR7" s="3"/>
      <c r="AS7" s="3"/>
      <c r="AT7" s="3"/>
      <c r="AU7" s="3"/>
      <c r="AV7" s="3"/>
      <c r="AW7" s="3"/>
      <c r="AX7" s="3"/>
      <c r="AY7" s="3"/>
      <c r="AZ7" s="3"/>
      <c r="BA7" s="3"/>
      <c r="BB7" s="3"/>
      <c r="BC7" s="3"/>
      <c r="BD7" s="3"/>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row>
    <row r="8" spans="1:91" s="1" customFormat="1" ht="14.5" customHeight="1" x14ac:dyDescent="0.15">
      <c r="A8" s="44" t="s">
        <v>200</v>
      </c>
      <c r="B8" s="8"/>
      <c r="O8" s="219"/>
      <c r="P8" s="7"/>
      <c r="AQ8" s="2"/>
      <c r="AR8" s="2"/>
      <c r="AS8" s="2"/>
      <c r="AT8" s="2"/>
      <c r="AU8" s="2"/>
      <c r="AV8" s="2"/>
      <c r="AW8" s="2"/>
      <c r="AX8" s="2"/>
      <c r="AY8" s="2"/>
      <c r="AZ8" s="2"/>
      <c r="BA8" s="2"/>
      <c r="BB8" s="2"/>
      <c r="BC8" s="2"/>
      <c r="BD8" s="2"/>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row>
    <row r="9" spans="1:91" s="1" customFormat="1" ht="14.25" customHeight="1" thickBot="1" x14ac:dyDescent="0.2">
      <c r="A9" s="173"/>
      <c r="B9" s="173"/>
      <c r="C9" s="173"/>
      <c r="D9" s="173"/>
      <c r="E9" s="173"/>
      <c r="F9" s="173"/>
      <c r="G9" s="173"/>
      <c r="H9" s="173"/>
      <c r="I9" s="173"/>
      <c r="J9" s="173"/>
      <c r="K9" s="173"/>
      <c r="L9" s="173"/>
      <c r="M9" s="173"/>
      <c r="N9" s="173"/>
      <c r="O9" s="219"/>
      <c r="P9" s="205"/>
      <c r="Q9" s="99"/>
      <c r="R9" s="99"/>
      <c r="S9" s="99"/>
      <c r="T9" s="99"/>
      <c r="U9" s="99"/>
      <c r="V9" s="99"/>
      <c r="W9" s="99"/>
      <c r="AQ9" s="2"/>
      <c r="AR9" s="2"/>
      <c r="AS9" s="2"/>
      <c r="AT9" s="2"/>
      <c r="AU9" s="2"/>
      <c r="AV9" s="2"/>
      <c r="AW9" s="2"/>
      <c r="AX9" s="2"/>
      <c r="AY9" s="2"/>
      <c r="AZ9" s="2"/>
      <c r="BA9" s="2"/>
      <c r="BB9" s="2"/>
      <c r="BC9" s="2"/>
      <c r="BD9" s="2"/>
      <c r="BE9" s="2"/>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row>
    <row r="10" spans="1:91" s="1" customFormat="1" ht="25" x14ac:dyDescent="0.25">
      <c r="A10" s="216" t="s">
        <v>349</v>
      </c>
      <c r="O10" s="9"/>
      <c r="P10" s="205"/>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183"/>
      <c r="AR10" s="183"/>
      <c r="AS10" s="183"/>
      <c r="AT10" s="183"/>
      <c r="AU10" s="183"/>
      <c r="AV10" s="183"/>
      <c r="AW10" s="183"/>
      <c r="AX10" s="183"/>
      <c r="AY10" s="183"/>
      <c r="AZ10" s="183"/>
      <c r="BA10" s="183"/>
      <c r="BB10" s="183"/>
      <c r="BC10" s="183"/>
      <c r="BD10" s="183"/>
      <c r="BE10" s="183"/>
      <c r="BF10" s="93"/>
      <c r="BG10" s="93"/>
      <c r="BH10" s="93"/>
      <c r="BI10" s="93"/>
      <c r="BJ10" s="93"/>
      <c r="BK10" s="93"/>
      <c r="BL10" s="93"/>
      <c r="BM10" s="93"/>
      <c r="BN10" s="93"/>
      <c r="BO10" s="93"/>
      <c r="BP10" s="93"/>
      <c r="BQ10" s="93"/>
      <c r="BR10" s="93"/>
      <c r="BS10" s="93"/>
      <c r="BT10" s="93"/>
      <c r="BU10" s="93"/>
      <c r="BV10" s="93"/>
      <c r="BW10" s="93"/>
      <c r="BX10" s="18"/>
      <c r="BY10" s="18"/>
      <c r="BZ10" s="18"/>
      <c r="CA10" s="18"/>
      <c r="CB10" s="18"/>
      <c r="CC10" s="18"/>
      <c r="CD10" s="18"/>
      <c r="CE10" s="18"/>
      <c r="CF10" s="18"/>
      <c r="CG10" s="18"/>
      <c r="CH10" s="18"/>
      <c r="CI10" s="18"/>
      <c r="CJ10" s="18"/>
      <c r="CK10" s="18"/>
      <c r="CL10" s="18"/>
      <c r="CM10" s="18"/>
    </row>
    <row r="11" spans="1:91" s="1" customFormat="1" x14ac:dyDescent="0.15">
      <c r="O11" s="9"/>
      <c r="P11" s="205"/>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183"/>
      <c r="AR11" s="183"/>
      <c r="AS11" s="183"/>
      <c r="AT11" s="183"/>
      <c r="AU11" s="183"/>
      <c r="AV11" s="183"/>
      <c r="AW11" s="183"/>
      <c r="AX11" s="183"/>
      <c r="AY11" s="183"/>
      <c r="AZ11" s="183"/>
      <c r="BA11" s="183"/>
      <c r="BB11" s="183"/>
      <c r="BC11" s="183"/>
      <c r="BD11" s="183"/>
      <c r="BE11" s="183"/>
      <c r="BF11" s="93"/>
      <c r="BG11" s="93"/>
      <c r="BH11" s="93"/>
      <c r="BI11" s="93"/>
      <c r="BJ11" s="93"/>
      <c r="BK11" s="93"/>
      <c r="BL11" s="93"/>
      <c r="BM11" s="93"/>
      <c r="BN11" s="93"/>
      <c r="BO11" s="93"/>
      <c r="BP11" s="93"/>
      <c r="BQ11" s="93"/>
      <c r="BR11" s="93"/>
      <c r="BS11" s="93"/>
      <c r="BT11" s="93"/>
      <c r="BU11" s="93"/>
      <c r="BV11" s="93"/>
      <c r="BW11" s="93"/>
      <c r="BX11" s="18"/>
      <c r="BY11" s="18"/>
      <c r="BZ11" s="18"/>
      <c r="CA11" s="18"/>
      <c r="CB11" s="18"/>
      <c r="CC11" s="18"/>
      <c r="CD11" s="18"/>
      <c r="CE11" s="18"/>
      <c r="CF11" s="18"/>
      <c r="CG11" s="18"/>
      <c r="CH11" s="18"/>
      <c r="CI11" s="18"/>
      <c r="CJ11" s="18"/>
      <c r="CK11" s="18"/>
      <c r="CL11" s="18"/>
      <c r="CM11" s="18"/>
    </row>
    <row r="12" spans="1:91" s="1" customFormat="1" x14ac:dyDescent="0.15">
      <c r="B12" s="231" t="s">
        <v>210</v>
      </c>
      <c r="C12" s="222"/>
      <c r="D12" s="222"/>
      <c r="E12" s="222"/>
      <c r="F12" s="222"/>
      <c r="O12" s="9"/>
      <c r="P12" s="205"/>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183"/>
      <c r="AR12" s="183"/>
      <c r="AS12" s="183"/>
      <c r="AT12" s="183"/>
      <c r="AU12" s="183"/>
      <c r="AV12" s="183"/>
      <c r="AW12" s="183"/>
      <c r="AX12" s="183"/>
      <c r="AY12" s="183"/>
      <c r="AZ12" s="183"/>
      <c r="BA12" s="183"/>
      <c r="BB12" s="183"/>
      <c r="BC12" s="183"/>
      <c r="BD12" s="183"/>
      <c r="BE12" s="183"/>
      <c r="BF12" s="93"/>
      <c r="BG12" s="93"/>
      <c r="BH12" s="93"/>
      <c r="BI12" s="93"/>
      <c r="BJ12" s="93"/>
      <c r="BK12" s="93"/>
      <c r="BL12" s="93"/>
      <c r="BM12" s="93"/>
      <c r="BN12" s="93"/>
      <c r="BO12" s="93"/>
      <c r="BP12" s="93"/>
      <c r="BQ12" s="93"/>
      <c r="BR12" s="93"/>
      <c r="BS12" s="93"/>
      <c r="BT12" s="93"/>
      <c r="BU12" s="93"/>
      <c r="BV12" s="93"/>
      <c r="BW12" s="93"/>
      <c r="BX12" s="18"/>
      <c r="BY12" s="18"/>
      <c r="BZ12" s="18"/>
      <c r="CA12" s="18"/>
      <c r="CB12" s="18"/>
      <c r="CC12" s="18"/>
      <c r="CD12" s="18"/>
      <c r="CE12" s="18"/>
      <c r="CF12" s="18"/>
      <c r="CG12" s="18"/>
      <c r="CH12" s="18"/>
      <c r="CI12" s="18"/>
      <c r="CJ12" s="18"/>
      <c r="CK12" s="18"/>
      <c r="CL12" s="18"/>
      <c r="CM12" s="18"/>
    </row>
    <row r="13" spans="1:91" s="1" customFormat="1" ht="15.75" customHeight="1" x14ac:dyDescent="0.2">
      <c r="B13" s="381" t="s">
        <v>689</v>
      </c>
      <c r="C13" s="381"/>
      <c r="D13" s="381"/>
      <c r="E13" s="381"/>
      <c r="F13" s="381"/>
      <c r="G13" s="381"/>
      <c r="H13" s="381"/>
      <c r="I13" s="381"/>
      <c r="M13"/>
      <c r="N13"/>
      <c r="O13" s="9"/>
      <c r="P13" s="205"/>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183"/>
      <c r="AR13" s="183"/>
      <c r="AS13" s="183"/>
      <c r="AT13" s="183"/>
      <c r="AU13" s="183"/>
      <c r="AV13" s="183"/>
      <c r="AW13" s="183"/>
      <c r="AX13" s="183"/>
      <c r="AY13" s="183"/>
      <c r="AZ13" s="183"/>
      <c r="BA13" s="183"/>
      <c r="BB13" s="183"/>
      <c r="BC13" s="183"/>
      <c r="BD13" s="183"/>
      <c r="BE13" s="183"/>
      <c r="BF13" s="93"/>
      <c r="BG13" s="93"/>
      <c r="BH13" s="93"/>
      <c r="BI13" s="93"/>
      <c r="BJ13" s="93"/>
      <c r="BK13" s="93"/>
      <c r="BL13" s="93"/>
      <c r="BM13" s="93"/>
      <c r="BN13" s="93"/>
      <c r="BO13" s="93"/>
      <c r="BP13" s="93"/>
      <c r="BQ13" s="93"/>
      <c r="BR13" s="93"/>
      <c r="BS13" s="93"/>
      <c r="BT13" s="93"/>
      <c r="BU13" s="93"/>
      <c r="BV13" s="93"/>
      <c r="BW13" s="93"/>
      <c r="BX13" s="18"/>
      <c r="BY13" s="18"/>
      <c r="BZ13" s="18"/>
      <c r="CA13" s="18"/>
      <c r="CB13" s="18"/>
      <c r="CC13" s="18"/>
      <c r="CD13" s="18"/>
      <c r="CE13" s="18"/>
      <c r="CF13" s="18"/>
      <c r="CG13" s="18"/>
      <c r="CH13" s="18"/>
      <c r="CI13" s="18"/>
      <c r="CJ13" s="18"/>
      <c r="CK13" s="18"/>
      <c r="CL13" s="18"/>
      <c r="CM13" s="18"/>
    </row>
    <row r="14" spans="1:91" s="1" customFormat="1" ht="15" x14ac:dyDescent="0.2">
      <c r="B14" s="382"/>
      <c r="C14" s="382"/>
      <c r="D14" s="382"/>
      <c r="E14" s="382"/>
      <c r="F14" s="382"/>
      <c r="G14" s="382"/>
      <c r="H14" s="382"/>
      <c r="I14" s="382"/>
      <c r="M14"/>
      <c r="N14"/>
      <c r="O14" s="9"/>
      <c r="P14" s="205"/>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183"/>
      <c r="AR14" s="183"/>
      <c r="AS14" s="183"/>
      <c r="AT14" s="183"/>
      <c r="AU14" s="183"/>
      <c r="AV14" s="183"/>
      <c r="AW14" s="183"/>
      <c r="AX14" s="183"/>
      <c r="AY14" s="183"/>
      <c r="AZ14" s="183"/>
      <c r="BA14" s="183"/>
      <c r="BB14" s="183"/>
      <c r="BC14" s="183"/>
      <c r="BD14" s="183"/>
      <c r="BE14" s="183"/>
      <c r="BF14" s="93"/>
      <c r="BG14" s="93"/>
      <c r="BH14" s="93"/>
      <c r="BI14" s="93"/>
      <c r="BJ14" s="93"/>
      <c r="BK14" s="93"/>
      <c r="BL14" s="93"/>
      <c r="BM14" s="93"/>
      <c r="BN14" s="93"/>
      <c r="BO14" s="93"/>
      <c r="BP14" s="93"/>
      <c r="BQ14" s="93"/>
      <c r="BR14" s="93"/>
      <c r="BS14" s="93"/>
      <c r="BT14" s="93"/>
      <c r="BU14" s="93"/>
      <c r="BV14" s="93"/>
      <c r="BW14" s="93"/>
      <c r="BX14" s="18"/>
      <c r="BY14" s="18"/>
      <c r="BZ14" s="18"/>
      <c r="CA14" s="18"/>
      <c r="CB14" s="18"/>
      <c r="CC14" s="18"/>
      <c r="CD14" s="18"/>
      <c r="CE14" s="18"/>
      <c r="CF14" s="18"/>
      <c r="CG14" s="18"/>
      <c r="CH14" s="18"/>
      <c r="CI14" s="18"/>
      <c r="CJ14" s="18"/>
      <c r="CK14" s="18"/>
      <c r="CL14" s="18"/>
      <c r="CM14" s="18"/>
    </row>
    <row r="15" spans="1:91" s="1" customFormat="1" ht="15" x14ac:dyDescent="0.2">
      <c r="B15" s="382"/>
      <c r="C15" s="382"/>
      <c r="D15" s="382"/>
      <c r="E15" s="382"/>
      <c r="F15" s="382"/>
      <c r="G15" s="382"/>
      <c r="H15" s="382"/>
      <c r="I15" s="382"/>
      <c r="M15"/>
      <c r="N15"/>
      <c r="O15" s="9"/>
      <c r="P15" s="205"/>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183"/>
      <c r="AR15" s="183"/>
      <c r="AS15" s="183"/>
      <c r="AT15" s="183"/>
      <c r="AU15" s="183"/>
      <c r="AV15" s="183"/>
      <c r="AW15" s="183"/>
      <c r="AX15" s="183"/>
      <c r="AY15" s="183"/>
      <c r="AZ15" s="183"/>
      <c r="BA15" s="183"/>
      <c r="BB15" s="183"/>
      <c r="BC15" s="183"/>
      <c r="BD15" s="183"/>
      <c r="BE15" s="183"/>
      <c r="BF15" s="93"/>
      <c r="BG15" s="93"/>
      <c r="BH15" s="93"/>
      <c r="BI15" s="93"/>
      <c r="BJ15" s="93"/>
      <c r="BK15" s="93"/>
      <c r="BL15" s="93"/>
      <c r="BM15" s="93"/>
      <c r="BN15" s="93"/>
      <c r="BO15" s="93"/>
      <c r="BP15" s="93"/>
      <c r="BQ15" s="93"/>
      <c r="BR15" s="93"/>
      <c r="BS15" s="93"/>
      <c r="BT15" s="93"/>
      <c r="BU15" s="93"/>
      <c r="BV15" s="93"/>
      <c r="BW15" s="93"/>
      <c r="BX15" s="18"/>
      <c r="BY15" s="18"/>
      <c r="BZ15" s="18"/>
      <c r="CA15" s="18"/>
      <c r="CB15" s="18"/>
      <c r="CC15" s="18"/>
      <c r="CD15" s="18"/>
      <c r="CE15" s="18"/>
      <c r="CF15" s="18"/>
      <c r="CG15" s="18"/>
      <c r="CH15" s="18"/>
      <c r="CI15" s="18"/>
      <c r="CJ15" s="18"/>
      <c r="CK15" s="18"/>
      <c r="CL15" s="18"/>
      <c r="CM15" s="18"/>
    </row>
    <row r="16" spans="1:91" s="1" customFormat="1" ht="18" x14ac:dyDescent="0.2">
      <c r="A16" s="223" t="s">
        <v>690</v>
      </c>
      <c r="B16" s="224"/>
      <c r="C16" s="171"/>
      <c r="D16" s="171"/>
      <c r="E16" s="171"/>
      <c r="F16" s="171"/>
      <c r="G16" s="171"/>
      <c r="H16" s="171"/>
      <c r="I16" s="171"/>
      <c r="J16" s="171"/>
      <c r="K16" s="171"/>
      <c r="L16" s="171"/>
      <c r="M16" s="171"/>
      <c r="N16" s="153"/>
      <c r="P16" s="99"/>
      <c r="Q16" s="99"/>
      <c r="R16" s="99"/>
      <c r="S16" s="99"/>
      <c r="T16" s="99"/>
      <c r="U16" s="99"/>
      <c r="V16" s="99"/>
      <c r="W16" s="99"/>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18"/>
      <c r="BY16" s="18"/>
      <c r="BZ16" s="18"/>
      <c r="CA16" s="18"/>
      <c r="CB16" s="18"/>
      <c r="CC16" s="18"/>
      <c r="CD16" s="18"/>
      <c r="CE16" s="18"/>
    </row>
    <row r="17" spans="1:83" s="1" customFormat="1" x14ac:dyDescent="0.15">
      <c r="A17" s="100"/>
      <c r="B17" s="101"/>
      <c r="C17" s="99"/>
      <c r="D17" s="99"/>
      <c r="E17" s="99"/>
      <c r="F17" s="99"/>
      <c r="N17" s="226"/>
      <c r="P17" s="99"/>
      <c r="Q17" s="99"/>
      <c r="R17" s="99"/>
      <c r="S17" s="99"/>
      <c r="T17" s="99"/>
      <c r="U17" s="99"/>
      <c r="V17" s="99"/>
      <c r="W17" s="99"/>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18"/>
      <c r="BY17" s="18"/>
      <c r="BZ17" s="18"/>
      <c r="CA17" s="18"/>
      <c r="CB17" s="18"/>
      <c r="CC17" s="18"/>
      <c r="CD17" s="18"/>
      <c r="CE17" s="18"/>
    </row>
    <row r="18" spans="1:83" s="1" customFormat="1" x14ac:dyDescent="0.15">
      <c r="A18" s="100"/>
      <c r="B18" s="37" t="s">
        <v>672</v>
      </c>
      <c r="N18" s="226"/>
      <c r="P18" s="99"/>
      <c r="Q18" s="99"/>
      <c r="R18" s="99"/>
      <c r="S18" s="99"/>
      <c r="T18" s="99"/>
      <c r="U18" s="99"/>
      <c r="V18" s="99"/>
      <c r="W18" s="99"/>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18"/>
      <c r="BY18" s="18"/>
      <c r="BZ18" s="18"/>
      <c r="CA18" s="18"/>
      <c r="CB18" s="18"/>
      <c r="CC18" s="18"/>
      <c r="CD18" s="18"/>
      <c r="CE18" s="18"/>
    </row>
    <row r="19" spans="1:83" s="1" customFormat="1" x14ac:dyDescent="0.15">
      <c r="A19" s="100"/>
      <c r="N19" s="226"/>
      <c r="P19" s="99"/>
      <c r="Q19" s="99"/>
      <c r="R19" s="99"/>
      <c r="S19" s="99"/>
      <c r="T19" s="99"/>
      <c r="U19" s="99"/>
      <c r="V19" s="99"/>
      <c r="W19" s="99"/>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18"/>
      <c r="BY19" s="18"/>
      <c r="BZ19" s="18"/>
      <c r="CA19" s="18"/>
      <c r="CB19" s="18"/>
      <c r="CC19" s="18"/>
      <c r="CD19" s="18"/>
      <c r="CE19" s="18"/>
    </row>
    <row r="20" spans="1:83" s="1" customFormat="1" x14ac:dyDescent="0.15">
      <c r="A20" s="100"/>
      <c r="B20" s="112" t="s">
        <v>204</v>
      </c>
      <c r="C20" s="383" t="s">
        <v>205</v>
      </c>
      <c r="D20" s="383"/>
      <c r="E20" s="112" t="s">
        <v>212</v>
      </c>
      <c r="F20" s="113" t="s">
        <v>541</v>
      </c>
      <c r="N20" s="226"/>
      <c r="P20" s="99"/>
      <c r="Q20" s="99"/>
      <c r="R20" s="99"/>
      <c r="S20" s="99"/>
      <c r="T20" s="99"/>
      <c r="U20" s="99"/>
      <c r="V20" s="99"/>
      <c r="W20" s="99"/>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18"/>
      <c r="BY20" s="18"/>
      <c r="BZ20" s="18"/>
      <c r="CA20" s="18"/>
      <c r="CB20" s="18"/>
      <c r="CC20" s="18"/>
      <c r="CD20" s="18"/>
      <c r="CE20" s="18"/>
    </row>
    <row r="21" spans="1:83" s="1" customFormat="1" x14ac:dyDescent="0.15">
      <c r="A21" s="100"/>
      <c r="B21" s="230" t="s">
        <v>46</v>
      </c>
      <c r="C21" s="379" t="s">
        <v>209</v>
      </c>
      <c r="D21" s="380"/>
      <c r="E21" s="138">
        <v>11525</v>
      </c>
      <c r="F21" s="117">
        <v>11525</v>
      </c>
      <c r="N21" s="226"/>
      <c r="P21" s="99"/>
      <c r="Q21" s="99"/>
      <c r="R21" s="99"/>
      <c r="S21" s="99"/>
      <c r="T21" s="99"/>
      <c r="U21" s="99"/>
      <c r="V21" s="99"/>
      <c r="W21" s="99"/>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18"/>
      <c r="BY21" s="18"/>
      <c r="BZ21" s="18"/>
      <c r="CA21" s="18"/>
      <c r="CB21" s="18"/>
      <c r="CC21" s="18"/>
      <c r="CD21" s="18"/>
      <c r="CE21" s="18"/>
    </row>
    <row r="22" spans="1:83" s="1" customFormat="1" x14ac:dyDescent="0.15">
      <c r="A22" s="100"/>
      <c r="B22" s="230" t="s">
        <v>10</v>
      </c>
      <c r="C22" s="384" t="s">
        <v>269</v>
      </c>
      <c r="D22" s="385"/>
      <c r="E22" s="139">
        <v>0.3</v>
      </c>
      <c r="F22" s="116">
        <v>0.3</v>
      </c>
      <c r="N22" s="226"/>
      <c r="P22" s="99"/>
      <c r="Q22" s="99"/>
      <c r="R22" s="99"/>
      <c r="S22" s="99"/>
      <c r="T22" s="99"/>
      <c r="U22" s="99"/>
      <c r="V22" s="99"/>
      <c r="W22" s="99"/>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18"/>
      <c r="BY22" s="18"/>
      <c r="BZ22" s="18"/>
      <c r="CA22" s="18"/>
      <c r="CB22" s="18"/>
      <c r="CC22" s="18"/>
      <c r="CD22" s="18"/>
      <c r="CE22" s="18"/>
    </row>
    <row r="23" spans="1:83" s="1" customFormat="1" x14ac:dyDescent="0.15">
      <c r="A23" s="100"/>
      <c r="B23" s="230" t="s">
        <v>4</v>
      </c>
      <c r="C23" s="377" t="s">
        <v>214</v>
      </c>
      <c r="D23" s="378"/>
      <c r="E23" s="139">
        <v>0.6</v>
      </c>
      <c r="F23" s="116">
        <v>0.6</v>
      </c>
      <c r="N23" s="226"/>
      <c r="P23" s="99"/>
      <c r="Q23" s="99"/>
      <c r="R23" s="99"/>
      <c r="S23" s="99"/>
      <c r="T23" s="99"/>
      <c r="U23" s="99"/>
      <c r="V23" s="99"/>
      <c r="W23" s="99"/>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18"/>
      <c r="BY23" s="18"/>
      <c r="BZ23" s="18"/>
      <c r="CA23" s="18"/>
      <c r="CB23" s="18"/>
      <c r="CC23" s="18"/>
      <c r="CD23" s="18"/>
      <c r="CE23" s="18"/>
    </row>
    <row r="24" spans="1:83" s="1" customFormat="1" x14ac:dyDescent="0.15">
      <c r="B24" s="230" t="s">
        <v>14</v>
      </c>
      <c r="C24" s="377" t="s">
        <v>215</v>
      </c>
      <c r="D24" s="378"/>
      <c r="E24" s="139">
        <v>0.15</v>
      </c>
      <c r="F24" s="116">
        <v>0.15</v>
      </c>
      <c r="N24" s="226"/>
      <c r="P24" s="99"/>
      <c r="Q24" s="99"/>
      <c r="R24" s="99"/>
      <c r="S24" s="99"/>
      <c r="T24" s="99"/>
      <c r="U24" s="99"/>
      <c r="V24" s="99"/>
      <c r="W24" s="99"/>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18"/>
      <c r="BY24" s="18"/>
      <c r="BZ24" s="18"/>
      <c r="CA24" s="18"/>
      <c r="CB24" s="18"/>
      <c r="CC24" s="18"/>
      <c r="CD24" s="18"/>
      <c r="CE24" s="18"/>
    </row>
    <row r="25" spans="1:83" s="1" customFormat="1" x14ac:dyDescent="0.15">
      <c r="B25" s="230" t="s">
        <v>8</v>
      </c>
      <c r="C25" s="377" t="s">
        <v>208</v>
      </c>
      <c r="D25" s="378"/>
      <c r="E25" s="139">
        <v>0.1</v>
      </c>
      <c r="F25" s="116">
        <v>0.1</v>
      </c>
      <c r="N25" s="226"/>
      <c r="P25" s="99"/>
      <c r="Q25" s="99"/>
      <c r="R25" s="99"/>
      <c r="S25" s="99"/>
      <c r="T25" s="99"/>
      <c r="U25" s="99"/>
      <c r="V25" s="99"/>
      <c r="W25" s="99"/>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18"/>
      <c r="BY25" s="18"/>
      <c r="BZ25" s="18"/>
      <c r="CA25" s="18"/>
      <c r="CB25" s="18"/>
      <c r="CC25" s="18"/>
      <c r="CD25" s="18"/>
      <c r="CE25" s="18"/>
    </row>
    <row r="26" spans="1:83" s="18" customFormat="1" ht="13" x14ac:dyDescent="0.15">
      <c r="A26" s="36"/>
      <c r="B26" s="230" t="s">
        <v>32</v>
      </c>
      <c r="C26" s="377" t="s">
        <v>207</v>
      </c>
      <c r="D26" s="378"/>
      <c r="E26" s="139">
        <v>0.01</v>
      </c>
      <c r="F26" s="116">
        <v>0.01</v>
      </c>
      <c r="N26" s="226"/>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row>
    <row r="27" spans="1:83" s="18" customFormat="1" ht="13" x14ac:dyDescent="0.15">
      <c r="B27" s="230" t="s">
        <v>19</v>
      </c>
      <c r="C27" s="377" t="s">
        <v>358</v>
      </c>
      <c r="D27" s="378"/>
      <c r="E27" s="139">
        <v>0.3</v>
      </c>
      <c r="F27" s="116">
        <v>0.3</v>
      </c>
      <c r="N27" s="226"/>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row>
    <row r="28" spans="1:83" s="18" customFormat="1" ht="13" x14ac:dyDescent="0.15">
      <c r="B28" s="230" t="s">
        <v>6</v>
      </c>
      <c r="C28" s="377" t="s">
        <v>267</v>
      </c>
      <c r="D28" s="378"/>
      <c r="E28" s="139">
        <v>0.25</v>
      </c>
      <c r="F28" s="116">
        <v>0.25</v>
      </c>
      <c r="N28" s="226"/>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row>
    <row r="29" spans="1:83" s="18" customFormat="1" ht="32.25" customHeight="1" x14ac:dyDescent="0.15">
      <c r="B29" s="230" t="s">
        <v>24</v>
      </c>
      <c r="C29" s="386" t="s">
        <v>357</v>
      </c>
      <c r="D29" s="387"/>
      <c r="E29" s="139">
        <v>0.7</v>
      </c>
      <c r="F29" s="116">
        <v>0.7</v>
      </c>
      <c r="N29" s="226"/>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row>
    <row r="30" spans="1:83" s="18" customFormat="1" x14ac:dyDescent="0.15">
      <c r="B30" s="230" t="s">
        <v>232</v>
      </c>
      <c r="C30" s="377" t="s">
        <v>249</v>
      </c>
      <c r="D30" s="378"/>
      <c r="E30" s="114" t="s">
        <v>248</v>
      </c>
      <c r="F30" s="115" t="s">
        <v>248</v>
      </c>
      <c r="N30" s="226"/>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row>
    <row r="31" spans="1:83" s="18" customFormat="1" ht="13" x14ac:dyDescent="0.15">
      <c r="B31" s="230" t="s">
        <v>233</v>
      </c>
      <c r="C31" s="375" t="s">
        <v>206</v>
      </c>
      <c r="D31" s="376"/>
      <c r="E31" s="140">
        <v>1.35</v>
      </c>
      <c r="F31" s="118">
        <v>1.35</v>
      </c>
      <c r="N31" s="156"/>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row>
    <row r="32" spans="1:83" s="18" customFormat="1" ht="13" x14ac:dyDescent="0.15">
      <c r="B32" s="119" t="s">
        <v>234</v>
      </c>
      <c r="C32" s="379" t="s">
        <v>272</v>
      </c>
      <c r="D32" s="380"/>
      <c r="E32" s="121">
        <f>ROUND(MEDIAN(Data!X15:X183)*E31, 2)</f>
        <v>192526.79</v>
      </c>
      <c r="F32" s="121">
        <f>'FY 22 OFA Shell'!Y21</f>
        <v>192526.79</v>
      </c>
      <c r="N32" s="226"/>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row>
    <row r="33" spans="1:75" s="18" customFormat="1" ht="13" x14ac:dyDescent="0.15">
      <c r="B33" s="120" t="s">
        <v>235</v>
      </c>
      <c r="C33" s="375" t="s">
        <v>271</v>
      </c>
      <c r="D33" s="376"/>
      <c r="E33" s="122">
        <f>ROUND(MEDIAN(Data!P15:P183)*E31, 2)</f>
        <v>120494.25</v>
      </c>
      <c r="F33" s="122">
        <f>'FY 22 OFA Shell'!AA21</f>
        <v>120494.25</v>
      </c>
      <c r="N33" s="156"/>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row>
    <row r="34" spans="1:75" x14ac:dyDescent="0.15">
      <c r="N34" s="156"/>
      <c r="P34" s="172"/>
      <c r="Q34" s="172"/>
      <c r="R34" s="172"/>
      <c r="S34" s="172"/>
      <c r="T34" s="172"/>
      <c r="U34" s="172"/>
      <c r="V34" s="172"/>
      <c r="W34" s="172"/>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172"/>
      <c r="BD34" s="172"/>
      <c r="BE34" s="172"/>
      <c r="BF34" s="172"/>
      <c r="BG34" s="172"/>
      <c r="BH34" s="172"/>
      <c r="BI34" s="172"/>
      <c r="BJ34" s="172"/>
      <c r="BK34" s="172"/>
      <c r="BL34" s="172"/>
      <c r="BM34" s="172"/>
      <c r="BN34" s="172"/>
      <c r="BO34" s="172"/>
      <c r="BP34" s="172"/>
      <c r="BQ34" s="172"/>
      <c r="BR34" s="172"/>
      <c r="BS34" s="172"/>
      <c r="BT34" s="172"/>
      <c r="BU34" s="172"/>
      <c r="BV34" s="172"/>
      <c r="BW34" s="172"/>
    </row>
    <row r="35" spans="1:75" s="18" customFormat="1" x14ac:dyDescent="0.15">
      <c r="B35" s="37" t="s">
        <v>543</v>
      </c>
      <c r="C35" s="1"/>
      <c r="D35" s="1"/>
      <c r="E35" s="1"/>
      <c r="N35" s="226"/>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row>
    <row r="36" spans="1:75" s="18" customFormat="1" x14ac:dyDescent="0.15">
      <c r="B36" s="1"/>
      <c r="C36" s="1"/>
      <c r="D36" s="1"/>
      <c r="E36" s="1"/>
      <c r="N36" s="226"/>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row>
    <row r="37" spans="1:75" s="18" customFormat="1" ht="13" x14ac:dyDescent="0.15">
      <c r="B37" s="47" t="s">
        <v>220</v>
      </c>
      <c r="C37" s="47" t="s">
        <v>257</v>
      </c>
      <c r="D37" s="47" t="s">
        <v>256</v>
      </c>
      <c r="E37" s="47" t="s">
        <v>542</v>
      </c>
      <c r="N37" s="226"/>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row>
    <row r="38" spans="1:75" s="18" customFormat="1" ht="13" x14ac:dyDescent="0.15">
      <c r="B38" s="81">
        <v>1</v>
      </c>
      <c r="C38" s="75" t="s">
        <v>221</v>
      </c>
      <c r="D38" s="76">
        <v>0.06</v>
      </c>
      <c r="E38" s="304">
        <v>0.06</v>
      </c>
      <c r="N38" s="226"/>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row>
    <row r="39" spans="1:75" s="18" customFormat="1" ht="13" x14ac:dyDescent="0.15">
      <c r="B39" s="82">
        <v>2</v>
      </c>
      <c r="C39" s="22" t="s">
        <v>222</v>
      </c>
      <c r="D39" s="77">
        <v>0.05</v>
      </c>
      <c r="E39" s="305">
        <v>0.05</v>
      </c>
      <c r="N39" s="226"/>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row>
    <row r="40" spans="1:75" s="18" customFormat="1" ht="13" x14ac:dyDescent="0.15">
      <c r="B40" s="82">
        <v>3</v>
      </c>
      <c r="C40" s="22" t="s">
        <v>223</v>
      </c>
      <c r="D40" s="77">
        <v>0.04</v>
      </c>
      <c r="E40" s="305">
        <v>0.04</v>
      </c>
      <c r="N40" s="226"/>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row>
    <row r="41" spans="1:75" s="18" customFormat="1" ht="13" x14ac:dyDescent="0.15">
      <c r="B41" s="82">
        <v>4</v>
      </c>
      <c r="C41" s="22" t="s">
        <v>544</v>
      </c>
      <c r="D41" s="77">
        <v>0.03</v>
      </c>
      <c r="E41" s="305">
        <v>0.03</v>
      </c>
      <c r="N41" s="226"/>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row>
    <row r="42" spans="1:75" s="18" customFormat="1" ht="13" x14ac:dyDescent="0.15">
      <c r="B42" s="83">
        <v>5</v>
      </c>
      <c r="C42" s="307" t="s">
        <v>545</v>
      </c>
      <c r="D42" s="80">
        <v>0</v>
      </c>
      <c r="E42" s="306">
        <v>0</v>
      </c>
      <c r="N42" s="226"/>
      <c r="P42" s="93"/>
      <c r="Q42" s="93"/>
      <c r="R42" s="93"/>
      <c r="S42" s="93"/>
      <c r="T42" s="93"/>
      <c r="U42" s="93"/>
      <c r="V42" s="21"/>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row>
    <row r="43" spans="1:75" s="18" customFormat="1" x14ac:dyDescent="0.15">
      <c r="A43" s="38"/>
      <c r="B43" s="38"/>
      <c r="C43" s="38"/>
      <c r="D43" s="38"/>
      <c r="E43" s="38"/>
      <c r="F43" s="38"/>
      <c r="G43" s="178"/>
      <c r="H43" s="38"/>
      <c r="I43" s="38"/>
      <c r="J43" s="38"/>
      <c r="K43" s="38"/>
      <c r="L43" s="38"/>
      <c r="M43" s="38"/>
      <c r="N43" s="162"/>
      <c r="O43" s="99"/>
      <c r="P43" s="99"/>
      <c r="Q43" s="99"/>
      <c r="R43" s="99"/>
      <c r="S43" s="99"/>
      <c r="T43" s="99"/>
      <c r="U43" s="99"/>
      <c r="V43" s="99"/>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row>
    <row r="44" spans="1:75" s="18" customFormat="1" ht="18" x14ac:dyDescent="0.2">
      <c r="A44" s="225" t="s">
        <v>280</v>
      </c>
      <c r="B44" s="171"/>
      <c r="C44" s="171"/>
      <c r="D44" s="171"/>
      <c r="E44" s="171"/>
      <c r="F44" s="171"/>
      <c r="G44" s="171"/>
      <c r="H44" s="171"/>
      <c r="I44" s="171"/>
      <c r="J44" s="171"/>
      <c r="K44" s="171"/>
      <c r="L44" s="171"/>
      <c r="M44" s="171"/>
      <c r="N44" s="153"/>
      <c r="O44" s="99"/>
      <c r="P44" s="99"/>
      <c r="Q44" s="99"/>
      <c r="R44" s="99"/>
      <c r="S44" s="99"/>
      <c r="T44" s="99"/>
      <c r="U44" s="99"/>
      <c r="V44" s="99"/>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row>
    <row r="45" spans="1:75" s="18" customFormat="1" x14ac:dyDescent="0.15">
      <c r="A45" s="99"/>
      <c r="B45" s="99"/>
      <c r="C45" s="99"/>
      <c r="D45" s="99"/>
      <c r="E45" s="99"/>
      <c r="F45" s="99"/>
      <c r="G45" s="99"/>
      <c r="H45" s="99"/>
      <c r="I45" s="99"/>
      <c r="J45" s="99"/>
      <c r="K45" s="99"/>
      <c r="L45" s="99"/>
      <c r="M45" s="99"/>
      <c r="N45" s="154"/>
      <c r="O45" s="99"/>
      <c r="P45" s="99"/>
      <c r="Q45" s="99"/>
      <c r="R45" s="99"/>
      <c r="S45" s="99"/>
      <c r="T45" s="99"/>
      <c r="U45" s="99"/>
      <c r="V45" s="99"/>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row>
    <row r="46" spans="1:75" s="18" customFormat="1" x14ac:dyDescent="0.15">
      <c r="A46" s="1"/>
      <c r="B46" s="37" t="s">
        <v>263</v>
      </c>
      <c r="C46" s="10"/>
      <c r="D46" s="1"/>
      <c r="E46" s="1"/>
      <c r="F46" s="1"/>
      <c r="G46" s="1"/>
      <c r="H46" s="1"/>
      <c r="I46" s="1"/>
      <c r="J46" s="1"/>
      <c r="K46" s="1"/>
      <c r="L46" s="1"/>
      <c r="M46" s="1"/>
      <c r="N46" s="154"/>
      <c r="O46" s="99"/>
      <c r="P46" s="99"/>
      <c r="Q46" s="99"/>
      <c r="R46" s="99"/>
      <c r="S46" s="99"/>
      <c r="T46" s="99"/>
      <c r="U46" s="99"/>
      <c r="V46" s="99"/>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row>
    <row r="47" spans="1:75" s="18" customFormat="1" x14ac:dyDescent="0.15">
      <c r="A47" s="1"/>
      <c r="B47" s="1"/>
      <c r="C47" s="1"/>
      <c r="D47" s="1"/>
      <c r="E47" s="1"/>
      <c r="F47" s="1"/>
      <c r="G47" s="1"/>
      <c r="H47" s="1"/>
      <c r="I47" s="1"/>
      <c r="J47" s="1"/>
      <c r="K47" s="1"/>
      <c r="L47" s="1"/>
      <c r="M47" s="1"/>
      <c r="N47" s="154"/>
      <c r="O47" s="99"/>
      <c r="P47" s="99"/>
      <c r="Q47" s="99"/>
      <c r="R47" s="99"/>
      <c r="S47" s="99"/>
      <c r="T47" s="99"/>
      <c r="U47" s="99"/>
      <c r="V47" s="99"/>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row>
    <row r="48" spans="1:75" s="18" customFormat="1" x14ac:dyDescent="0.15">
      <c r="A48" s="1"/>
      <c r="B48" s="87"/>
      <c r="C48" s="88"/>
      <c r="D48" s="88"/>
      <c r="E48" s="88"/>
      <c r="F48" s="88"/>
      <c r="G48" s="88"/>
      <c r="H48" s="88"/>
      <c r="I48" s="88"/>
      <c r="J48" s="88"/>
      <c r="K48" s="88"/>
      <c r="L48" s="88"/>
      <c r="M48" s="89"/>
      <c r="N48" s="156"/>
      <c r="O48" s="99"/>
      <c r="P48" s="99"/>
      <c r="Q48" s="99"/>
      <c r="R48" s="99"/>
      <c r="S48" s="99"/>
      <c r="T48" s="99"/>
      <c r="U48" s="99"/>
      <c r="V48" s="99"/>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row>
    <row r="49" spans="1:75" s="18" customFormat="1" ht="15" customHeight="1" x14ac:dyDescent="0.15">
      <c r="A49" s="1"/>
      <c r="B49" s="374" t="s">
        <v>231</v>
      </c>
      <c r="C49" s="374"/>
      <c r="D49" s="246">
        <v>2022</v>
      </c>
      <c r="E49" s="246">
        <v>2023</v>
      </c>
      <c r="F49" s="246">
        <v>2024</v>
      </c>
      <c r="G49" s="246">
        <v>2025</v>
      </c>
      <c r="H49" s="246">
        <v>2026</v>
      </c>
      <c r="I49" s="246">
        <v>2027</v>
      </c>
      <c r="J49" s="246">
        <v>2028</v>
      </c>
      <c r="K49" s="246">
        <v>2029</v>
      </c>
      <c r="L49" s="246">
        <v>2030</v>
      </c>
      <c r="M49" s="218"/>
      <c r="N49" s="156"/>
      <c r="O49" s="99"/>
      <c r="P49" s="99"/>
      <c r="Q49" s="99"/>
      <c r="R49" s="99"/>
      <c r="S49" s="99"/>
      <c r="T49" s="99"/>
      <c r="U49" s="99"/>
      <c r="V49" s="99"/>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row>
    <row r="50" spans="1:75" s="18" customFormat="1" ht="15" customHeight="1" x14ac:dyDescent="0.15">
      <c r="A50" s="1"/>
      <c r="B50" s="371" t="s">
        <v>276</v>
      </c>
      <c r="C50" s="371"/>
      <c r="D50" s="232">
        <v>0.1066</v>
      </c>
      <c r="E50" s="232">
        <v>0.1066</v>
      </c>
      <c r="F50" s="232">
        <v>0.1066</v>
      </c>
      <c r="G50" s="232">
        <v>0.1066</v>
      </c>
      <c r="H50" s="232">
        <v>0.1066</v>
      </c>
      <c r="I50" s="232">
        <v>0.1066</v>
      </c>
      <c r="J50" s="232">
        <v>0.1066</v>
      </c>
      <c r="K50" s="232">
        <v>0</v>
      </c>
      <c r="L50" s="232">
        <v>0</v>
      </c>
      <c r="M50" s="218"/>
      <c r="N50" s="156"/>
      <c r="O50" s="99"/>
      <c r="P50" s="99"/>
      <c r="Q50" s="99"/>
      <c r="R50" s="99"/>
      <c r="S50" s="99"/>
      <c r="T50" s="99"/>
      <c r="U50" s="99"/>
      <c r="V50" s="99"/>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row>
    <row r="51" spans="1:75" s="18" customFormat="1" ht="15" customHeight="1" x14ac:dyDescent="0.15">
      <c r="A51" s="1"/>
      <c r="B51" s="371" t="s">
        <v>277</v>
      </c>
      <c r="C51" s="371"/>
      <c r="D51" s="233">
        <v>0</v>
      </c>
      <c r="E51" s="233">
        <v>0</v>
      </c>
      <c r="F51" s="233">
        <v>8.3299999999999999E-2</v>
      </c>
      <c r="G51" s="233">
        <v>8.3299999999999999E-2</v>
      </c>
      <c r="H51" s="233">
        <v>8.3299999999999999E-2</v>
      </c>
      <c r="I51" s="233">
        <v>8.3299999999999999E-2</v>
      </c>
      <c r="J51" s="233">
        <v>8.3299999999999999E-2</v>
      </c>
      <c r="K51" s="233">
        <v>8.3299999999999999E-2</v>
      </c>
      <c r="L51" s="233">
        <v>8.3299999999999999E-2</v>
      </c>
      <c r="M51" s="218"/>
      <c r="N51" s="156"/>
      <c r="O51" s="99"/>
      <c r="P51" s="99"/>
      <c r="Q51" s="99"/>
      <c r="R51" s="99"/>
      <c r="S51" s="99"/>
      <c r="T51" s="99"/>
      <c r="U51" s="99"/>
      <c r="V51" s="99"/>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row>
    <row r="52" spans="1:75" s="18" customFormat="1" x14ac:dyDescent="0.15">
      <c r="A52" s="1"/>
      <c r="B52" s="234"/>
      <c r="C52" s="235"/>
      <c r="D52" s="236"/>
      <c r="E52" s="236"/>
      <c r="F52" s="236"/>
      <c r="G52" s="236"/>
      <c r="H52" s="235"/>
      <c r="I52" s="235"/>
      <c r="J52" s="235"/>
      <c r="K52" s="235"/>
      <c r="L52" s="235"/>
      <c r="M52" s="218"/>
      <c r="N52" s="156"/>
      <c r="O52" s="99"/>
      <c r="P52" s="99"/>
      <c r="Q52" s="99"/>
      <c r="R52" s="99"/>
      <c r="S52" s="99"/>
      <c r="T52" s="99"/>
      <c r="U52" s="99"/>
      <c r="V52" s="99"/>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row>
    <row r="53" spans="1:75" s="18" customFormat="1" ht="15" customHeight="1" x14ac:dyDescent="0.15">
      <c r="A53" s="1"/>
      <c r="B53" s="371" t="s">
        <v>229</v>
      </c>
      <c r="C53" s="371"/>
      <c r="D53" s="237">
        <f>D50+0.2542</f>
        <v>0.36080000000000001</v>
      </c>
      <c r="E53" s="237">
        <f>D50+E50+0.2542</f>
        <v>0.46739999999999998</v>
      </c>
      <c r="F53" s="237">
        <f>E50+F50+D50+0.2542</f>
        <v>0.57399999999999995</v>
      </c>
      <c r="G53" s="237">
        <f>D50+E50+F50+G50+0.2542</f>
        <v>0.68059999999999998</v>
      </c>
      <c r="H53" s="237">
        <f>D50+E50+F50+G50+H50+0.2542</f>
        <v>0.78720000000000001</v>
      </c>
      <c r="I53" s="237">
        <f>D50+E50+F50+G50+H50+I50+0.2542</f>
        <v>0.89380000000000004</v>
      </c>
      <c r="J53" s="237">
        <f>D50+E50+F50+G50+H50+I50+J50+0.2542</f>
        <v>1.0004</v>
      </c>
      <c r="K53" s="237">
        <f>J53</f>
        <v>1.0004</v>
      </c>
      <c r="L53" s="237">
        <f>J53</f>
        <v>1.0004</v>
      </c>
      <c r="M53" s="218"/>
      <c r="N53" s="156"/>
      <c r="O53" s="99"/>
      <c r="P53" s="99"/>
      <c r="Q53" s="99"/>
      <c r="R53" s="99"/>
      <c r="S53" s="99"/>
      <c r="T53" s="99"/>
      <c r="U53" s="99"/>
      <c r="V53" s="99"/>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row>
    <row r="54" spans="1:75" s="18" customFormat="1" ht="15" customHeight="1" x14ac:dyDescent="0.15">
      <c r="B54" s="371" t="s">
        <v>230</v>
      </c>
      <c r="C54" s="371"/>
      <c r="D54" s="237">
        <v>0.41660000000000003</v>
      </c>
      <c r="E54" s="237">
        <v>0.41660000000000003</v>
      </c>
      <c r="F54" s="237">
        <f>F51+0.4166</f>
        <v>0.49990000000000001</v>
      </c>
      <c r="G54" s="237">
        <f>+F51+G51+0.4166</f>
        <v>0.58320000000000005</v>
      </c>
      <c r="H54" s="237">
        <f>F51+G51+H51+0.4166</f>
        <v>0.66650000000000009</v>
      </c>
      <c r="I54" s="237">
        <f>F51+G51+H51+I51+0.4166</f>
        <v>0.74980000000000002</v>
      </c>
      <c r="J54" s="237">
        <f>F51+G51+H51+I51+J51+0.4166</f>
        <v>0.83309999999999995</v>
      </c>
      <c r="K54" s="237">
        <f>F51+G51+H51+I51+J51+K51+0.4166</f>
        <v>0.91639999999999999</v>
      </c>
      <c r="L54" s="237">
        <f>F51+G51+H51+I51+J51+K51+L51+0.4166</f>
        <v>0.99970000000000003</v>
      </c>
      <c r="M54" s="91"/>
      <c r="N54" s="156"/>
      <c r="O54" s="99"/>
      <c r="P54" s="99"/>
      <c r="Q54" s="99"/>
      <c r="R54" s="99"/>
      <c r="S54" s="99"/>
      <c r="T54" s="99"/>
      <c r="U54" s="99"/>
      <c r="V54" s="99"/>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row>
    <row r="55" spans="1:75" s="18" customFormat="1" x14ac:dyDescent="0.15">
      <c r="B55" s="238"/>
      <c r="C55" s="239"/>
      <c r="D55" s="240"/>
      <c r="E55" s="240"/>
      <c r="F55" s="240"/>
      <c r="G55" s="240"/>
      <c r="H55" s="240"/>
      <c r="I55" s="240"/>
      <c r="J55" s="240"/>
      <c r="K55" s="240"/>
      <c r="L55" s="240"/>
      <c r="M55" s="91"/>
      <c r="N55" s="156"/>
      <c r="O55" s="99"/>
      <c r="P55" s="99"/>
      <c r="Q55" s="99"/>
      <c r="R55" s="99"/>
      <c r="S55" s="99"/>
      <c r="T55" s="99"/>
      <c r="U55" s="99"/>
      <c r="V55" s="99"/>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row>
    <row r="56" spans="1:75" s="18" customFormat="1" x14ac:dyDescent="0.15">
      <c r="B56" s="241"/>
      <c r="C56" s="242"/>
      <c r="D56" s="242"/>
      <c r="E56" s="242"/>
      <c r="F56" s="242"/>
      <c r="G56" s="242"/>
      <c r="H56" s="242"/>
      <c r="I56" s="242"/>
      <c r="J56" s="242"/>
      <c r="K56" s="242"/>
      <c r="L56" s="242"/>
      <c r="M56" s="91"/>
      <c r="N56" s="156"/>
      <c r="O56" s="99"/>
      <c r="P56" s="99"/>
      <c r="Q56" s="99"/>
      <c r="R56" s="99"/>
      <c r="S56" s="99"/>
      <c r="T56" s="99"/>
      <c r="U56" s="99"/>
      <c r="V56" s="99"/>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row>
    <row r="57" spans="1:75" s="18" customFormat="1" ht="15" customHeight="1" x14ac:dyDescent="0.15">
      <c r="B57" s="371" t="s">
        <v>278</v>
      </c>
      <c r="C57" s="371"/>
      <c r="D57" s="243">
        <v>0.1066</v>
      </c>
      <c r="E57" s="243">
        <v>0.1066</v>
      </c>
      <c r="F57" s="243">
        <v>0.1066</v>
      </c>
      <c r="G57" s="243">
        <v>0.1066</v>
      </c>
      <c r="H57" s="243">
        <v>0.1066</v>
      </c>
      <c r="I57" s="243">
        <v>0.1066</v>
      </c>
      <c r="J57" s="243">
        <v>0.1066</v>
      </c>
      <c r="K57" s="243">
        <v>0</v>
      </c>
      <c r="L57" s="243">
        <v>0</v>
      </c>
      <c r="M57" s="91"/>
      <c r="N57" s="156"/>
      <c r="O57" s="99"/>
      <c r="P57" s="99"/>
      <c r="Q57" s="99"/>
      <c r="R57" s="99"/>
      <c r="S57" s="99"/>
      <c r="T57" s="99"/>
      <c r="U57" s="99"/>
      <c r="V57" s="99"/>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row>
    <row r="58" spans="1:75" s="18" customFormat="1" ht="15" customHeight="1" x14ac:dyDescent="0.15">
      <c r="B58" s="371" t="s">
        <v>279</v>
      </c>
      <c r="C58" s="371"/>
      <c r="D58" s="243">
        <v>0</v>
      </c>
      <c r="E58" s="243">
        <v>0</v>
      </c>
      <c r="F58" s="243">
        <v>8.3299999999999999E-2</v>
      </c>
      <c r="G58" s="243">
        <v>8.3299999999999999E-2</v>
      </c>
      <c r="H58" s="243">
        <v>8.3299999999999999E-2</v>
      </c>
      <c r="I58" s="243">
        <v>8.3299999999999999E-2</v>
      </c>
      <c r="J58" s="243">
        <v>8.3299999999999999E-2</v>
      </c>
      <c r="K58" s="243">
        <v>8.3299999999999999E-2</v>
      </c>
      <c r="L58" s="243">
        <v>8.3299999999999999E-2</v>
      </c>
      <c r="M58" s="91"/>
      <c r="N58" s="156"/>
      <c r="O58" s="99"/>
      <c r="P58" s="99"/>
      <c r="Q58" s="99"/>
      <c r="R58" s="99"/>
      <c r="S58" s="99"/>
      <c r="T58" s="99"/>
      <c r="U58" s="99"/>
      <c r="V58" s="99"/>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row>
    <row r="59" spans="1:75" s="18" customFormat="1" x14ac:dyDescent="0.15">
      <c r="B59" s="234"/>
      <c r="C59" s="244"/>
      <c r="D59" s="245"/>
      <c r="E59" s="245"/>
      <c r="F59" s="245"/>
      <c r="G59" s="245"/>
      <c r="H59" s="245"/>
      <c r="I59" s="245"/>
      <c r="J59" s="245"/>
      <c r="K59" s="245"/>
      <c r="L59" s="245"/>
      <c r="M59" s="91"/>
      <c r="N59" s="156"/>
      <c r="O59" s="99"/>
      <c r="P59" s="99"/>
      <c r="Q59" s="99"/>
      <c r="R59" s="99"/>
      <c r="S59" s="99"/>
      <c r="T59" s="99"/>
      <c r="U59" s="99"/>
      <c r="V59" s="99"/>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row>
    <row r="60" spans="1:75" s="18" customFormat="1" ht="15" customHeight="1" x14ac:dyDescent="0.15">
      <c r="B60" s="371" t="s">
        <v>229</v>
      </c>
      <c r="C60" s="371"/>
      <c r="D60" s="237">
        <f>D57+0.2542</f>
        <v>0.36080000000000001</v>
      </c>
      <c r="E60" s="237">
        <f t="shared" ref="E60:J60" si="0">D60+E57</f>
        <v>0.46740000000000004</v>
      </c>
      <c r="F60" s="237">
        <f t="shared" si="0"/>
        <v>0.57400000000000007</v>
      </c>
      <c r="G60" s="237">
        <f t="shared" si="0"/>
        <v>0.68060000000000009</v>
      </c>
      <c r="H60" s="237">
        <f t="shared" si="0"/>
        <v>0.78720000000000012</v>
      </c>
      <c r="I60" s="237">
        <f t="shared" si="0"/>
        <v>0.89380000000000015</v>
      </c>
      <c r="J60" s="237">
        <f t="shared" si="0"/>
        <v>1.0004000000000002</v>
      </c>
      <c r="K60" s="237">
        <f>J60</f>
        <v>1.0004000000000002</v>
      </c>
      <c r="L60" s="237">
        <f>K60</f>
        <v>1.0004000000000002</v>
      </c>
      <c r="M60" s="91"/>
      <c r="N60" s="156"/>
      <c r="O60" s="99"/>
      <c r="P60" s="99"/>
      <c r="Q60" s="99"/>
      <c r="R60" s="99"/>
      <c r="S60" s="99"/>
      <c r="T60" s="99"/>
      <c r="U60" s="99"/>
      <c r="V60" s="99"/>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row>
    <row r="61" spans="1:75" s="18" customFormat="1" ht="15" customHeight="1" x14ac:dyDescent="0.15">
      <c r="B61" s="371" t="s">
        <v>230</v>
      </c>
      <c r="C61" s="371"/>
      <c r="D61" s="237">
        <v>0.41660000000000003</v>
      </c>
      <c r="E61" s="237">
        <v>0.41660000000000003</v>
      </c>
      <c r="F61" s="237">
        <f>F58+0.4166</f>
        <v>0.49990000000000001</v>
      </c>
      <c r="G61" s="237">
        <f>+F58+G58+0.4166</f>
        <v>0.58320000000000005</v>
      </c>
      <c r="H61" s="237">
        <f>F58+G58+H58+0.4166</f>
        <v>0.66650000000000009</v>
      </c>
      <c r="I61" s="237">
        <f>F58+G58+H58+I58+0.4166</f>
        <v>0.74980000000000002</v>
      </c>
      <c r="J61" s="237">
        <f>F58+G58+H58+I58+J58+0.4166</f>
        <v>0.83309999999999995</v>
      </c>
      <c r="K61" s="237">
        <f>F58+G58+H58+I58+J58+K58+0.4166</f>
        <v>0.91639999999999999</v>
      </c>
      <c r="L61" s="237">
        <f>F58+G58+H58+I58+J58+K58+L58+0.4166</f>
        <v>0.99970000000000003</v>
      </c>
      <c r="M61" s="91"/>
      <c r="N61" s="156"/>
      <c r="O61" s="99"/>
      <c r="P61" s="99"/>
      <c r="Q61" s="99"/>
      <c r="R61" s="99"/>
      <c r="S61" s="99"/>
      <c r="T61" s="99"/>
      <c r="U61" s="99"/>
      <c r="V61" s="99"/>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row>
    <row r="62" spans="1:75" s="18" customFormat="1" x14ac:dyDescent="0.15">
      <c r="B62" s="95"/>
      <c r="C62" s="96"/>
      <c r="D62" s="96"/>
      <c r="E62" s="96"/>
      <c r="F62" s="96"/>
      <c r="G62" s="96"/>
      <c r="H62" s="96"/>
      <c r="I62" s="96"/>
      <c r="J62" s="96"/>
      <c r="K62" s="96"/>
      <c r="L62" s="96"/>
      <c r="M62" s="97"/>
      <c r="N62" s="156"/>
      <c r="O62" s="99"/>
      <c r="P62" s="99"/>
      <c r="Q62" s="99"/>
      <c r="R62" s="99"/>
      <c r="S62" s="99"/>
      <c r="T62" s="99"/>
      <c r="U62" s="99"/>
      <c r="V62" s="99"/>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row>
    <row r="63" spans="1:75" s="18" customFormat="1" x14ac:dyDescent="0.15">
      <c r="A63" s="99"/>
      <c r="B63" s="99"/>
      <c r="C63" s="99"/>
      <c r="D63" s="99"/>
      <c r="E63" s="99"/>
      <c r="F63" s="99"/>
      <c r="G63" s="99"/>
      <c r="H63" s="99"/>
      <c r="I63" s="99"/>
      <c r="J63" s="99"/>
      <c r="K63" s="99"/>
      <c r="L63" s="99"/>
      <c r="M63" s="99"/>
      <c r="N63" s="154"/>
      <c r="O63" s="99"/>
      <c r="P63" s="99"/>
      <c r="Q63" s="99"/>
      <c r="R63" s="99"/>
      <c r="S63" s="99"/>
      <c r="T63" s="99"/>
      <c r="U63" s="99"/>
      <c r="V63" s="99"/>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row>
    <row r="64" spans="1:75" s="18" customFormat="1" x14ac:dyDescent="0.15">
      <c r="A64" s="99"/>
      <c r="B64" s="99"/>
      <c r="C64" s="99"/>
      <c r="D64" s="99"/>
      <c r="E64" s="99"/>
      <c r="F64" s="99"/>
      <c r="G64" s="99"/>
      <c r="H64" s="99"/>
      <c r="I64" s="99"/>
      <c r="J64" s="99"/>
      <c r="K64" s="99"/>
      <c r="L64" s="99"/>
      <c r="M64" s="99"/>
      <c r="N64" s="154"/>
      <c r="O64" s="99"/>
      <c r="P64" s="99"/>
      <c r="Q64" s="99"/>
      <c r="R64" s="99"/>
      <c r="S64" s="99"/>
      <c r="T64" s="99"/>
      <c r="U64" s="99"/>
      <c r="V64" s="99"/>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row>
    <row r="65" spans="1:75" s="18" customFormat="1" x14ac:dyDescent="0.15">
      <c r="A65" s="38"/>
      <c r="B65" s="38"/>
      <c r="C65" s="38"/>
      <c r="D65" s="38"/>
      <c r="E65" s="38"/>
      <c r="F65" s="38"/>
      <c r="G65" s="38"/>
      <c r="H65" s="38"/>
      <c r="I65" s="38"/>
      <c r="J65" s="38"/>
      <c r="K65" s="38"/>
      <c r="L65" s="38"/>
      <c r="M65" s="38"/>
      <c r="N65" s="162"/>
      <c r="O65" s="99"/>
      <c r="P65" s="99"/>
      <c r="Q65" s="99"/>
      <c r="R65" s="99"/>
      <c r="S65" s="99"/>
      <c r="T65" s="99"/>
      <c r="U65" s="99"/>
      <c r="V65" s="99"/>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row>
    <row r="66" spans="1:75" s="18" customFormat="1" x14ac:dyDescent="0.15">
      <c r="A66" s="171"/>
      <c r="B66" s="171"/>
      <c r="C66" s="171"/>
      <c r="D66" s="171"/>
      <c r="E66" s="171"/>
      <c r="F66" s="171"/>
      <c r="G66" s="171"/>
      <c r="H66" s="171"/>
      <c r="I66" s="171"/>
      <c r="J66" s="171"/>
      <c r="K66" s="171"/>
      <c r="L66" s="171"/>
      <c r="M66" s="171"/>
      <c r="N66" s="153"/>
      <c r="O66" s="99"/>
      <c r="P66" s="99"/>
      <c r="Q66" s="99"/>
      <c r="R66" s="99"/>
      <c r="S66" s="99"/>
      <c r="T66" s="99"/>
      <c r="U66" s="99"/>
      <c r="V66" s="99"/>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row>
    <row r="67" spans="1:75" s="18" customFormat="1" x14ac:dyDescent="0.15">
      <c r="A67" s="99"/>
      <c r="B67" s="99"/>
      <c r="C67" s="99"/>
      <c r="D67" s="99"/>
      <c r="E67" s="99"/>
      <c r="F67" s="99"/>
      <c r="G67" s="99"/>
      <c r="H67" s="99"/>
      <c r="I67" s="99"/>
      <c r="J67" s="99"/>
      <c r="K67" s="99"/>
      <c r="L67" s="99"/>
      <c r="M67" s="99"/>
      <c r="N67" s="154"/>
      <c r="O67" s="99"/>
      <c r="P67" s="99"/>
      <c r="Q67" s="99"/>
      <c r="R67" s="99"/>
      <c r="S67" s="99"/>
      <c r="T67" s="99"/>
      <c r="U67" s="99"/>
      <c r="V67" s="99"/>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row>
    <row r="68" spans="1:75" s="18" customFormat="1" x14ac:dyDescent="0.15">
      <c r="A68" s="99"/>
      <c r="B68" s="99"/>
      <c r="C68" s="99"/>
      <c r="D68" s="99"/>
      <c r="E68" s="99"/>
      <c r="F68" s="99"/>
      <c r="G68" s="99"/>
      <c r="H68" s="99"/>
      <c r="I68" s="99"/>
      <c r="J68" s="99"/>
      <c r="K68" s="99"/>
      <c r="L68" s="99"/>
      <c r="M68" s="99"/>
      <c r="N68" s="154"/>
      <c r="O68" s="99"/>
      <c r="P68" s="99"/>
      <c r="Q68" s="99"/>
      <c r="R68" s="99"/>
      <c r="S68" s="99"/>
      <c r="T68" s="99"/>
      <c r="U68" s="99"/>
      <c r="V68" s="99"/>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row>
    <row r="69" spans="1:75" s="18" customFormat="1" ht="15" thickBot="1" x14ac:dyDescent="0.2">
      <c r="A69" s="173"/>
      <c r="B69" s="173"/>
      <c r="C69" s="173"/>
      <c r="D69" s="173"/>
      <c r="E69" s="173"/>
      <c r="F69" s="173"/>
      <c r="G69" s="173"/>
      <c r="H69" s="173"/>
      <c r="I69" s="173"/>
      <c r="J69" s="173"/>
      <c r="K69" s="173"/>
      <c r="L69" s="173"/>
      <c r="M69" s="173"/>
      <c r="N69" s="227"/>
      <c r="O69" s="99"/>
      <c r="P69" s="99"/>
      <c r="Q69" s="99"/>
      <c r="R69" s="99"/>
      <c r="S69" s="99"/>
      <c r="T69" s="99"/>
      <c r="U69" s="99"/>
      <c r="V69" s="99"/>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row>
    <row r="70" spans="1:75" s="18" customFormat="1" ht="25" x14ac:dyDescent="0.25">
      <c r="A70" s="217" t="s">
        <v>351</v>
      </c>
      <c r="B70" s="99"/>
      <c r="C70" s="99"/>
      <c r="D70" s="99"/>
      <c r="E70" s="99"/>
      <c r="F70" s="99"/>
      <c r="G70" s="99"/>
      <c r="H70" s="99"/>
      <c r="I70" s="99"/>
      <c r="J70" s="99"/>
      <c r="K70" s="99"/>
      <c r="L70" s="99"/>
      <c r="M70" s="99"/>
      <c r="N70" s="228"/>
      <c r="O70" s="99"/>
      <c r="P70" s="99"/>
      <c r="Q70" s="99"/>
      <c r="R70" s="99"/>
      <c r="S70" s="99"/>
      <c r="T70" s="99"/>
      <c r="U70" s="99"/>
      <c r="V70" s="99"/>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row>
    <row r="71" spans="1:75" s="18" customFormat="1" x14ac:dyDescent="0.15">
      <c r="A71" s="99"/>
      <c r="B71" s="99"/>
      <c r="C71" s="99"/>
      <c r="D71" s="99"/>
      <c r="E71" s="99"/>
      <c r="F71" s="99"/>
      <c r="G71" s="99"/>
      <c r="H71" s="99"/>
      <c r="I71" s="99"/>
      <c r="J71" s="99"/>
      <c r="K71" s="99"/>
      <c r="L71" s="99"/>
      <c r="M71" s="99"/>
      <c r="N71" s="154"/>
      <c r="O71" s="99"/>
      <c r="P71" s="99"/>
      <c r="Q71" s="99"/>
      <c r="R71" s="99"/>
      <c r="S71" s="99"/>
      <c r="T71" s="99"/>
      <c r="U71" s="99"/>
      <c r="V71" s="99"/>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row>
    <row r="72" spans="1:75" s="18" customFormat="1" x14ac:dyDescent="0.15">
      <c r="A72" s="99"/>
      <c r="B72" s="231" t="s">
        <v>210</v>
      </c>
      <c r="C72" s="99"/>
      <c r="D72" s="99"/>
      <c r="E72" s="99"/>
      <c r="F72" s="99"/>
      <c r="G72" s="99"/>
      <c r="H72" s="99"/>
      <c r="I72" s="99"/>
      <c r="J72" s="99"/>
      <c r="K72" s="99"/>
      <c r="L72" s="99"/>
      <c r="M72" s="99"/>
      <c r="N72" s="154"/>
      <c r="O72" s="99"/>
      <c r="P72" s="99"/>
      <c r="Q72" s="99"/>
      <c r="R72" s="99"/>
      <c r="S72" s="99"/>
      <c r="T72" s="99"/>
      <c r="U72" s="99"/>
      <c r="V72" s="99"/>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row>
    <row r="73" spans="1:75" s="18" customFormat="1" ht="15" customHeight="1" x14ac:dyDescent="0.15">
      <c r="A73" s="99"/>
      <c r="B73" s="372" t="s">
        <v>360</v>
      </c>
      <c r="C73" s="372"/>
      <c r="D73" s="372"/>
      <c r="E73" s="372"/>
      <c r="F73" s="372"/>
      <c r="G73" s="372"/>
      <c r="H73" s="99"/>
      <c r="I73" s="99"/>
      <c r="J73" s="99"/>
      <c r="K73" s="99"/>
      <c r="L73" s="99"/>
      <c r="M73" s="99"/>
      <c r="N73" s="154"/>
      <c r="O73" s="99"/>
      <c r="P73" s="99"/>
      <c r="Q73" s="99"/>
      <c r="R73" s="99"/>
      <c r="S73" s="99"/>
      <c r="T73" s="99"/>
      <c r="U73" s="99"/>
      <c r="V73" s="99"/>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row>
    <row r="74" spans="1:75" s="18" customFormat="1" x14ac:dyDescent="0.15">
      <c r="A74" s="99"/>
      <c r="B74" s="373"/>
      <c r="C74" s="373"/>
      <c r="D74" s="373"/>
      <c r="E74" s="373"/>
      <c r="F74" s="373"/>
      <c r="G74" s="373"/>
      <c r="H74" s="99"/>
      <c r="I74" s="99"/>
      <c r="J74" s="99"/>
      <c r="K74" s="99"/>
      <c r="L74" s="99"/>
      <c r="M74" s="99"/>
      <c r="N74" s="154"/>
      <c r="O74" s="99"/>
      <c r="P74" s="99"/>
      <c r="Q74" s="99"/>
      <c r="R74" s="99"/>
      <c r="S74" s="99"/>
      <c r="T74" s="99"/>
      <c r="U74" s="99"/>
      <c r="V74" s="99"/>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row>
    <row r="75" spans="1:75" s="18" customFormat="1" x14ac:dyDescent="0.15">
      <c r="A75" s="99"/>
      <c r="B75" s="373"/>
      <c r="C75" s="373"/>
      <c r="D75" s="373"/>
      <c r="E75" s="373"/>
      <c r="F75" s="373"/>
      <c r="G75" s="373"/>
      <c r="H75" s="99"/>
      <c r="I75" s="99"/>
      <c r="J75" s="99"/>
      <c r="K75" s="99"/>
      <c r="L75" s="99"/>
      <c r="M75" s="99"/>
      <c r="N75" s="154"/>
      <c r="O75" s="99"/>
      <c r="P75" s="99"/>
      <c r="Q75" s="99"/>
      <c r="R75" s="99"/>
      <c r="S75" s="99"/>
      <c r="T75" s="99"/>
      <c r="U75" s="99"/>
      <c r="V75" s="99"/>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row>
    <row r="76" spans="1:75" s="18" customFormat="1" x14ac:dyDescent="0.15">
      <c r="A76" s="99"/>
      <c r="B76" s="206"/>
      <c r="C76" s="206"/>
      <c r="D76" s="206"/>
      <c r="E76" s="206"/>
      <c r="F76" s="206"/>
      <c r="G76" s="99"/>
      <c r="H76" s="99"/>
      <c r="I76" s="99"/>
      <c r="J76" s="99"/>
      <c r="K76" s="99"/>
      <c r="L76" s="99"/>
      <c r="M76" s="99"/>
      <c r="N76" s="154"/>
      <c r="O76" s="99"/>
      <c r="P76" s="99"/>
      <c r="Q76" s="99"/>
      <c r="R76" s="99"/>
      <c r="S76" s="99"/>
      <c r="T76" s="99"/>
      <c r="U76" s="99"/>
      <c r="V76" s="99"/>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row>
    <row r="77" spans="1:75" s="18" customFormat="1" x14ac:dyDescent="0.15">
      <c r="G77" s="99"/>
      <c r="H77" s="99"/>
      <c r="I77" s="99"/>
      <c r="J77" s="99"/>
      <c r="K77" s="99"/>
      <c r="L77" s="99"/>
      <c r="M77" s="99"/>
      <c r="N77" s="154"/>
      <c r="O77" s="99"/>
      <c r="P77" s="99"/>
      <c r="Q77" s="99"/>
      <c r="R77" s="99"/>
      <c r="S77" s="99"/>
      <c r="T77" s="99"/>
      <c r="U77" s="99"/>
      <c r="V77" s="99"/>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row>
    <row r="78" spans="1:75" s="18" customFormat="1" x14ac:dyDescent="0.15">
      <c r="B78" s="37" t="s">
        <v>352</v>
      </c>
      <c r="C78" s="1"/>
      <c r="D78" s="1"/>
      <c r="G78" s="99"/>
      <c r="H78" s="99"/>
      <c r="I78" s="99"/>
      <c r="J78" s="99"/>
      <c r="K78" s="99"/>
      <c r="L78" s="99"/>
      <c r="M78" s="99"/>
      <c r="N78" s="154"/>
      <c r="O78" s="99"/>
      <c r="P78" s="99"/>
      <c r="Q78" s="99"/>
      <c r="R78" s="99"/>
      <c r="S78" s="99"/>
      <c r="T78" s="99"/>
      <c r="U78" s="99"/>
      <c r="V78" s="99"/>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row>
    <row r="79" spans="1:75" s="18" customFormat="1" x14ac:dyDescent="0.15">
      <c r="A79" s="1"/>
      <c r="B79" s="1"/>
      <c r="C79" s="1"/>
      <c r="D79" s="1"/>
      <c r="G79" s="99"/>
      <c r="H79" s="99"/>
      <c r="I79" s="99"/>
      <c r="J79" s="99"/>
      <c r="K79" s="99"/>
      <c r="L79" s="99"/>
      <c r="M79" s="99"/>
      <c r="N79" s="154"/>
      <c r="O79" s="99"/>
      <c r="P79" s="99"/>
      <c r="Q79" s="99"/>
      <c r="R79" s="99"/>
      <c r="S79" s="99"/>
      <c r="T79" s="99"/>
      <c r="U79" s="99"/>
      <c r="V79" s="99"/>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row>
    <row r="80" spans="1:75" s="18" customFormat="1" ht="65.25" customHeight="1" x14ac:dyDescent="0.15">
      <c r="A80" s="36"/>
      <c r="B80" s="123" t="s">
        <v>361</v>
      </c>
      <c r="C80" s="123" t="s">
        <v>639</v>
      </c>
      <c r="D80" s="124" t="s">
        <v>671</v>
      </c>
      <c r="E80" s="124" t="s">
        <v>640</v>
      </c>
      <c r="F80" s="124" t="s">
        <v>641</v>
      </c>
      <c r="G80" s="99"/>
      <c r="H80" s="99"/>
      <c r="I80" s="99"/>
      <c r="J80" s="99"/>
      <c r="K80" s="99"/>
      <c r="L80" s="99"/>
      <c r="M80" s="99"/>
      <c r="N80" s="154"/>
      <c r="O80" s="99"/>
      <c r="P80" s="99"/>
      <c r="Q80" s="99"/>
      <c r="R80" s="99"/>
      <c r="S80" s="99"/>
      <c r="T80" s="99"/>
      <c r="U80" s="99"/>
      <c r="V80" s="99"/>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row>
    <row r="81" spans="1:75" s="18" customFormat="1" x14ac:dyDescent="0.15">
      <c r="A81" s="112" t="s">
        <v>201</v>
      </c>
      <c r="B81" s="309">
        <f>SUM(Outputs!H20:H188)</f>
        <v>2360103841</v>
      </c>
      <c r="C81" s="309">
        <f>SUM(Outputs!M20:M188)</f>
        <v>2139188097.1334</v>
      </c>
      <c r="D81" s="309">
        <f>SUM(Outputs!I20:I188)</f>
        <v>2360103841</v>
      </c>
      <c r="E81" s="309">
        <f>SUM(Data!AL15:AL183)</f>
        <v>2093587133</v>
      </c>
      <c r="F81" s="309">
        <f>SUM('FY 22 OFA Shell'!AX27:AX195)</f>
        <v>2139188097.1334</v>
      </c>
      <c r="G81" s="99"/>
      <c r="H81" s="99"/>
      <c r="I81" s="99"/>
      <c r="J81" s="99"/>
      <c r="K81" s="99"/>
      <c r="L81" s="99"/>
      <c r="M81" s="99"/>
      <c r="N81" s="154"/>
      <c r="O81" s="99"/>
      <c r="P81" s="99"/>
      <c r="Q81" s="99"/>
      <c r="R81" s="99"/>
      <c r="S81" s="99"/>
      <c r="T81" s="99"/>
      <c r="U81" s="99"/>
      <c r="V81" s="99"/>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row>
    <row r="82" spans="1:75" s="18" customFormat="1" x14ac:dyDescent="0.15">
      <c r="A82" s="112" t="s">
        <v>668</v>
      </c>
      <c r="B82" s="309">
        <f>B81-$E$81</f>
        <v>266516708</v>
      </c>
      <c r="C82" s="309">
        <f>C81-$E$81</f>
        <v>45600964.133399963</v>
      </c>
      <c r="D82" s="309">
        <f>D81-$E$81</f>
        <v>266516708</v>
      </c>
      <c r="E82" s="309">
        <f>E81-$E$81</f>
        <v>0</v>
      </c>
      <c r="F82" s="309">
        <f>F81-$E$81</f>
        <v>45600964.133399963</v>
      </c>
      <c r="G82" s="99"/>
      <c r="H82" s="99"/>
      <c r="I82" s="99"/>
      <c r="J82" s="99"/>
      <c r="K82" s="99"/>
      <c r="L82" s="99"/>
      <c r="M82" s="99"/>
      <c r="N82" s="154"/>
      <c r="O82" s="99"/>
      <c r="P82" s="99"/>
      <c r="Q82" s="99"/>
      <c r="R82" s="99"/>
      <c r="S82" s="99"/>
      <c r="T82" s="99"/>
      <c r="U82" s="99"/>
      <c r="V82" s="99"/>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row>
    <row r="83" spans="1:75" s="18" customFormat="1" x14ac:dyDescent="0.15">
      <c r="A83" s="99"/>
      <c r="B83" s="202"/>
      <c r="C83" s="202"/>
      <c r="D83" s="202"/>
      <c r="E83" s="202"/>
      <c r="F83" s="202"/>
      <c r="G83" s="99"/>
      <c r="H83" s="99"/>
      <c r="I83" s="99"/>
      <c r="J83" s="99"/>
      <c r="K83" s="99"/>
      <c r="L83" s="99"/>
      <c r="M83" s="99"/>
      <c r="N83" s="154"/>
      <c r="O83" s="99"/>
      <c r="P83" s="99"/>
      <c r="Q83" s="99"/>
      <c r="R83" s="99"/>
      <c r="S83" s="99"/>
      <c r="T83" s="99"/>
      <c r="U83" s="99"/>
      <c r="V83" s="99"/>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row>
    <row r="84" spans="1:75" s="18" customFormat="1" x14ac:dyDescent="0.15">
      <c r="A84" s="99"/>
      <c r="B84" s="200"/>
      <c r="C84" s="200"/>
      <c r="D84" s="200"/>
      <c r="E84" s="200"/>
      <c r="F84" s="200"/>
      <c r="G84" s="99"/>
      <c r="H84" s="99"/>
      <c r="I84" s="99"/>
      <c r="J84" s="99"/>
      <c r="K84" s="99"/>
      <c r="L84" s="99"/>
      <c r="M84" s="99"/>
      <c r="N84" s="154"/>
      <c r="O84" s="99"/>
      <c r="P84" s="99"/>
      <c r="Q84" s="99"/>
      <c r="R84" s="99"/>
      <c r="S84" s="99"/>
      <c r="T84" s="99"/>
      <c r="U84" s="99"/>
      <c r="V84" s="99"/>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row>
    <row r="85" spans="1:75" s="18" customFormat="1" x14ac:dyDescent="0.15">
      <c r="A85" s="164"/>
      <c r="B85" s="171"/>
      <c r="C85" s="171"/>
      <c r="D85" s="171"/>
      <c r="E85" s="171"/>
      <c r="F85" s="171"/>
      <c r="G85" s="171"/>
      <c r="H85" s="171"/>
      <c r="I85" s="171"/>
      <c r="J85" s="171"/>
      <c r="K85" s="171"/>
      <c r="L85" s="171"/>
      <c r="M85" s="171"/>
      <c r="N85" s="15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row>
    <row r="86" spans="1:75" s="18" customFormat="1" x14ac:dyDescent="0.15">
      <c r="A86" s="155"/>
      <c r="B86" s="163" t="s">
        <v>691</v>
      </c>
      <c r="C86" s="99"/>
      <c r="D86" s="99"/>
      <c r="E86" s="99"/>
      <c r="F86" s="99"/>
      <c r="G86" s="99"/>
      <c r="H86" s="99"/>
      <c r="I86" s="99"/>
      <c r="J86" s="99"/>
      <c r="K86" s="99"/>
      <c r="L86" s="99"/>
      <c r="M86" s="99"/>
      <c r="N86" s="154"/>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row>
    <row r="87" spans="1:75" s="18" customFormat="1" x14ac:dyDescent="0.15">
      <c r="A87" s="155"/>
      <c r="C87" s="99"/>
      <c r="D87" s="99"/>
      <c r="E87" s="99"/>
      <c r="F87" s="99"/>
      <c r="G87" s="99"/>
      <c r="H87" s="99"/>
      <c r="I87" s="99"/>
      <c r="J87" s="99"/>
      <c r="K87" s="99"/>
      <c r="L87" s="99"/>
      <c r="M87" s="99"/>
      <c r="N87" s="154"/>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row>
    <row r="88" spans="1:75" s="18" customFormat="1" x14ac:dyDescent="0.15">
      <c r="A88" s="155"/>
      <c r="B88" s="99"/>
      <c r="C88" s="99"/>
      <c r="D88" s="1"/>
      <c r="E88" s="99"/>
      <c r="F88" s="99"/>
      <c r="G88" s="99"/>
      <c r="H88" s="99"/>
      <c r="I88" s="99"/>
      <c r="J88" s="99"/>
      <c r="K88" s="99"/>
      <c r="L88" s="99"/>
      <c r="M88" s="99"/>
      <c r="N88" s="154"/>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row>
    <row r="89" spans="1:75" s="18" customFormat="1" x14ac:dyDescent="0.15">
      <c r="A89" s="155"/>
      <c r="B89" s="221" t="s">
        <v>231</v>
      </c>
      <c r="C89" s="221">
        <v>2022</v>
      </c>
      <c r="D89" s="221">
        <v>2023</v>
      </c>
      <c r="E89" s="221">
        <v>2024</v>
      </c>
      <c r="F89" s="221">
        <v>2025</v>
      </c>
      <c r="G89" s="221">
        <v>2026</v>
      </c>
      <c r="H89" s="221">
        <v>2027</v>
      </c>
      <c r="I89" s="221">
        <v>2028</v>
      </c>
      <c r="J89" s="221">
        <v>2029</v>
      </c>
      <c r="K89" s="221">
        <v>2030</v>
      </c>
      <c r="L89" s="99"/>
      <c r="M89" s="99"/>
      <c r="N89" s="154"/>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row>
    <row r="90" spans="1:75" s="18" customFormat="1" ht="26.25" customHeight="1" x14ac:dyDescent="0.15">
      <c r="A90" s="155"/>
      <c r="B90" s="195" t="s">
        <v>362</v>
      </c>
      <c r="C90" s="196">
        <f>ROUND(SUM(Outputs!M20:M188)/1000000,0)</f>
        <v>2139</v>
      </c>
      <c r="D90" s="196">
        <f>ROUND(SUM(Outputs!N20:N188)/1000000,0)</f>
        <v>2185</v>
      </c>
      <c r="E90" s="196">
        <f>ROUND(SUM(Outputs!O20:O188)/1000000,0)</f>
        <v>2223</v>
      </c>
      <c r="F90" s="196">
        <f>ROUND(SUM(Outputs!P20:P188)/1000000,0)</f>
        <v>2262</v>
      </c>
      <c r="G90" s="196">
        <f>ROUND(SUM(Outputs!Q20:Q188)/1000000,0)</f>
        <v>2300</v>
      </c>
      <c r="H90" s="196">
        <f>ROUND(SUM(Outputs!R20:R188)/1000000,0)</f>
        <v>2339</v>
      </c>
      <c r="I90" s="196">
        <f>ROUND(SUM(Outputs!S20:S188)/1000000,0)</f>
        <v>2376</v>
      </c>
      <c r="J90" s="196">
        <f>ROUND(SUM(Outputs!T20:T188)/1000000,0)</f>
        <v>2369</v>
      </c>
      <c r="K90" s="196">
        <f>ROUND(SUM(Outputs!U20:U188)/1000000,0)</f>
        <v>2360</v>
      </c>
      <c r="L90" s="99"/>
      <c r="M90" s="99"/>
      <c r="N90" s="154"/>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row>
    <row r="91" spans="1:75" s="18" customFormat="1" x14ac:dyDescent="0.15">
      <c r="A91" s="155"/>
      <c r="B91" s="194" t="s">
        <v>341</v>
      </c>
      <c r="C91" s="201">
        <f>ROUND(SUM(Outputs!V20:V188)/1000000,0)</f>
        <v>2139</v>
      </c>
      <c r="D91" s="201">
        <f>ROUND(SUM(Outputs!W20:W188)/1000000,0)</f>
        <v>2185</v>
      </c>
      <c r="E91" s="201">
        <f>ROUND(SUM(Outputs!X20:X188)/1000000,0)</f>
        <v>2223</v>
      </c>
      <c r="F91" s="201">
        <f>ROUND(SUM(Outputs!Y20:Y188)/1000000,0)</f>
        <v>2262</v>
      </c>
      <c r="G91" s="201">
        <f>ROUND(SUM(Outputs!Z20:Z188)/1000000,0)</f>
        <v>2300</v>
      </c>
      <c r="H91" s="201">
        <f>ROUND(SUM(Outputs!AA20:AA188)/1000000,0)</f>
        <v>2339</v>
      </c>
      <c r="I91" s="201">
        <f>ROUND(SUM(Outputs!AB20:AB188)/1000000,0)</f>
        <v>2376</v>
      </c>
      <c r="J91" s="201">
        <f>ROUND(SUM(Outputs!AC20:AC188)/1000000,0)</f>
        <v>2369</v>
      </c>
      <c r="K91" s="201">
        <f>ROUND(SUM(Outputs!AD20:AD188)/1000000,0)</f>
        <v>2360</v>
      </c>
      <c r="L91" s="99"/>
      <c r="M91" s="99"/>
      <c r="N91" s="154"/>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row>
    <row r="92" spans="1:75" s="18" customFormat="1" x14ac:dyDescent="0.15">
      <c r="A92" s="155"/>
      <c r="B92" s="99"/>
      <c r="C92" s="99"/>
      <c r="D92" s="99"/>
      <c r="E92" s="99"/>
      <c r="F92" s="99"/>
      <c r="G92" s="99"/>
      <c r="H92" s="99"/>
      <c r="I92" s="99"/>
      <c r="J92" s="99"/>
      <c r="K92" s="99"/>
      <c r="L92" s="99"/>
      <c r="M92" s="99"/>
      <c r="N92" s="154"/>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row>
    <row r="93" spans="1:75" s="18" customFormat="1" x14ac:dyDescent="0.15">
      <c r="A93" s="155"/>
      <c r="B93" s="1"/>
      <c r="C93" s="1"/>
      <c r="D93" s="1"/>
      <c r="E93" s="1"/>
      <c r="F93" s="1"/>
      <c r="G93" s="1"/>
      <c r="H93" s="1"/>
      <c r="I93" s="1"/>
      <c r="J93" s="1"/>
      <c r="K93" s="1"/>
      <c r="L93" s="1"/>
      <c r="M93" s="183"/>
      <c r="N93" s="182"/>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row>
    <row r="94" spans="1:75" s="18" customFormat="1" x14ac:dyDescent="0.15">
      <c r="A94" s="155"/>
      <c r="B94" s="1"/>
      <c r="C94" s="1"/>
      <c r="D94" s="1"/>
      <c r="E94" s="1"/>
      <c r="F94" s="1"/>
      <c r="G94" s="1"/>
      <c r="H94" s="1"/>
      <c r="I94" s="1"/>
      <c r="J94" s="1"/>
      <c r="K94" s="1"/>
      <c r="L94" s="1"/>
      <c r="M94" s="183"/>
      <c r="N94" s="182"/>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row>
    <row r="95" spans="1:75" s="18" customFormat="1" ht="13" x14ac:dyDescent="0.15">
      <c r="A95" s="157"/>
      <c r="M95" s="21"/>
      <c r="N95" s="160"/>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row>
    <row r="96" spans="1:75" s="18" customFormat="1" ht="13" x14ac:dyDescent="0.15">
      <c r="A96" s="157"/>
      <c r="M96" s="21"/>
      <c r="N96" s="160"/>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row>
    <row r="97" spans="1:75" s="18" customFormat="1" ht="13" x14ac:dyDescent="0.15">
      <c r="A97" s="157"/>
      <c r="M97" s="21"/>
      <c r="N97" s="160"/>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row>
    <row r="98" spans="1:75" s="18" customFormat="1" ht="13" x14ac:dyDescent="0.15">
      <c r="A98" s="157"/>
      <c r="M98" s="21"/>
      <c r="N98" s="160"/>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row>
    <row r="99" spans="1:75" s="18" customFormat="1" ht="13" x14ac:dyDescent="0.15">
      <c r="A99" s="157"/>
      <c r="M99" s="21"/>
      <c r="N99" s="160"/>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row>
    <row r="100" spans="1:75" s="18" customFormat="1" ht="13" x14ac:dyDescent="0.15">
      <c r="A100" s="157"/>
      <c r="M100" s="21"/>
      <c r="N100" s="160"/>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row>
    <row r="101" spans="1:75" s="18" customFormat="1" ht="13" x14ac:dyDescent="0.15">
      <c r="A101" s="157"/>
      <c r="M101" s="21"/>
      <c r="N101" s="160"/>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row>
    <row r="102" spans="1:75" s="18" customFormat="1" ht="13" x14ac:dyDescent="0.15">
      <c r="A102" s="157"/>
      <c r="M102" s="21"/>
      <c r="N102" s="160"/>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row>
    <row r="103" spans="1:75" s="18" customFormat="1" x14ac:dyDescent="0.15">
      <c r="A103" s="159"/>
      <c r="B103" s="16"/>
      <c r="C103" s="16"/>
      <c r="D103" s="16"/>
      <c r="E103" s="16"/>
      <c r="F103" s="16"/>
      <c r="G103" s="16"/>
      <c r="H103" s="16"/>
      <c r="I103" s="16"/>
      <c r="J103" s="16"/>
      <c r="K103" s="16"/>
      <c r="L103" s="16"/>
      <c r="M103" s="172"/>
      <c r="N103" s="158"/>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row>
    <row r="104" spans="1:75" s="18" customFormat="1" ht="13" x14ac:dyDescent="0.15">
      <c r="A104" s="157"/>
      <c r="L104" s="21"/>
      <c r="M104" s="93"/>
      <c r="N104" s="156"/>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row>
    <row r="105" spans="1:75" s="18" customFormat="1" ht="13" x14ac:dyDescent="0.15">
      <c r="A105" s="157"/>
      <c r="L105" s="21"/>
      <c r="M105" s="93"/>
      <c r="N105" s="156"/>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row>
    <row r="106" spans="1:75" s="18" customFormat="1" ht="13" x14ac:dyDescent="0.15">
      <c r="A106" s="157"/>
      <c r="L106" s="21"/>
      <c r="M106" s="93"/>
      <c r="N106" s="156"/>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row>
    <row r="107" spans="1:75" s="18" customFormat="1" ht="13" x14ac:dyDescent="0.15">
      <c r="A107" s="157"/>
      <c r="L107" s="21"/>
      <c r="M107" s="93"/>
      <c r="N107" s="156"/>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row>
    <row r="108" spans="1:75" s="18" customFormat="1" ht="13" x14ac:dyDescent="0.15">
      <c r="A108" s="157"/>
      <c r="L108" s="21"/>
      <c r="M108" s="93"/>
      <c r="N108" s="156"/>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row>
    <row r="109" spans="1:75" s="18" customFormat="1" ht="13" x14ac:dyDescent="0.15">
      <c r="A109" s="157"/>
      <c r="L109" s="21"/>
      <c r="M109" s="93"/>
      <c r="N109" s="156"/>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row>
    <row r="110" spans="1:75" s="18" customFormat="1" ht="13" x14ac:dyDescent="0.15">
      <c r="A110" s="157"/>
      <c r="L110" s="21"/>
      <c r="M110" s="93"/>
      <c r="N110" s="156"/>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row>
    <row r="111" spans="1:75" s="18" customFormat="1" ht="13" x14ac:dyDescent="0.15">
      <c r="A111" s="161"/>
      <c r="B111" s="21"/>
      <c r="C111" s="21"/>
      <c r="D111" s="21"/>
      <c r="E111" s="21"/>
      <c r="F111" s="21"/>
      <c r="G111" s="21"/>
      <c r="H111" s="21"/>
      <c r="I111" s="21"/>
      <c r="J111" s="21"/>
      <c r="K111" s="21"/>
      <c r="L111" s="21"/>
      <c r="M111" s="93"/>
      <c r="N111" s="156"/>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row>
    <row r="112" spans="1:75" s="18" customFormat="1" x14ac:dyDescent="0.15">
      <c r="A112" s="155"/>
      <c r="B112" s="99"/>
      <c r="C112" s="99"/>
      <c r="D112" s="99"/>
      <c r="E112" s="99"/>
      <c r="F112" s="99"/>
      <c r="G112" s="99"/>
      <c r="H112" s="99"/>
      <c r="I112" s="99"/>
      <c r="J112" s="99"/>
      <c r="K112" s="99"/>
      <c r="L112" s="99"/>
      <c r="M112" s="99"/>
      <c r="N112" s="154"/>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row>
    <row r="113" spans="1:75" s="18" customFormat="1" ht="13" x14ac:dyDescent="0.15">
      <c r="A113" s="180"/>
      <c r="B113" s="178"/>
      <c r="C113" s="178"/>
      <c r="D113" s="178"/>
      <c r="E113" s="178"/>
      <c r="F113" s="178"/>
      <c r="G113" s="178"/>
      <c r="H113" s="178"/>
      <c r="I113" s="178"/>
      <c r="J113" s="178"/>
      <c r="K113" s="178"/>
      <c r="L113" s="178"/>
      <c r="M113" s="178"/>
      <c r="N113" s="156"/>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row>
    <row r="114" spans="1:75" s="18" customFormat="1" x14ac:dyDescent="0.15">
      <c r="B114" s="171"/>
      <c r="C114" s="171"/>
      <c r="D114" s="171"/>
      <c r="G114" s="171"/>
      <c r="H114" s="171"/>
      <c r="I114" s="171"/>
      <c r="J114" s="171"/>
      <c r="K114" s="177"/>
      <c r="L114" s="177"/>
      <c r="M114" s="177"/>
      <c r="N114" s="181"/>
      <c r="O114" s="99"/>
      <c r="P114" s="99"/>
      <c r="Q114" s="99"/>
      <c r="R114" s="99"/>
      <c r="S114" s="99"/>
      <c r="T114" s="99"/>
      <c r="U114" s="99"/>
      <c r="V114" s="99"/>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row>
    <row r="115" spans="1:75" s="18" customFormat="1" x14ac:dyDescent="0.15">
      <c r="A115" s="155"/>
      <c r="B115" s="163" t="s">
        <v>570</v>
      </c>
      <c r="C115" s="99"/>
      <c r="D115" s="99"/>
      <c r="G115" s="99"/>
      <c r="H115" s="99"/>
      <c r="I115" s="99"/>
      <c r="J115" s="99"/>
      <c r="K115" s="2"/>
      <c r="L115" s="2"/>
      <c r="M115" s="183"/>
      <c r="N115" s="182"/>
      <c r="O115" s="99"/>
      <c r="P115" s="99"/>
      <c r="Q115" s="99"/>
      <c r="R115" s="99"/>
      <c r="S115" s="99"/>
      <c r="T115" s="99"/>
      <c r="U115" s="99"/>
      <c r="V115" s="99"/>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row>
    <row r="116" spans="1:75" s="18" customFormat="1" x14ac:dyDescent="0.15">
      <c r="A116" s="155"/>
      <c r="B116" s="99"/>
      <c r="C116" s="99"/>
      <c r="D116" s="99"/>
      <c r="E116" s="220"/>
      <c r="F116" s="220"/>
      <c r="G116" s="99"/>
      <c r="H116" s="99"/>
      <c r="I116" s="99"/>
      <c r="J116" s="99"/>
      <c r="K116" s="2"/>
      <c r="L116" s="2"/>
      <c r="M116" s="183"/>
      <c r="N116" s="182"/>
      <c r="O116" s="99"/>
      <c r="P116" s="99"/>
      <c r="Q116" s="99"/>
      <c r="R116" s="99"/>
      <c r="S116" s="99"/>
      <c r="T116" s="99"/>
      <c r="U116" s="99"/>
      <c r="V116" s="99"/>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row>
    <row r="117" spans="1:75" s="18" customFormat="1" x14ac:dyDescent="0.15">
      <c r="A117" s="155"/>
      <c r="B117" s="221" t="s">
        <v>339</v>
      </c>
      <c r="C117" s="367" t="s">
        <v>5</v>
      </c>
      <c r="D117" s="99"/>
      <c r="E117" s="220"/>
      <c r="F117" s="220"/>
      <c r="G117" s="99"/>
      <c r="H117" s="99"/>
      <c r="I117" s="99"/>
      <c r="J117" s="99"/>
      <c r="K117" s="2"/>
      <c r="L117" s="2"/>
      <c r="M117" s="183"/>
      <c r="N117" s="182"/>
      <c r="O117" s="99"/>
      <c r="P117" s="99"/>
      <c r="Q117" s="99"/>
      <c r="R117" s="99"/>
      <c r="S117" s="99"/>
      <c r="T117" s="99"/>
      <c r="U117" s="99"/>
      <c r="V117" s="99"/>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row>
    <row r="118" spans="1:75" s="18" customFormat="1" x14ac:dyDescent="0.15">
      <c r="A118" s="155"/>
      <c r="B118" s="99"/>
      <c r="C118" s="99"/>
      <c r="D118" s="99"/>
      <c r="E118" s="220"/>
      <c r="F118" s="220"/>
      <c r="G118" s="99"/>
      <c r="H118" s="99"/>
      <c r="I118" s="99"/>
      <c r="J118" s="99"/>
      <c r="K118" s="2"/>
      <c r="L118" s="2"/>
      <c r="M118" s="183"/>
      <c r="N118" s="182"/>
      <c r="O118" s="99"/>
      <c r="P118" s="99"/>
      <c r="Q118" s="99"/>
      <c r="R118" s="99"/>
      <c r="S118" s="99"/>
      <c r="T118" s="99"/>
      <c r="U118" s="99"/>
      <c r="V118" s="99"/>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row>
    <row r="119" spans="1:75" s="18" customFormat="1" x14ac:dyDescent="0.15">
      <c r="A119" s="155"/>
      <c r="B119" s="163" t="s">
        <v>363</v>
      </c>
      <c r="C119" s="99"/>
      <c r="D119" s="99"/>
      <c r="E119" s="99"/>
      <c r="F119" s="99"/>
      <c r="G119" s="99"/>
      <c r="H119" s="99"/>
      <c r="I119" s="99"/>
      <c r="J119" s="99"/>
      <c r="K119" s="2"/>
      <c r="L119" s="2"/>
      <c r="M119" s="183"/>
      <c r="N119" s="182"/>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row>
    <row r="120" spans="1:75" s="18" customFormat="1" x14ac:dyDescent="0.15">
      <c r="A120" s="155"/>
      <c r="B120" s="99"/>
      <c r="C120" s="99"/>
      <c r="D120" s="99"/>
      <c r="E120" s="99"/>
      <c r="F120" s="99"/>
      <c r="G120" s="99"/>
      <c r="H120" s="99"/>
      <c r="I120" s="99"/>
      <c r="J120" s="99"/>
      <c r="K120" s="99"/>
      <c r="L120" s="99"/>
      <c r="M120" s="93"/>
      <c r="N120" s="156"/>
      <c r="AB120" s="21"/>
      <c r="AC120" s="21"/>
      <c r="AD120" s="21"/>
      <c r="AE120" s="21"/>
      <c r="AF120" s="21"/>
      <c r="AG120" s="21"/>
      <c r="AH120" s="21"/>
      <c r="AI120" s="21"/>
      <c r="AJ120" s="21"/>
      <c r="AK120" s="21"/>
      <c r="AL120" s="21"/>
      <c r="AM120" s="21"/>
      <c r="AN120" s="21"/>
      <c r="AO120" s="21"/>
    </row>
    <row r="121" spans="1:75" s="18" customFormat="1" ht="15" x14ac:dyDescent="0.15">
      <c r="A121" s="155"/>
      <c r="B121" s="247" t="s">
        <v>231</v>
      </c>
      <c r="C121" s="247">
        <v>2022</v>
      </c>
      <c r="D121" s="247">
        <v>2023</v>
      </c>
      <c r="E121" s="247">
        <v>2024</v>
      </c>
      <c r="F121" s="247">
        <v>2025</v>
      </c>
      <c r="G121" s="247">
        <v>2026</v>
      </c>
      <c r="H121" s="247">
        <v>2027</v>
      </c>
      <c r="I121" s="247">
        <v>2028</v>
      </c>
      <c r="J121" s="247">
        <v>2029</v>
      </c>
      <c r="K121" s="247">
        <v>2030</v>
      </c>
      <c r="L121" s="99"/>
      <c r="M121" s="93"/>
      <c r="N121" s="156"/>
      <c r="AB121" s="21"/>
      <c r="AC121" s="21"/>
      <c r="AD121" s="21"/>
      <c r="AE121" s="21"/>
      <c r="AF121" s="21"/>
      <c r="AG121" s="21"/>
      <c r="AH121" s="21"/>
      <c r="AI121" s="21"/>
      <c r="AJ121" s="21"/>
      <c r="AK121" s="21"/>
      <c r="AL121" s="21"/>
      <c r="AM121" s="21"/>
      <c r="AN121" s="21"/>
      <c r="AO121" s="21"/>
    </row>
    <row r="122" spans="1:75" s="18" customFormat="1" ht="28" x14ac:dyDescent="0.15">
      <c r="A122" s="155"/>
      <c r="B122" s="195" t="s">
        <v>347</v>
      </c>
      <c r="C122" s="196">
        <f>ROUND(INDEX(Outputs!M20:M188,MATCH($C$117,Outputs!$A$20:$A$188,0))/1000,0)</f>
        <v>2005</v>
      </c>
      <c r="D122" s="196">
        <f>ROUND(INDEX(Outputs!N20:N188,MATCH($C$117,Outputs!$A$20:$A$188,0))/1000,0)</f>
        <v>2005</v>
      </c>
      <c r="E122" s="196">
        <f>ROUND(INDEX(Outputs!O20:O188,MATCH($C$117,Outputs!$A$20:$A$188,0))/1000,0)</f>
        <v>1948</v>
      </c>
      <c r="F122" s="196">
        <f>ROUND(INDEX(Outputs!P20:P188,MATCH($C$117,Outputs!$A$20:$A$188,0))/1000,0)</f>
        <v>1891</v>
      </c>
      <c r="G122" s="196">
        <f>ROUND(INDEX(Outputs!Q20:Q188,MATCH($C$117,Outputs!$A$20:$A$188,0))/1000,0)</f>
        <v>1833</v>
      </c>
      <c r="H122" s="196">
        <f>ROUND(INDEX(Outputs!R20:R188,MATCH($C$117,Outputs!$A$20:$A$188,0))/1000,0)</f>
        <v>1776</v>
      </c>
      <c r="I122" s="196">
        <f>ROUND(INDEX(Outputs!S20:S188,MATCH($C$117,Outputs!$A$20:$A$188,0))/1000,0)</f>
        <v>1719</v>
      </c>
      <c r="J122" s="196">
        <f>ROUND(INDEX(Outputs!T20:T188,MATCH($C$117,Outputs!$A$20:$A$188,0))/1000,0)</f>
        <v>1662</v>
      </c>
      <c r="K122" s="196">
        <f>ROUND(INDEX(Outputs!U20:U188,MATCH($C$117,Outputs!$A$20:$A$188,0))/1000,0)</f>
        <v>1645</v>
      </c>
      <c r="L122" s="99"/>
      <c r="M122" s="93"/>
      <c r="N122" s="156"/>
      <c r="AB122" s="21"/>
      <c r="AC122" s="21"/>
      <c r="AD122" s="21"/>
      <c r="AE122" s="21"/>
      <c r="AF122" s="21"/>
      <c r="AG122" s="21"/>
      <c r="AH122" s="21"/>
      <c r="AI122" s="21"/>
      <c r="AJ122" s="21"/>
      <c r="AK122" s="21"/>
      <c r="AL122" s="21"/>
      <c r="AM122" s="21"/>
      <c r="AN122" s="21"/>
      <c r="AO122" s="21"/>
    </row>
    <row r="123" spans="1:75" s="18" customFormat="1" x14ac:dyDescent="0.15">
      <c r="A123" s="155"/>
      <c r="B123" s="194" t="s">
        <v>341</v>
      </c>
      <c r="C123" s="196">
        <f>ROUND(INDEX(Outputs!V20:V188,MATCH($C$117,Outputs!$A$20:$A$188,0))/1000,0)</f>
        <v>2005</v>
      </c>
      <c r="D123" s="196">
        <f>ROUND(INDEX(Outputs!W20:W188,MATCH($C$117,Outputs!$A$20:$A$188,0))/1000,0)</f>
        <v>2005</v>
      </c>
      <c r="E123" s="196">
        <f>ROUND(INDEX(Outputs!X20:X188,MATCH($C$117,Outputs!$A$20:$A$188,0))/1000,0)</f>
        <v>1948</v>
      </c>
      <c r="F123" s="196">
        <f>ROUND(INDEX(Outputs!Y20:Y188,MATCH($C$117,Outputs!$A$20:$A$188,0))/1000,0)</f>
        <v>1891</v>
      </c>
      <c r="G123" s="196">
        <f>ROUND(INDEX(Outputs!Z20:Z188,MATCH($C$117,Outputs!$A$20:$A$188,0))/1000,0)</f>
        <v>1833</v>
      </c>
      <c r="H123" s="196">
        <f>ROUND(INDEX(Outputs!AA20:AA188,MATCH($C$117,Outputs!$A$20:$A$188,0))/1000,0)</f>
        <v>1776</v>
      </c>
      <c r="I123" s="196">
        <f>ROUND(INDEX(Outputs!AB20:AB188,MATCH($C$117,Outputs!$A$20:$A$188,0))/1000,0)</f>
        <v>1719</v>
      </c>
      <c r="J123" s="196">
        <f>ROUND(INDEX(Outputs!AC20:AC188,MATCH($C$117,Outputs!$A$20:$A$188,0))/1000,0)</f>
        <v>1662</v>
      </c>
      <c r="K123" s="196">
        <f>ROUND(INDEX(Outputs!AD20:AD188,MATCH($C$117,Outputs!$A$20:$A$188,0))/1000,0)</f>
        <v>1645</v>
      </c>
      <c r="L123" s="99"/>
      <c r="M123" s="93"/>
      <c r="N123" s="156"/>
      <c r="AB123" s="21"/>
      <c r="AC123" s="21"/>
      <c r="AD123" s="21"/>
      <c r="AE123" s="21"/>
      <c r="AF123" s="21"/>
      <c r="AG123" s="21"/>
      <c r="AH123" s="21"/>
      <c r="AI123" s="21"/>
      <c r="AJ123" s="21"/>
      <c r="AK123" s="21"/>
      <c r="AL123" s="21"/>
      <c r="AM123" s="21"/>
      <c r="AN123" s="21"/>
      <c r="AO123" s="21"/>
    </row>
    <row r="124" spans="1:75" s="18" customFormat="1" x14ac:dyDescent="0.15">
      <c r="A124" s="155"/>
      <c r="B124" s="99"/>
      <c r="C124" s="99"/>
      <c r="D124" s="99"/>
      <c r="E124" s="99"/>
      <c r="F124" s="99"/>
      <c r="G124" s="99"/>
      <c r="H124" s="99"/>
      <c r="I124" s="99"/>
      <c r="J124" s="99"/>
      <c r="K124" s="99"/>
      <c r="L124" s="99"/>
      <c r="M124" s="93"/>
      <c r="N124" s="156"/>
      <c r="AB124" s="21"/>
      <c r="AC124" s="21"/>
      <c r="AD124" s="21"/>
      <c r="AE124" s="21"/>
      <c r="AF124" s="21"/>
      <c r="AG124" s="21"/>
      <c r="AH124" s="21"/>
      <c r="AI124" s="21"/>
      <c r="AJ124" s="21"/>
      <c r="AK124" s="21"/>
      <c r="AL124" s="21"/>
      <c r="AM124" s="21"/>
      <c r="AN124" s="21"/>
      <c r="AO124" s="21"/>
    </row>
    <row r="125" spans="1:75" s="18" customFormat="1" x14ac:dyDescent="0.15">
      <c r="A125" s="155"/>
      <c r="B125" s="2"/>
      <c r="C125" s="2"/>
      <c r="D125" s="2"/>
      <c r="E125" s="2"/>
      <c r="F125" s="2"/>
      <c r="G125" s="2"/>
      <c r="H125" s="2"/>
      <c r="I125" s="2"/>
      <c r="J125" s="2"/>
      <c r="K125" s="2"/>
      <c r="L125" s="2"/>
      <c r="M125" s="93"/>
      <c r="N125" s="156"/>
      <c r="AB125" s="21"/>
      <c r="AC125" s="21"/>
      <c r="AD125" s="21"/>
      <c r="AE125" s="21"/>
      <c r="AF125" s="21"/>
      <c r="AG125" s="21"/>
      <c r="AH125" s="21"/>
      <c r="AI125" s="21"/>
      <c r="AJ125" s="21"/>
      <c r="AK125" s="21"/>
      <c r="AL125" s="21"/>
      <c r="AM125" s="21"/>
      <c r="AN125" s="21"/>
      <c r="AO125" s="21"/>
    </row>
    <row r="126" spans="1:75" s="18" customFormat="1" x14ac:dyDescent="0.15">
      <c r="A126" s="155"/>
      <c r="B126" s="2"/>
      <c r="C126" s="2"/>
      <c r="D126" s="2"/>
      <c r="E126" s="2"/>
      <c r="F126" s="2"/>
      <c r="G126" s="2"/>
      <c r="H126" s="2"/>
      <c r="I126" s="2"/>
      <c r="J126" s="2"/>
      <c r="K126" s="2"/>
      <c r="L126" s="2"/>
      <c r="M126" s="93"/>
      <c r="N126" s="156"/>
      <c r="AB126" s="21"/>
      <c r="AC126" s="21"/>
      <c r="AD126" s="21"/>
      <c r="AE126" s="21"/>
      <c r="AF126" s="21"/>
      <c r="AG126" s="21"/>
      <c r="AH126" s="21"/>
      <c r="AI126" s="21"/>
      <c r="AJ126" s="21"/>
      <c r="AK126" s="21"/>
      <c r="AL126" s="21"/>
      <c r="AM126" s="21"/>
      <c r="AN126" s="21"/>
      <c r="AO126" s="21"/>
    </row>
    <row r="127" spans="1:75" s="18" customFormat="1" x14ac:dyDescent="0.15">
      <c r="A127" s="155"/>
      <c r="B127" s="19"/>
      <c r="C127" s="19"/>
      <c r="D127" s="19"/>
      <c r="E127" s="19"/>
      <c r="F127" s="19"/>
      <c r="G127" s="19"/>
      <c r="H127" s="19"/>
      <c r="I127" s="19"/>
      <c r="J127" s="19"/>
      <c r="K127" s="19"/>
      <c r="L127" s="19"/>
      <c r="M127" s="93"/>
      <c r="N127" s="156"/>
      <c r="AB127" s="21"/>
      <c r="AC127" s="21"/>
      <c r="AD127" s="21"/>
      <c r="AE127" s="21"/>
      <c r="AF127" s="21"/>
      <c r="AG127" s="21"/>
      <c r="AH127" s="21"/>
      <c r="AI127" s="21"/>
      <c r="AJ127" s="21"/>
      <c r="AK127" s="21"/>
      <c r="AL127" s="21"/>
      <c r="AM127" s="21"/>
      <c r="AN127" s="21"/>
      <c r="AO127" s="21"/>
    </row>
    <row r="128" spans="1:75" s="18" customFormat="1" x14ac:dyDescent="0.15">
      <c r="A128" s="155"/>
      <c r="B128" s="21"/>
      <c r="C128" s="21"/>
      <c r="D128" s="21"/>
      <c r="E128" s="21"/>
      <c r="F128" s="21"/>
      <c r="G128" s="21"/>
      <c r="H128" s="21"/>
      <c r="I128" s="21"/>
      <c r="J128" s="21"/>
      <c r="K128" s="21"/>
      <c r="L128" s="21"/>
      <c r="M128" s="93"/>
      <c r="N128" s="156"/>
      <c r="AB128" s="21"/>
      <c r="AC128" s="21"/>
      <c r="AD128" s="21"/>
      <c r="AE128" s="21"/>
      <c r="AF128" s="21"/>
      <c r="AG128" s="21"/>
      <c r="AH128" s="21"/>
      <c r="AI128" s="21"/>
      <c r="AJ128" s="21"/>
      <c r="AK128" s="21"/>
      <c r="AL128" s="21"/>
      <c r="AM128" s="21"/>
      <c r="AN128" s="21"/>
      <c r="AO128" s="21"/>
    </row>
    <row r="129" spans="1:41" s="18" customFormat="1" x14ac:dyDescent="0.15">
      <c r="A129" s="155"/>
      <c r="B129" s="21"/>
      <c r="C129" s="21"/>
      <c r="D129" s="21"/>
      <c r="E129" s="21"/>
      <c r="F129" s="21"/>
      <c r="G129" s="21"/>
      <c r="H129" s="21"/>
      <c r="I129" s="21"/>
      <c r="J129" s="21"/>
      <c r="K129" s="21"/>
      <c r="L129" s="21"/>
      <c r="M129" s="93"/>
      <c r="N129" s="156"/>
      <c r="AB129" s="21"/>
      <c r="AC129" s="21"/>
      <c r="AD129" s="21"/>
      <c r="AE129" s="21"/>
      <c r="AF129" s="21"/>
      <c r="AG129" s="21"/>
      <c r="AH129" s="21"/>
      <c r="AI129" s="21"/>
      <c r="AJ129" s="21"/>
      <c r="AK129" s="21"/>
      <c r="AL129" s="21"/>
      <c r="AM129" s="21"/>
      <c r="AN129" s="21"/>
      <c r="AO129" s="21"/>
    </row>
    <row r="130" spans="1:41" s="18" customFormat="1" x14ac:dyDescent="0.15">
      <c r="A130" s="155"/>
      <c r="B130" s="21"/>
      <c r="C130" s="21"/>
      <c r="D130" s="21"/>
      <c r="E130" s="21"/>
      <c r="F130" s="21"/>
      <c r="G130" s="21"/>
      <c r="H130" s="21"/>
      <c r="I130" s="21"/>
      <c r="J130" s="21"/>
      <c r="K130" s="21"/>
      <c r="L130" s="21"/>
      <c r="M130" s="93"/>
      <c r="N130" s="156"/>
      <c r="AB130" s="21"/>
      <c r="AC130" s="21"/>
      <c r="AD130" s="21"/>
      <c r="AE130" s="21"/>
      <c r="AF130" s="21"/>
      <c r="AG130" s="21"/>
      <c r="AH130" s="21"/>
      <c r="AI130" s="21"/>
      <c r="AJ130" s="21"/>
      <c r="AK130" s="21"/>
      <c r="AL130" s="21"/>
      <c r="AM130" s="21"/>
      <c r="AN130" s="21"/>
      <c r="AO130" s="21"/>
    </row>
    <row r="131" spans="1:41" s="18" customFormat="1" x14ac:dyDescent="0.15">
      <c r="A131" s="155"/>
      <c r="B131" s="21"/>
      <c r="C131" s="21"/>
      <c r="D131" s="21"/>
      <c r="E131" s="21"/>
      <c r="F131" s="21"/>
      <c r="G131" s="21"/>
      <c r="H131" s="21"/>
      <c r="I131" s="21"/>
      <c r="J131" s="21"/>
      <c r="K131" s="21"/>
      <c r="L131" s="21"/>
      <c r="M131" s="93"/>
      <c r="N131" s="156"/>
      <c r="AB131" s="21"/>
      <c r="AC131" s="21"/>
      <c r="AD131" s="21"/>
      <c r="AE131" s="21"/>
      <c r="AF131" s="21"/>
      <c r="AG131" s="21"/>
      <c r="AH131" s="21"/>
      <c r="AI131" s="21"/>
      <c r="AJ131" s="21"/>
      <c r="AK131" s="21"/>
      <c r="AL131" s="21"/>
      <c r="AM131" s="21"/>
      <c r="AN131" s="21"/>
      <c r="AO131" s="21"/>
    </row>
    <row r="132" spans="1:41" s="18" customFormat="1" x14ac:dyDescent="0.15">
      <c r="A132" s="155"/>
      <c r="B132" s="21"/>
      <c r="C132" s="21"/>
      <c r="D132" s="21"/>
      <c r="E132" s="21"/>
      <c r="F132" s="21"/>
      <c r="G132" s="21"/>
      <c r="H132" s="21"/>
      <c r="I132" s="21"/>
      <c r="J132" s="21"/>
      <c r="K132" s="21"/>
      <c r="L132" s="21"/>
      <c r="M132" s="93"/>
      <c r="N132" s="156"/>
      <c r="AB132" s="21"/>
      <c r="AC132" s="21"/>
      <c r="AD132" s="21"/>
      <c r="AE132" s="21"/>
      <c r="AF132" s="21"/>
      <c r="AG132" s="21"/>
      <c r="AH132" s="21"/>
      <c r="AI132" s="21"/>
      <c r="AJ132" s="21"/>
      <c r="AK132" s="21"/>
      <c r="AL132" s="21"/>
      <c r="AM132" s="21"/>
      <c r="AN132" s="21"/>
      <c r="AO132" s="21"/>
    </row>
    <row r="133" spans="1:41" s="18" customFormat="1" x14ac:dyDescent="0.15">
      <c r="A133" s="155"/>
      <c r="B133" s="21"/>
      <c r="C133" s="21"/>
      <c r="D133" s="21"/>
      <c r="E133" s="21"/>
      <c r="F133" s="21"/>
      <c r="G133" s="21"/>
      <c r="H133" s="21"/>
      <c r="I133" s="21"/>
      <c r="J133" s="21"/>
      <c r="K133" s="21"/>
      <c r="L133" s="21"/>
      <c r="M133" s="93"/>
      <c r="N133" s="156"/>
      <c r="AB133" s="21"/>
      <c r="AC133" s="21"/>
      <c r="AD133" s="21"/>
      <c r="AE133" s="21"/>
      <c r="AF133" s="21"/>
      <c r="AG133" s="21"/>
      <c r="AH133" s="21"/>
      <c r="AI133" s="21"/>
      <c r="AJ133" s="21"/>
      <c r="AK133" s="21"/>
      <c r="AL133" s="21"/>
      <c r="AM133" s="21"/>
      <c r="AN133" s="21"/>
      <c r="AO133" s="21"/>
    </row>
    <row r="134" spans="1:41" s="18" customFormat="1" x14ac:dyDescent="0.15">
      <c r="A134" s="155"/>
      <c r="B134" s="21"/>
      <c r="C134" s="21"/>
      <c r="D134" s="21"/>
      <c r="E134" s="21"/>
      <c r="F134" s="21"/>
      <c r="G134" s="21"/>
      <c r="H134" s="21"/>
      <c r="I134" s="21"/>
      <c r="J134" s="21"/>
      <c r="K134" s="21"/>
      <c r="L134" s="21"/>
      <c r="M134" s="93"/>
      <c r="N134" s="156"/>
      <c r="AB134" s="21"/>
      <c r="AC134" s="21"/>
      <c r="AD134" s="21"/>
      <c r="AE134" s="21"/>
      <c r="AF134" s="21"/>
      <c r="AG134" s="21"/>
      <c r="AH134" s="21"/>
      <c r="AI134" s="21"/>
      <c r="AJ134" s="21"/>
      <c r="AK134" s="21"/>
      <c r="AL134" s="21"/>
      <c r="AM134" s="21"/>
      <c r="AN134" s="21"/>
      <c r="AO134" s="21"/>
    </row>
    <row r="135" spans="1:41" s="18" customFormat="1" x14ac:dyDescent="0.15">
      <c r="A135" s="155"/>
      <c r="B135" s="16"/>
      <c r="C135" s="16"/>
      <c r="D135" s="16"/>
      <c r="E135" s="16"/>
      <c r="F135" s="16"/>
      <c r="G135" s="16"/>
      <c r="H135" s="16"/>
      <c r="I135" s="16"/>
      <c r="J135" s="16"/>
      <c r="K135" s="16"/>
      <c r="L135" s="16"/>
      <c r="M135" s="172"/>
      <c r="N135" s="158"/>
      <c r="AB135" s="21"/>
      <c r="AC135" s="21"/>
      <c r="AD135" s="21"/>
      <c r="AE135" s="21"/>
      <c r="AF135" s="21"/>
      <c r="AG135" s="21"/>
      <c r="AH135" s="21"/>
      <c r="AI135" s="21"/>
      <c r="AJ135" s="21"/>
      <c r="AK135" s="21"/>
      <c r="AL135" s="21"/>
      <c r="AM135" s="21"/>
      <c r="AN135" s="21"/>
      <c r="AO135" s="21"/>
    </row>
    <row r="136" spans="1:41" s="18" customFormat="1" x14ac:dyDescent="0.15">
      <c r="A136" s="155"/>
      <c r="M136" s="93"/>
      <c r="N136" s="156"/>
      <c r="AB136" s="21"/>
      <c r="AC136" s="21"/>
      <c r="AD136" s="21"/>
      <c r="AE136" s="21"/>
      <c r="AF136" s="21"/>
      <c r="AG136" s="21"/>
      <c r="AH136" s="21"/>
      <c r="AI136" s="21"/>
      <c r="AJ136" s="21"/>
      <c r="AK136" s="21"/>
      <c r="AL136" s="21"/>
      <c r="AM136" s="21"/>
      <c r="AN136" s="21"/>
      <c r="AO136" s="21"/>
    </row>
    <row r="137" spans="1:41" s="18" customFormat="1" x14ac:dyDescent="0.15">
      <c r="A137" s="155"/>
      <c r="M137" s="93"/>
      <c r="N137" s="156"/>
      <c r="AB137" s="21"/>
      <c r="AC137" s="21"/>
      <c r="AD137" s="21"/>
      <c r="AE137" s="21"/>
      <c r="AF137" s="21"/>
      <c r="AG137" s="21"/>
      <c r="AH137" s="21"/>
      <c r="AI137" s="21"/>
      <c r="AJ137" s="21"/>
      <c r="AK137" s="21"/>
      <c r="AL137" s="21"/>
      <c r="AM137" s="21"/>
      <c r="AN137" s="21"/>
      <c r="AO137" s="21"/>
    </row>
    <row r="138" spans="1:41" s="18" customFormat="1" x14ac:dyDescent="0.15">
      <c r="A138" s="155"/>
      <c r="M138" s="93"/>
      <c r="N138" s="156"/>
      <c r="AB138" s="21"/>
      <c r="AC138" s="21"/>
      <c r="AD138" s="21"/>
      <c r="AE138" s="21"/>
      <c r="AF138" s="21"/>
      <c r="AG138" s="21"/>
      <c r="AH138" s="21"/>
      <c r="AI138" s="21"/>
      <c r="AJ138" s="21"/>
      <c r="AK138" s="21"/>
      <c r="AL138" s="21"/>
      <c r="AM138" s="21"/>
      <c r="AN138" s="21"/>
      <c r="AO138" s="21"/>
    </row>
    <row r="139" spans="1:41" s="18" customFormat="1" x14ac:dyDescent="0.15">
      <c r="A139" s="155"/>
      <c r="M139" s="93"/>
      <c r="N139" s="156"/>
      <c r="AB139" s="21"/>
      <c r="AC139" s="21"/>
      <c r="AD139" s="21"/>
      <c r="AE139" s="21"/>
      <c r="AF139" s="21"/>
      <c r="AG139" s="21"/>
      <c r="AH139" s="21"/>
      <c r="AI139" s="21"/>
      <c r="AJ139" s="21"/>
      <c r="AK139" s="21"/>
      <c r="AL139" s="21"/>
      <c r="AM139" s="21"/>
      <c r="AN139" s="21"/>
      <c r="AO139" s="21"/>
    </row>
    <row r="140" spans="1:41" s="18" customFormat="1" x14ac:dyDescent="0.15">
      <c r="A140" s="155"/>
      <c r="M140" s="93"/>
      <c r="N140" s="156"/>
      <c r="AB140" s="21"/>
      <c r="AC140" s="21"/>
      <c r="AD140" s="21"/>
      <c r="AE140" s="21"/>
      <c r="AF140" s="21"/>
      <c r="AG140" s="21"/>
      <c r="AH140" s="21"/>
      <c r="AI140" s="21"/>
      <c r="AJ140" s="21"/>
      <c r="AK140" s="21"/>
      <c r="AL140" s="21"/>
      <c r="AM140" s="21"/>
      <c r="AN140" s="21"/>
      <c r="AO140" s="21"/>
    </row>
    <row r="141" spans="1:41" s="18" customFormat="1" x14ac:dyDescent="0.15">
      <c r="A141" s="155"/>
      <c r="M141" s="93"/>
      <c r="N141" s="156"/>
      <c r="AB141" s="21"/>
      <c r="AC141" s="21"/>
      <c r="AD141" s="21"/>
      <c r="AE141" s="21"/>
      <c r="AF141" s="21"/>
      <c r="AG141" s="21"/>
      <c r="AH141" s="21"/>
      <c r="AI141" s="21"/>
      <c r="AJ141" s="21"/>
      <c r="AK141" s="21"/>
      <c r="AL141" s="21"/>
      <c r="AM141" s="21"/>
      <c r="AN141" s="21"/>
      <c r="AO141" s="21"/>
    </row>
    <row r="142" spans="1:41" s="18" customFormat="1" x14ac:dyDescent="0.15">
      <c r="A142" s="155"/>
      <c r="M142" s="93"/>
      <c r="N142" s="156"/>
      <c r="AB142" s="21"/>
      <c r="AC142" s="21"/>
      <c r="AD142" s="21"/>
      <c r="AE142" s="21"/>
      <c r="AF142" s="21"/>
      <c r="AG142" s="21"/>
      <c r="AH142" s="21"/>
      <c r="AI142" s="21"/>
      <c r="AJ142" s="21"/>
      <c r="AK142" s="21"/>
      <c r="AL142" s="21"/>
      <c r="AM142" s="21"/>
      <c r="AN142" s="21"/>
      <c r="AO142" s="21"/>
    </row>
    <row r="143" spans="1:41" s="18" customFormat="1" x14ac:dyDescent="0.15">
      <c r="A143" s="155"/>
      <c r="M143" s="93"/>
      <c r="N143" s="156"/>
      <c r="AB143" s="21"/>
      <c r="AC143" s="21"/>
      <c r="AD143" s="21"/>
      <c r="AE143" s="21"/>
      <c r="AF143" s="21"/>
      <c r="AG143" s="21"/>
      <c r="AH143" s="21"/>
      <c r="AI143" s="21"/>
      <c r="AJ143" s="21"/>
      <c r="AK143" s="21"/>
      <c r="AL143" s="21"/>
      <c r="AM143" s="21"/>
      <c r="AN143" s="21"/>
      <c r="AO143" s="21"/>
    </row>
    <row r="144" spans="1:41" s="18" customFormat="1" x14ac:dyDescent="0.15">
      <c r="A144" s="155"/>
      <c r="B144" s="99"/>
      <c r="C144" s="99"/>
      <c r="D144" s="99"/>
      <c r="E144" s="99"/>
      <c r="F144" s="99"/>
      <c r="G144" s="99"/>
      <c r="H144" s="99"/>
      <c r="I144" s="99"/>
      <c r="J144" s="99"/>
      <c r="K144" s="93"/>
      <c r="L144" s="93"/>
      <c r="M144" s="93"/>
      <c r="N144" s="156"/>
      <c r="AB144" s="21"/>
      <c r="AC144" s="21"/>
      <c r="AD144" s="21"/>
      <c r="AE144" s="21"/>
      <c r="AF144" s="21"/>
      <c r="AG144" s="21"/>
      <c r="AH144" s="21"/>
      <c r="AI144" s="21"/>
      <c r="AJ144" s="21"/>
      <c r="AK144" s="21"/>
      <c r="AL144" s="21"/>
      <c r="AM144" s="21"/>
      <c r="AN144" s="21"/>
      <c r="AO144" s="21"/>
    </row>
    <row r="145" spans="1:88" s="18" customFormat="1" ht="13" x14ac:dyDescent="0.15">
      <c r="A145" s="180"/>
      <c r="B145" s="178"/>
      <c r="C145" s="178"/>
      <c r="D145" s="178"/>
      <c r="E145" s="178"/>
      <c r="F145" s="178"/>
      <c r="G145" s="178"/>
      <c r="H145" s="178"/>
      <c r="I145" s="178"/>
      <c r="J145" s="178"/>
      <c r="K145" s="178"/>
      <c r="L145" s="178"/>
      <c r="M145" s="178"/>
      <c r="N145" s="179"/>
      <c r="AB145" s="21"/>
      <c r="AC145" s="21"/>
      <c r="AD145" s="21"/>
      <c r="AE145" s="21"/>
      <c r="AF145" s="21"/>
      <c r="AG145" s="21"/>
      <c r="AH145" s="21"/>
      <c r="AI145" s="21"/>
      <c r="AJ145" s="21"/>
      <c r="AK145" s="21"/>
      <c r="AL145" s="21"/>
      <c r="AM145" s="21"/>
      <c r="AN145" s="21"/>
      <c r="AO145" s="21"/>
    </row>
    <row r="146" spans="1:88" s="18" customFormat="1" ht="13" x14ac:dyDescent="0.15">
      <c r="A146" s="229"/>
      <c r="B146" s="229"/>
      <c r="C146" s="229"/>
      <c r="D146" s="229"/>
      <c r="E146" s="229"/>
      <c r="F146" s="229"/>
      <c r="G146" s="229"/>
      <c r="H146" s="229"/>
      <c r="I146" s="229"/>
      <c r="J146" s="229"/>
      <c r="K146" s="229"/>
      <c r="L146" s="229"/>
      <c r="M146" s="229"/>
      <c r="N146" s="229"/>
      <c r="AB146" s="21"/>
      <c r="AC146" s="21"/>
      <c r="AD146" s="21"/>
      <c r="AE146" s="21"/>
      <c r="AF146" s="21"/>
      <c r="AG146" s="21"/>
      <c r="AH146" s="21"/>
      <c r="AI146" s="21"/>
      <c r="AJ146" s="21"/>
      <c r="AK146" s="21"/>
      <c r="AL146" s="21"/>
      <c r="AM146" s="21"/>
      <c r="AN146" s="21"/>
      <c r="AO146" s="21"/>
    </row>
    <row r="147" spans="1:88" s="18" customFormat="1" ht="12" customHeight="1" x14ac:dyDescent="0.15">
      <c r="AB147" s="21"/>
      <c r="AC147" s="21"/>
      <c r="AD147" s="21"/>
      <c r="AE147" s="21"/>
      <c r="AF147" s="21"/>
      <c r="AG147" s="21"/>
      <c r="AH147" s="21"/>
      <c r="AI147" s="21"/>
      <c r="AJ147" s="21"/>
      <c r="AK147" s="21"/>
      <c r="AL147" s="21"/>
      <c r="AM147" s="21"/>
      <c r="AN147" s="21"/>
      <c r="AO147" s="21"/>
    </row>
    <row r="148" spans="1:88" s="18" customFormat="1" ht="27" customHeight="1" x14ac:dyDescent="0.15">
      <c r="G148" s="36"/>
      <c r="H148" s="36"/>
      <c r="L148" s="130"/>
      <c r="M148" s="130"/>
      <c r="N148" s="130"/>
      <c r="O148" s="130"/>
      <c r="P148" s="130"/>
      <c r="Q148" s="130"/>
      <c r="R148" s="130"/>
      <c r="S148" s="130"/>
      <c r="T148" s="130"/>
      <c r="U148" s="130"/>
      <c r="V148" s="130"/>
      <c r="W148" s="130"/>
      <c r="X148" s="130"/>
      <c r="Y148" s="130"/>
      <c r="Z148" s="130"/>
      <c r="AA148" s="130"/>
      <c r="AB148" s="130"/>
      <c r="AC148" s="130"/>
      <c r="AD148" s="130"/>
      <c r="AE148" s="130"/>
      <c r="AF148" s="21"/>
      <c r="AG148" s="21"/>
      <c r="AH148" s="21"/>
      <c r="AI148" s="21"/>
      <c r="AJ148" s="21"/>
      <c r="AK148" s="21"/>
      <c r="AL148" s="21"/>
      <c r="AM148" s="21"/>
      <c r="AN148" s="21"/>
    </row>
    <row r="149" spans="1:88" s="18" customFormat="1" ht="13" x14ac:dyDescent="0.15">
      <c r="G149" s="36"/>
      <c r="H149" s="36"/>
      <c r="L149" s="20"/>
      <c r="M149" s="131"/>
      <c r="N149" s="131"/>
      <c r="O149" s="131"/>
      <c r="P149" s="131"/>
      <c r="Q149" s="131"/>
      <c r="R149" s="131"/>
      <c r="S149" s="131"/>
      <c r="T149" s="131"/>
      <c r="U149" s="131"/>
      <c r="V149" s="131"/>
      <c r="W149" s="131"/>
      <c r="X149" s="131"/>
      <c r="Y149" s="131"/>
      <c r="Z149" s="131"/>
      <c r="AA149" s="131"/>
      <c r="AB149" s="131"/>
      <c r="AC149" s="131"/>
      <c r="AD149" s="131"/>
      <c r="AE149" s="131"/>
      <c r="AF149" s="21"/>
      <c r="AG149" s="21"/>
      <c r="AH149" s="21"/>
      <c r="AI149" s="21"/>
      <c r="AJ149" s="21"/>
      <c r="AK149" s="21"/>
      <c r="AL149" s="21"/>
      <c r="AM149" s="21"/>
      <c r="AN149" s="21"/>
    </row>
    <row r="150" spans="1:88" s="18" customFormat="1" ht="13" x14ac:dyDescent="0.15">
      <c r="G150" s="36"/>
      <c r="H150" s="36"/>
      <c r="L150" s="20"/>
      <c r="M150" s="12"/>
      <c r="AA150" s="21"/>
      <c r="AB150" s="21"/>
      <c r="AC150" s="21"/>
      <c r="AD150" s="21"/>
      <c r="AE150" s="21"/>
      <c r="AF150" s="21"/>
      <c r="AG150" s="21"/>
      <c r="AH150" s="21"/>
      <c r="AI150" s="21"/>
      <c r="AJ150" s="21"/>
      <c r="AK150" s="21"/>
      <c r="AL150" s="21"/>
      <c r="AM150" s="21"/>
      <c r="AN150" s="21"/>
    </row>
    <row r="151" spans="1:88" s="18" customFormat="1" ht="13" x14ac:dyDescent="0.15">
      <c r="F151" s="20"/>
      <c r="I151" s="36"/>
      <c r="M151" s="20"/>
      <c r="N151" s="12"/>
      <c r="AB151" s="21"/>
      <c r="AC151" s="21"/>
      <c r="AD151" s="21"/>
      <c r="AE151" s="21"/>
      <c r="AF151" s="21"/>
      <c r="AG151" s="21"/>
      <c r="AH151" s="21"/>
      <c r="AI151" s="21"/>
      <c r="AJ151" s="21"/>
      <c r="AK151" s="21"/>
      <c r="AL151" s="21"/>
      <c r="AM151" s="21"/>
      <c r="AN151" s="21"/>
      <c r="AO151" s="21"/>
    </row>
    <row r="152" spans="1:88" s="18" customFormat="1" ht="13" x14ac:dyDescent="0.15"/>
    <row r="153" spans="1:88" s="18" customFormat="1" ht="13" x14ac:dyDescent="0.15">
      <c r="BX153" s="93"/>
      <c r="BY153" s="93"/>
      <c r="BZ153" s="93"/>
      <c r="CA153" s="93"/>
      <c r="CB153" s="93"/>
    </row>
    <row r="154" spans="1:88" s="18" customFormat="1" ht="13" x14ac:dyDescent="0.15">
      <c r="BX154" s="93"/>
      <c r="BY154" s="93"/>
      <c r="BZ154" s="93"/>
      <c r="CA154" s="93"/>
      <c r="CB154" s="93"/>
    </row>
    <row r="155" spans="1:88" s="18" customFormat="1" ht="13" x14ac:dyDescent="0.15">
      <c r="BX155" s="93"/>
      <c r="BY155" s="93"/>
      <c r="BZ155" s="93"/>
      <c r="CA155" s="93"/>
      <c r="CB155" s="93"/>
    </row>
    <row r="156" spans="1:88" s="18" customFormat="1" ht="13" x14ac:dyDescent="0.15">
      <c r="BX156" s="93"/>
      <c r="BY156" s="93"/>
      <c r="BZ156" s="93"/>
      <c r="CA156" s="93"/>
      <c r="CB156" s="93"/>
    </row>
    <row r="157" spans="1:88" s="18" customFormat="1" ht="13" x14ac:dyDescent="0.15">
      <c r="BX157" s="93"/>
      <c r="BY157" s="93"/>
      <c r="BZ157" s="93"/>
      <c r="CA157" s="93"/>
      <c r="CB157" s="93"/>
    </row>
    <row r="158" spans="1:88" s="31" customFormat="1" ht="18" customHeight="1" x14ac:dyDescent="0.15">
      <c r="BX158" s="93"/>
      <c r="BY158" s="93"/>
      <c r="BZ158" s="93"/>
      <c r="CA158" s="93"/>
      <c r="CB158" s="93"/>
      <c r="CG158" s="18"/>
      <c r="CH158" s="18"/>
      <c r="CI158" s="18"/>
      <c r="CJ158" s="18"/>
    </row>
    <row r="159" spans="1:88" s="18" customFormat="1" ht="13" x14ac:dyDescent="0.15">
      <c r="BX159" s="93"/>
      <c r="BY159" s="93"/>
      <c r="BZ159" s="93"/>
      <c r="CA159" s="93"/>
      <c r="CB159" s="93"/>
    </row>
    <row r="160" spans="1:88" s="18" customFormat="1" ht="13" x14ac:dyDescent="0.15">
      <c r="BX160" s="93"/>
      <c r="BY160" s="93"/>
      <c r="BZ160" s="93"/>
      <c r="CA160" s="93"/>
      <c r="CB160" s="93"/>
    </row>
    <row r="161" spans="76:80" s="18" customFormat="1" ht="13" x14ac:dyDescent="0.15">
      <c r="BX161" s="93"/>
      <c r="BY161" s="93"/>
      <c r="BZ161" s="93"/>
      <c r="CA161" s="93"/>
      <c r="CB161" s="93"/>
    </row>
    <row r="162" spans="76:80" s="18" customFormat="1" ht="13" x14ac:dyDescent="0.15">
      <c r="BX162" s="93"/>
      <c r="BY162" s="93"/>
      <c r="BZ162" s="93"/>
      <c r="CA162" s="93"/>
      <c r="CB162" s="93"/>
    </row>
    <row r="163" spans="76:80" s="18" customFormat="1" ht="13" x14ac:dyDescent="0.15">
      <c r="BX163" s="93"/>
      <c r="BY163" s="93"/>
      <c r="BZ163" s="93"/>
      <c r="CA163" s="93"/>
      <c r="CB163" s="93"/>
    </row>
    <row r="164" spans="76:80" s="18" customFormat="1" ht="13" x14ac:dyDescent="0.15">
      <c r="BX164" s="93"/>
      <c r="BY164" s="93"/>
      <c r="BZ164" s="93"/>
      <c r="CA164" s="93"/>
      <c r="CB164" s="93"/>
    </row>
    <row r="165" spans="76:80" s="18" customFormat="1" ht="13" x14ac:dyDescent="0.15">
      <c r="BX165" s="93"/>
      <c r="BY165" s="93"/>
      <c r="BZ165" s="93"/>
      <c r="CA165" s="93"/>
      <c r="CB165" s="93"/>
    </row>
    <row r="166" spans="76:80" s="18" customFormat="1" ht="13" x14ac:dyDescent="0.15">
      <c r="BX166" s="93"/>
      <c r="BY166" s="93"/>
      <c r="BZ166" s="93"/>
      <c r="CA166" s="93"/>
      <c r="CB166" s="93"/>
    </row>
    <row r="167" spans="76:80" s="18" customFormat="1" ht="13" x14ac:dyDescent="0.15">
      <c r="BX167" s="93"/>
      <c r="BY167" s="93"/>
      <c r="BZ167" s="93"/>
      <c r="CA167" s="93"/>
      <c r="CB167" s="93"/>
    </row>
    <row r="168" spans="76:80" s="18" customFormat="1" ht="13" x14ac:dyDescent="0.15">
      <c r="BX168" s="93"/>
      <c r="BY168" s="93"/>
      <c r="BZ168" s="93"/>
      <c r="CA168" s="93"/>
      <c r="CB168" s="93"/>
    </row>
    <row r="169" spans="76:80" s="18" customFormat="1" ht="13" x14ac:dyDescent="0.15">
      <c r="BX169" s="93"/>
      <c r="BY169" s="93"/>
      <c r="BZ169" s="93"/>
      <c r="CA169" s="93"/>
      <c r="CB169" s="93"/>
    </row>
    <row r="170" spans="76:80" s="18" customFormat="1" ht="13" x14ac:dyDescent="0.15">
      <c r="BX170" s="93"/>
      <c r="BY170" s="93"/>
      <c r="BZ170" s="93"/>
      <c r="CA170" s="93"/>
      <c r="CB170" s="93"/>
    </row>
    <row r="171" spans="76:80" s="18" customFormat="1" x14ac:dyDescent="0.15">
      <c r="BX171" s="172"/>
      <c r="BY171" s="172"/>
      <c r="BZ171" s="172"/>
      <c r="CA171" s="172"/>
      <c r="CB171" s="172"/>
    </row>
    <row r="172" spans="76:80" s="18" customFormat="1" ht="13" x14ac:dyDescent="0.15">
      <c r="BX172" s="93"/>
      <c r="BY172" s="93"/>
      <c r="BZ172" s="93"/>
      <c r="CA172" s="93"/>
      <c r="CB172" s="93"/>
    </row>
    <row r="173" spans="76:80" s="18" customFormat="1" ht="13" x14ac:dyDescent="0.15">
      <c r="BX173" s="93"/>
      <c r="BY173" s="93"/>
      <c r="BZ173" s="93"/>
      <c r="CA173" s="93"/>
      <c r="CB173" s="93"/>
    </row>
    <row r="174" spans="76:80" s="18" customFormat="1" ht="13" x14ac:dyDescent="0.15">
      <c r="BX174" s="93"/>
      <c r="BY174" s="93"/>
      <c r="BZ174" s="93"/>
      <c r="CA174" s="93"/>
      <c r="CB174" s="93"/>
    </row>
    <row r="175" spans="76:80" s="18" customFormat="1" ht="13" x14ac:dyDescent="0.15">
      <c r="BX175" s="93"/>
      <c r="BY175" s="93"/>
      <c r="BZ175" s="93"/>
      <c r="CA175" s="93"/>
      <c r="CB175" s="93"/>
    </row>
    <row r="176" spans="76:80" s="18" customFormat="1" ht="13" x14ac:dyDescent="0.15">
      <c r="BX176" s="93"/>
      <c r="BY176" s="93"/>
      <c r="BZ176" s="93"/>
      <c r="CA176" s="93"/>
      <c r="CB176" s="93"/>
    </row>
    <row r="177" spans="76:80" s="18" customFormat="1" ht="13" x14ac:dyDescent="0.15">
      <c r="BX177" s="93"/>
      <c r="BY177" s="93"/>
      <c r="BZ177" s="93"/>
      <c r="CA177" s="93"/>
      <c r="CB177" s="93"/>
    </row>
    <row r="178" spans="76:80" s="18" customFormat="1" ht="13" x14ac:dyDescent="0.15">
      <c r="BX178" s="93"/>
      <c r="BY178" s="93"/>
      <c r="BZ178" s="93"/>
      <c r="CA178" s="93"/>
      <c r="CB178" s="93"/>
    </row>
    <row r="179" spans="76:80" s="18" customFormat="1" ht="13" x14ac:dyDescent="0.15">
      <c r="BX179" s="93"/>
      <c r="BY179" s="93"/>
      <c r="BZ179" s="93"/>
      <c r="CA179" s="93"/>
      <c r="CB179" s="93"/>
    </row>
    <row r="180" spans="76:80" s="18" customFormat="1" ht="13" x14ac:dyDescent="0.15">
      <c r="BX180" s="93"/>
      <c r="BY180" s="93"/>
      <c r="BZ180" s="93"/>
      <c r="CA180" s="93"/>
      <c r="CB180" s="93"/>
    </row>
    <row r="181" spans="76:80" s="18" customFormat="1" ht="13" x14ac:dyDescent="0.15">
      <c r="BX181" s="93"/>
      <c r="BY181" s="93"/>
      <c r="BZ181" s="93"/>
      <c r="CA181" s="93"/>
      <c r="CB181" s="93"/>
    </row>
    <row r="182" spans="76:80" s="18" customFormat="1" ht="13" x14ac:dyDescent="0.15"/>
    <row r="183" spans="76:80" s="18" customFormat="1" ht="13" x14ac:dyDescent="0.15"/>
    <row r="184" spans="76:80" s="18" customFormat="1" ht="13" x14ac:dyDescent="0.15"/>
    <row r="185" spans="76:80" s="18" customFormat="1" ht="13" x14ac:dyDescent="0.15"/>
    <row r="186" spans="76:80" s="18" customFormat="1" ht="13" x14ac:dyDescent="0.15"/>
    <row r="187" spans="76:80" s="18" customFormat="1" ht="13" x14ac:dyDescent="0.15"/>
    <row r="188" spans="76:80" s="18" customFormat="1" ht="13" x14ac:dyDescent="0.15"/>
    <row r="189" spans="76:80" s="18" customFormat="1" ht="13" x14ac:dyDescent="0.15"/>
    <row r="190" spans="76:80" s="18" customFormat="1" ht="13" x14ac:dyDescent="0.15"/>
    <row r="191" spans="76:80" s="18" customFormat="1" ht="13" x14ac:dyDescent="0.15"/>
    <row r="192" spans="76:80" s="18" customFormat="1" ht="13" x14ac:dyDescent="0.15"/>
    <row r="193" s="18" customFormat="1" ht="13" x14ac:dyDescent="0.15"/>
    <row r="194" s="18" customFormat="1" ht="13" x14ac:dyDescent="0.15"/>
    <row r="195" s="18" customFormat="1" ht="13" x14ac:dyDescent="0.15"/>
    <row r="196" s="18" customFormat="1" ht="13" x14ac:dyDescent="0.15"/>
    <row r="197" s="18" customFormat="1" ht="13" x14ac:dyDescent="0.15"/>
    <row r="198" s="18" customFormat="1" ht="13" x14ac:dyDescent="0.15"/>
    <row r="199" s="18" customFormat="1" ht="13" x14ac:dyDescent="0.15"/>
    <row r="200" s="18" customFormat="1" ht="13" x14ac:dyDescent="0.15"/>
    <row r="201" s="18" customFormat="1" ht="13" x14ac:dyDescent="0.15"/>
    <row r="202" s="18" customFormat="1" ht="13" x14ac:dyDescent="0.15"/>
    <row r="203" s="18" customFormat="1" ht="13" x14ac:dyDescent="0.15"/>
    <row r="204" s="18" customFormat="1" ht="13" x14ac:dyDescent="0.15"/>
    <row r="205" s="18" customFormat="1" ht="13" x14ac:dyDescent="0.15"/>
    <row r="206" s="18" customFormat="1" ht="13" x14ac:dyDescent="0.15"/>
    <row r="207" s="18" customFormat="1" ht="13" x14ac:dyDescent="0.15"/>
    <row r="208" s="18" customFormat="1" ht="13" x14ac:dyDescent="0.15"/>
    <row r="209" s="18" customFormat="1" ht="13" x14ac:dyDescent="0.15"/>
    <row r="210" s="18" customFormat="1" ht="13" x14ac:dyDescent="0.15"/>
    <row r="211" s="18" customFormat="1" ht="13" x14ac:dyDescent="0.15"/>
    <row r="212" s="18" customFormat="1" ht="13" x14ac:dyDescent="0.15"/>
    <row r="213" s="18" customFormat="1" ht="13" x14ac:dyDescent="0.15"/>
    <row r="214" s="18" customFormat="1" ht="13" x14ac:dyDescent="0.15"/>
    <row r="215" s="18" customFormat="1" ht="13" x14ac:dyDescent="0.15"/>
    <row r="216" s="18" customFormat="1" ht="13" x14ac:dyDescent="0.15"/>
    <row r="217" s="18" customFormat="1" ht="13" x14ac:dyDescent="0.15"/>
    <row r="218" s="18" customFormat="1" ht="13" x14ac:dyDescent="0.15"/>
    <row r="219" s="18" customFormat="1" ht="13" x14ac:dyDescent="0.15"/>
    <row r="220" s="18" customFormat="1" ht="13" x14ac:dyDescent="0.15"/>
    <row r="221" s="18" customFormat="1" ht="13" x14ac:dyDescent="0.15"/>
    <row r="222" s="18" customFormat="1" ht="13" x14ac:dyDescent="0.15"/>
    <row r="223" s="18" customFormat="1" ht="13" x14ac:dyDescent="0.15"/>
    <row r="224" s="18" customFormat="1" ht="13" x14ac:dyDescent="0.15"/>
    <row r="225" s="18" customFormat="1" ht="13" x14ac:dyDescent="0.15"/>
    <row r="226" s="18" customFormat="1" ht="13" x14ac:dyDescent="0.15"/>
    <row r="227" s="18" customFormat="1" ht="13" x14ac:dyDescent="0.15"/>
    <row r="228" s="18" customFormat="1" ht="13" x14ac:dyDescent="0.15"/>
    <row r="229" s="18" customFormat="1" ht="13" x14ac:dyDescent="0.15"/>
    <row r="230" s="18" customFormat="1" ht="13" x14ac:dyDescent="0.15"/>
    <row r="231" s="18" customFormat="1" ht="13" x14ac:dyDescent="0.15"/>
    <row r="232" s="18" customFormat="1" ht="13" x14ac:dyDescent="0.15"/>
    <row r="233" s="18" customFormat="1" ht="13" x14ac:dyDescent="0.15"/>
    <row r="234" s="18" customFormat="1" ht="13" x14ac:dyDescent="0.15"/>
    <row r="235" s="18" customFormat="1" ht="13" x14ac:dyDescent="0.15"/>
    <row r="236" s="18" customFormat="1" ht="13" x14ac:dyDescent="0.15"/>
    <row r="237" s="18" customFormat="1" ht="13" x14ac:dyDescent="0.15"/>
    <row r="238" s="18" customFormat="1" ht="13" x14ac:dyDescent="0.15"/>
    <row r="239" s="18" customFormat="1" ht="13" x14ac:dyDescent="0.15"/>
    <row r="240" s="18" customFormat="1" ht="13" x14ac:dyDescent="0.15"/>
    <row r="241" s="18" customFormat="1" ht="13" x14ac:dyDescent="0.15"/>
    <row r="242" s="18" customFormat="1" ht="13" x14ac:dyDescent="0.15"/>
    <row r="243" s="18" customFormat="1" ht="13" x14ac:dyDescent="0.15"/>
    <row r="244" s="18" customFormat="1" ht="13" x14ac:dyDescent="0.15"/>
    <row r="245" s="18" customFormat="1" ht="13" x14ac:dyDescent="0.15"/>
    <row r="246" s="18" customFormat="1" ht="13" x14ac:dyDescent="0.15"/>
    <row r="247" s="18" customFormat="1" ht="13" x14ac:dyDescent="0.15"/>
    <row r="248" s="18" customFormat="1" ht="13" x14ac:dyDescent="0.15"/>
    <row r="249" s="18" customFormat="1" ht="13" x14ac:dyDescent="0.15"/>
    <row r="250" s="18" customFormat="1" ht="13" x14ac:dyDescent="0.15"/>
    <row r="251" s="18" customFormat="1" ht="13" x14ac:dyDescent="0.15"/>
    <row r="252" s="18" customFormat="1" ht="13" x14ac:dyDescent="0.15"/>
    <row r="253" s="18" customFormat="1" ht="13" x14ac:dyDescent="0.15"/>
    <row r="254" s="18" customFormat="1" ht="13" x14ac:dyDescent="0.15"/>
    <row r="255" s="18" customFormat="1" ht="13" x14ac:dyDescent="0.15"/>
    <row r="256" s="18" customFormat="1" ht="13" x14ac:dyDescent="0.15"/>
    <row r="257" s="18" customFormat="1" ht="13" x14ac:dyDescent="0.15"/>
    <row r="258" s="18" customFormat="1" ht="13" x14ac:dyDescent="0.15"/>
    <row r="259" s="18" customFormat="1" ht="13" x14ac:dyDescent="0.15"/>
    <row r="260" s="18" customFormat="1" ht="13" x14ac:dyDescent="0.15"/>
    <row r="261" s="18" customFormat="1" ht="13" x14ac:dyDescent="0.15"/>
    <row r="262" s="18" customFormat="1" ht="13" x14ac:dyDescent="0.15"/>
    <row r="263" s="18" customFormat="1" ht="13" x14ac:dyDescent="0.15"/>
    <row r="264" s="18" customFormat="1" ht="13" x14ac:dyDescent="0.15"/>
    <row r="265" s="18" customFormat="1" ht="13" x14ac:dyDescent="0.15"/>
    <row r="266" s="18" customFormat="1" ht="13" x14ac:dyDescent="0.15"/>
    <row r="267" s="18" customFormat="1" ht="13" x14ac:dyDescent="0.15"/>
    <row r="268" s="18" customFormat="1" ht="13" x14ac:dyDescent="0.15"/>
    <row r="269" s="18" customFormat="1" ht="13" x14ac:dyDescent="0.15"/>
    <row r="270" s="18" customFormat="1" ht="13" x14ac:dyDescent="0.15"/>
    <row r="271" s="18" customFormat="1" ht="13" x14ac:dyDescent="0.15"/>
    <row r="272" s="18" customFormat="1" ht="13" x14ac:dyDescent="0.15"/>
    <row r="273" s="18" customFormat="1" ht="13" x14ac:dyDescent="0.15"/>
    <row r="274" s="18" customFormat="1" ht="13" x14ac:dyDescent="0.15"/>
    <row r="275" s="18" customFormat="1" ht="13" x14ac:dyDescent="0.15"/>
    <row r="276" s="18" customFormat="1" ht="13" x14ac:dyDescent="0.15"/>
    <row r="277" s="18" customFormat="1" ht="13" x14ac:dyDescent="0.15"/>
    <row r="278" s="18" customFormat="1" ht="13" x14ac:dyDescent="0.15"/>
    <row r="279" s="18" customFormat="1" ht="13" x14ac:dyDescent="0.15"/>
    <row r="280" s="18" customFormat="1" ht="13" x14ac:dyDescent="0.15"/>
    <row r="281" s="18" customFormat="1" ht="13" x14ac:dyDescent="0.15"/>
    <row r="282" s="18" customFormat="1" ht="13" x14ac:dyDescent="0.15"/>
    <row r="283" s="18" customFormat="1" ht="13" x14ac:dyDescent="0.15"/>
    <row r="284" s="18" customFormat="1" ht="13" x14ac:dyDescent="0.15"/>
    <row r="285" s="18" customFormat="1" ht="13" x14ac:dyDescent="0.15"/>
    <row r="286" s="18" customFormat="1" ht="13" x14ac:dyDescent="0.15"/>
    <row r="287" s="18" customFormat="1" ht="13" x14ac:dyDescent="0.15"/>
    <row r="288" s="18" customFormat="1" ht="13" x14ac:dyDescent="0.15"/>
    <row r="289" s="18" customFormat="1" ht="13" x14ac:dyDescent="0.15"/>
    <row r="290" s="18" customFormat="1" ht="13" x14ac:dyDescent="0.15"/>
    <row r="291" s="18" customFormat="1" ht="13" x14ac:dyDescent="0.15"/>
    <row r="292" s="18" customFormat="1" ht="13" x14ac:dyDescent="0.15"/>
    <row r="293" s="18" customFormat="1" ht="13" x14ac:dyDescent="0.15"/>
    <row r="294" s="18" customFormat="1" ht="13" x14ac:dyDescent="0.15"/>
    <row r="295" s="18" customFormat="1" ht="13" x14ac:dyDescent="0.15"/>
    <row r="296" s="18" customFormat="1" ht="13" x14ac:dyDescent="0.15"/>
    <row r="297" s="18" customFormat="1" ht="13" x14ac:dyDescent="0.15"/>
    <row r="298" s="18" customFormat="1" ht="13" x14ac:dyDescent="0.15"/>
    <row r="299" s="18" customFormat="1" ht="13" x14ac:dyDescent="0.15"/>
    <row r="300" s="18" customFormat="1" ht="13" x14ac:dyDescent="0.15"/>
    <row r="301" s="18" customFormat="1" ht="13" x14ac:dyDescent="0.15"/>
    <row r="302" s="18" customFormat="1" ht="13" x14ac:dyDescent="0.15"/>
    <row r="303" s="18" customFormat="1" ht="13" x14ac:dyDescent="0.15"/>
    <row r="304" s="18" customFormat="1" ht="13" x14ac:dyDescent="0.15"/>
    <row r="305" s="18" customFormat="1" ht="13" x14ac:dyDescent="0.15"/>
    <row r="306" s="18" customFormat="1" ht="13" x14ac:dyDescent="0.15"/>
    <row r="307" s="18" customFormat="1" ht="13" x14ac:dyDescent="0.15"/>
    <row r="308" s="18" customFormat="1" ht="13" x14ac:dyDescent="0.15"/>
    <row r="309" s="18" customFormat="1" ht="13" x14ac:dyDescent="0.15"/>
    <row r="310" s="18" customFormat="1" ht="13" x14ac:dyDescent="0.15"/>
    <row r="311" s="18" customFormat="1" ht="13" x14ac:dyDescent="0.15"/>
    <row r="312" s="18" customFormat="1" ht="13" x14ac:dyDescent="0.15"/>
    <row r="313" s="18" customFormat="1" ht="13" x14ac:dyDescent="0.15"/>
    <row r="314" s="18" customFormat="1" ht="13" x14ac:dyDescent="0.15"/>
    <row r="315" s="18" customFormat="1" ht="13" x14ac:dyDescent="0.15"/>
    <row r="316" s="18" customFormat="1" ht="13" x14ac:dyDescent="0.15"/>
    <row r="317" s="18" customFormat="1" ht="13" x14ac:dyDescent="0.15"/>
    <row r="318" s="18" customFormat="1" ht="13" x14ac:dyDescent="0.15"/>
    <row r="319" s="18" customFormat="1" ht="13" x14ac:dyDescent="0.15"/>
    <row r="320" s="18" customFormat="1" ht="13" x14ac:dyDescent="0.15"/>
    <row r="321" spans="2:3" s="18" customFormat="1" ht="13" x14ac:dyDescent="0.15"/>
    <row r="322" spans="2:3" s="18" customFormat="1" ht="13" x14ac:dyDescent="0.15"/>
    <row r="323" spans="2:3" s="18" customFormat="1" ht="13" x14ac:dyDescent="0.15"/>
    <row r="324" spans="2:3" s="18" customFormat="1" ht="13" x14ac:dyDescent="0.15"/>
    <row r="325" spans="2:3" s="18" customFormat="1" ht="13" x14ac:dyDescent="0.15"/>
    <row r="326" spans="2:3" s="18" customFormat="1" ht="13" x14ac:dyDescent="0.15"/>
    <row r="327" spans="2:3" s="18" customFormat="1" ht="13" x14ac:dyDescent="0.15"/>
    <row r="328" spans="2:3" s="18" customFormat="1" ht="13" x14ac:dyDescent="0.15"/>
    <row r="329" spans="2:3" s="1" customFormat="1" x14ac:dyDescent="0.15"/>
    <row r="331" spans="2:3" x14ac:dyDescent="0.15">
      <c r="B331" s="9"/>
      <c r="C331" s="9"/>
    </row>
    <row r="341" spans="2:5" x14ac:dyDescent="0.15">
      <c r="B341" s="7"/>
      <c r="C341" s="7"/>
      <c r="D341" s="7"/>
      <c r="E341" s="7"/>
    </row>
    <row r="342" spans="2:5" x14ac:dyDescent="0.15">
      <c r="B342" s="7"/>
      <c r="C342" s="7"/>
      <c r="D342" s="7"/>
      <c r="E342" s="7"/>
    </row>
    <row r="343" spans="2:5" x14ac:dyDescent="0.15">
      <c r="B343" s="7"/>
      <c r="C343" s="7"/>
      <c r="D343" s="7"/>
      <c r="E343" s="7"/>
    </row>
    <row r="344" spans="2:5" x14ac:dyDescent="0.15">
      <c r="B344" s="7"/>
      <c r="C344" s="7"/>
      <c r="D344" s="7"/>
      <c r="E344" s="7"/>
    </row>
    <row r="345" spans="2:5" x14ac:dyDescent="0.15">
      <c r="B345" s="7"/>
      <c r="C345" s="7"/>
      <c r="D345" s="7"/>
      <c r="E345" s="7"/>
    </row>
    <row r="346" spans="2:5" x14ac:dyDescent="0.15">
      <c r="B346" s="7"/>
      <c r="C346" s="7"/>
      <c r="D346" s="7"/>
      <c r="E346" s="7"/>
    </row>
    <row r="347" spans="2:5" x14ac:dyDescent="0.15">
      <c r="B347" s="7"/>
      <c r="C347" s="7"/>
      <c r="D347" s="7"/>
      <c r="E347" s="7"/>
    </row>
    <row r="348" spans="2:5" x14ac:dyDescent="0.15">
      <c r="B348" s="7"/>
      <c r="C348" s="7"/>
      <c r="D348" s="7"/>
      <c r="E348" s="7"/>
    </row>
    <row r="349" spans="2:5" x14ac:dyDescent="0.15">
      <c r="B349" s="7"/>
      <c r="C349" s="7"/>
      <c r="D349" s="7"/>
      <c r="E349" s="7"/>
    </row>
    <row r="350" spans="2:5" x14ac:dyDescent="0.15">
      <c r="B350" s="7"/>
      <c r="C350" s="7"/>
      <c r="D350" s="7"/>
      <c r="E350" s="7"/>
    </row>
    <row r="351" spans="2:5" x14ac:dyDescent="0.15">
      <c r="B351" s="7"/>
      <c r="C351" s="7"/>
      <c r="D351" s="7"/>
      <c r="E351" s="7"/>
    </row>
    <row r="352" spans="2:5" x14ac:dyDescent="0.15">
      <c r="B352" s="7"/>
      <c r="C352" s="7"/>
      <c r="D352" s="7"/>
      <c r="E352" s="7"/>
    </row>
    <row r="353" spans="1:5" x14ac:dyDescent="0.15">
      <c r="B353" s="7"/>
      <c r="C353" s="7"/>
      <c r="D353" s="7"/>
      <c r="E353" s="7"/>
    </row>
    <row r="354" spans="1:5" x14ac:dyDescent="0.15">
      <c r="B354" s="7"/>
      <c r="C354" s="7"/>
      <c r="D354" s="7"/>
      <c r="E354" s="7"/>
    </row>
    <row r="355" spans="1:5" x14ac:dyDescent="0.15">
      <c r="B355" s="7"/>
      <c r="C355" s="7"/>
      <c r="D355" s="7"/>
      <c r="E355" s="7"/>
    </row>
    <row r="356" spans="1:5" x14ac:dyDescent="0.15">
      <c r="B356" s="7"/>
      <c r="C356" s="7"/>
      <c r="D356" s="7"/>
      <c r="E356" s="7"/>
    </row>
    <row r="365" spans="1:5" x14ac:dyDescent="0.15">
      <c r="A365" s="17"/>
    </row>
    <row r="366" spans="1:5" x14ac:dyDescent="0.15">
      <c r="A366" s="17"/>
    </row>
    <row r="367" spans="1:5" x14ac:dyDescent="0.15">
      <c r="A367" s="17"/>
    </row>
    <row r="368" spans="1:5" x14ac:dyDescent="0.15">
      <c r="A368" s="17"/>
    </row>
    <row r="373" spans="2:5" x14ac:dyDescent="0.15">
      <c r="B373" s="7"/>
      <c r="C373" s="7"/>
      <c r="D373" s="7"/>
      <c r="E373" s="7"/>
    </row>
    <row r="374" spans="2:5" x14ac:dyDescent="0.15">
      <c r="B374" s="7"/>
      <c r="C374" s="7"/>
      <c r="D374" s="7"/>
      <c r="E374" s="7"/>
    </row>
    <row r="375" spans="2:5" x14ac:dyDescent="0.15">
      <c r="B375" s="7"/>
      <c r="C375" s="7"/>
      <c r="D375" s="7"/>
      <c r="E375" s="7"/>
    </row>
    <row r="376" spans="2:5" x14ac:dyDescent="0.15">
      <c r="B376" s="7"/>
      <c r="C376" s="7"/>
      <c r="D376" s="7"/>
      <c r="E376" s="7"/>
    </row>
    <row r="377" spans="2:5" x14ac:dyDescent="0.15">
      <c r="B377" s="7"/>
      <c r="C377" s="7"/>
      <c r="D377" s="7"/>
      <c r="E377" s="7"/>
    </row>
    <row r="378" spans="2:5" x14ac:dyDescent="0.15">
      <c r="B378" s="7"/>
      <c r="C378" s="7"/>
      <c r="D378" s="7"/>
      <c r="E378" s="7"/>
    </row>
    <row r="379" spans="2:5" x14ac:dyDescent="0.15">
      <c r="B379" s="7"/>
      <c r="C379" s="7"/>
      <c r="D379" s="7"/>
      <c r="E379" s="7"/>
    </row>
    <row r="380" spans="2:5" x14ac:dyDescent="0.15">
      <c r="B380" s="7"/>
      <c r="C380" s="7"/>
      <c r="D380" s="7"/>
      <c r="E380" s="7"/>
    </row>
    <row r="381" spans="2:5" x14ac:dyDescent="0.15">
      <c r="B381" s="7"/>
      <c r="C381" s="7"/>
      <c r="D381" s="7"/>
      <c r="E381" s="7"/>
    </row>
    <row r="382" spans="2:5" x14ac:dyDescent="0.15">
      <c r="B382" s="7"/>
      <c r="C382" s="7"/>
      <c r="D382" s="7"/>
      <c r="E382" s="7"/>
    </row>
    <row r="383" spans="2:5" x14ac:dyDescent="0.15">
      <c r="B383" s="7"/>
      <c r="C383" s="7"/>
      <c r="D383" s="7"/>
      <c r="E383" s="7"/>
    </row>
    <row r="384" spans="2:5" x14ac:dyDescent="0.15">
      <c r="B384" s="7"/>
      <c r="C384" s="7"/>
      <c r="D384" s="7"/>
      <c r="E384" s="7"/>
    </row>
    <row r="385" spans="2:5" x14ac:dyDescent="0.15">
      <c r="B385" s="7"/>
      <c r="C385" s="7"/>
      <c r="D385" s="7"/>
      <c r="E385" s="7"/>
    </row>
    <row r="386" spans="2:5" x14ac:dyDescent="0.15">
      <c r="B386" s="7"/>
      <c r="C386" s="7"/>
      <c r="D386" s="7"/>
      <c r="E386" s="7"/>
    </row>
    <row r="387" spans="2:5" x14ac:dyDescent="0.15">
      <c r="B387" s="7"/>
      <c r="C387" s="7"/>
      <c r="D387" s="7"/>
      <c r="E387" s="7"/>
    </row>
    <row r="388" spans="2:5" x14ac:dyDescent="0.15">
      <c r="B388" s="7"/>
      <c r="C388" s="7"/>
      <c r="D388" s="7"/>
      <c r="E388" s="7"/>
    </row>
    <row r="389" spans="2:5" x14ac:dyDescent="0.15">
      <c r="B389" s="7"/>
      <c r="C389" s="7"/>
      <c r="D389" s="7"/>
      <c r="E389" s="7"/>
    </row>
    <row r="390" spans="2:5" x14ac:dyDescent="0.15">
      <c r="B390" s="7"/>
      <c r="C390" s="7"/>
      <c r="D390" s="7"/>
      <c r="E390" s="7"/>
    </row>
    <row r="391" spans="2:5" x14ac:dyDescent="0.15">
      <c r="B391" s="7"/>
      <c r="C391" s="7"/>
      <c r="D391" s="7"/>
      <c r="E391" s="7"/>
    </row>
    <row r="392" spans="2:5" x14ac:dyDescent="0.15">
      <c r="B392" s="7"/>
      <c r="C392" s="7"/>
      <c r="D392" s="7"/>
      <c r="E392" s="7"/>
    </row>
    <row r="393" spans="2:5" x14ac:dyDescent="0.15">
      <c r="B393" s="7"/>
      <c r="C393" s="7"/>
      <c r="D393" s="7"/>
      <c r="E393" s="7"/>
    </row>
    <row r="394" spans="2:5" x14ac:dyDescent="0.15">
      <c r="B394" s="7"/>
      <c r="C394" s="7"/>
      <c r="D394" s="7"/>
      <c r="E394" s="7"/>
    </row>
    <row r="395" spans="2:5" x14ac:dyDescent="0.15">
      <c r="B395" s="7"/>
      <c r="C395" s="7"/>
      <c r="D395" s="7"/>
      <c r="E395" s="7"/>
    </row>
    <row r="396" spans="2:5" x14ac:dyDescent="0.15">
      <c r="B396" s="7"/>
      <c r="C396" s="7"/>
      <c r="D396" s="7"/>
      <c r="E396" s="7"/>
    </row>
    <row r="397" spans="2:5" x14ac:dyDescent="0.15">
      <c r="B397" s="7"/>
      <c r="C397" s="7"/>
      <c r="D397" s="7"/>
      <c r="E397" s="7"/>
    </row>
    <row r="398" spans="2:5" x14ac:dyDescent="0.15">
      <c r="B398" s="7"/>
      <c r="C398" s="7"/>
      <c r="D398" s="7"/>
      <c r="E398" s="7"/>
    </row>
    <row r="399" spans="2:5" x14ac:dyDescent="0.15">
      <c r="B399" s="7"/>
      <c r="C399" s="7"/>
      <c r="D399" s="7"/>
      <c r="E399" s="7"/>
    </row>
    <row r="400" spans="2:5" x14ac:dyDescent="0.15">
      <c r="B400" s="7"/>
      <c r="C400" s="7"/>
      <c r="D400" s="7"/>
      <c r="E400" s="7"/>
    </row>
    <row r="401" spans="2:5" x14ac:dyDescent="0.15">
      <c r="B401" s="7"/>
      <c r="C401" s="7"/>
      <c r="D401" s="7"/>
      <c r="E401" s="7"/>
    </row>
    <row r="402" spans="2:5" x14ac:dyDescent="0.15">
      <c r="B402" s="7"/>
      <c r="C402" s="7"/>
      <c r="D402" s="7"/>
      <c r="E402" s="7"/>
    </row>
    <row r="403" spans="2:5" x14ac:dyDescent="0.15">
      <c r="B403" s="7"/>
      <c r="C403" s="7"/>
      <c r="D403" s="7"/>
      <c r="E403" s="7"/>
    </row>
    <row r="404" spans="2:5" x14ac:dyDescent="0.15">
      <c r="B404" s="7"/>
      <c r="C404" s="7"/>
      <c r="D404" s="7"/>
      <c r="E404" s="7"/>
    </row>
    <row r="405" spans="2:5" x14ac:dyDescent="0.15">
      <c r="B405" s="7"/>
      <c r="C405" s="7"/>
      <c r="D405" s="7"/>
      <c r="E405" s="7"/>
    </row>
    <row r="406" spans="2:5" x14ac:dyDescent="0.15">
      <c r="B406" s="7"/>
      <c r="C406" s="7"/>
      <c r="D406" s="7"/>
      <c r="E406" s="7"/>
    </row>
    <row r="407" spans="2:5" x14ac:dyDescent="0.15">
      <c r="B407" s="7"/>
      <c r="C407" s="7"/>
      <c r="D407" s="7"/>
      <c r="E407" s="7"/>
    </row>
    <row r="408" spans="2:5" x14ac:dyDescent="0.15">
      <c r="B408" s="7"/>
      <c r="C408" s="7"/>
      <c r="D408" s="7"/>
      <c r="E408" s="7"/>
    </row>
    <row r="409" spans="2:5" x14ac:dyDescent="0.15">
      <c r="B409" s="7"/>
      <c r="C409" s="7"/>
      <c r="D409" s="7"/>
      <c r="E409" s="7"/>
    </row>
    <row r="410" spans="2:5" x14ac:dyDescent="0.15">
      <c r="B410" s="7"/>
      <c r="C410" s="7"/>
      <c r="D410" s="7"/>
      <c r="E410" s="7"/>
    </row>
    <row r="411" spans="2:5" x14ac:dyDescent="0.15">
      <c r="B411" s="7"/>
      <c r="C411" s="7"/>
      <c r="D411" s="7"/>
      <c r="E411" s="7"/>
    </row>
    <row r="412" spans="2:5" x14ac:dyDescent="0.15">
      <c r="B412" s="7"/>
      <c r="C412" s="7"/>
      <c r="D412" s="7"/>
      <c r="E412" s="7"/>
    </row>
    <row r="413" spans="2:5" x14ac:dyDescent="0.15">
      <c r="B413" s="7"/>
      <c r="C413" s="7"/>
      <c r="D413" s="7"/>
      <c r="E413" s="7"/>
    </row>
    <row r="414" spans="2:5" x14ac:dyDescent="0.15">
      <c r="B414" s="7"/>
      <c r="C414" s="7"/>
      <c r="D414" s="7"/>
      <c r="E414" s="7"/>
    </row>
    <row r="415" spans="2:5" x14ac:dyDescent="0.15">
      <c r="B415" s="7"/>
      <c r="C415" s="7"/>
      <c r="D415" s="7"/>
      <c r="E415" s="7"/>
    </row>
    <row r="416" spans="2:5" x14ac:dyDescent="0.15">
      <c r="B416" s="7"/>
      <c r="C416" s="7"/>
      <c r="D416" s="7"/>
      <c r="E416" s="7"/>
    </row>
    <row r="417" spans="2:5" x14ac:dyDescent="0.15">
      <c r="B417" s="7"/>
      <c r="C417" s="7"/>
      <c r="D417" s="7"/>
      <c r="E417" s="7"/>
    </row>
    <row r="418" spans="2:5" x14ac:dyDescent="0.15">
      <c r="B418" s="7"/>
      <c r="C418" s="7"/>
      <c r="D418" s="7"/>
      <c r="E418" s="7"/>
    </row>
    <row r="419" spans="2:5" x14ac:dyDescent="0.15">
      <c r="B419" s="7"/>
      <c r="C419" s="7"/>
      <c r="D419" s="7"/>
      <c r="E419" s="7"/>
    </row>
    <row r="420" spans="2:5" x14ac:dyDescent="0.15">
      <c r="B420" s="7"/>
      <c r="C420" s="7"/>
      <c r="D420" s="7"/>
      <c r="E420" s="7"/>
    </row>
    <row r="421" spans="2:5" x14ac:dyDescent="0.15">
      <c r="B421" s="7"/>
      <c r="C421" s="7"/>
      <c r="D421" s="7"/>
      <c r="E421" s="7"/>
    </row>
    <row r="422" spans="2:5" x14ac:dyDescent="0.15">
      <c r="B422" s="7"/>
      <c r="C422" s="7"/>
      <c r="D422" s="7"/>
      <c r="E422" s="7"/>
    </row>
    <row r="423" spans="2:5" x14ac:dyDescent="0.15">
      <c r="B423" s="7"/>
      <c r="C423" s="7"/>
      <c r="D423" s="7"/>
      <c r="E423" s="7"/>
    </row>
    <row r="424" spans="2:5" x14ac:dyDescent="0.15">
      <c r="B424" s="7"/>
      <c r="C424" s="7"/>
      <c r="D424" s="7"/>
      <c r="E424" s="7"/>
    </row>
    <row r="425" spans="2:5" x14ac:dyDescent="0.15">
      <c r="B425" s="7"/>
      <c r="C425" s="7"/>
      <c r="D425" s="7"/>
      <c r="E425" s="7"/>
    </row>
    <row r="426" spans="2:5" x14ac:dyDescent="0.15">
      <c r="B426" s="7"/>
      <c r="C426" s="7"/>
      <c r="D426" s="7"/>
      <c r="E426" s="7"/>
    </row>
    <row r="427" spans="2:5" x14ac:dyDescent="0.15">
      <c r="B427" s="7"/>
      <c r="C427" s="7"/>
      <c r="D427" s="7"/>
      <c r="E427" s="7"/>
    </row>
    <row r="428" spans="2:5" x14ac:dyDescent="0.15">
      <c r="B428" s="7"/>
      <c r="C428" s="7"/>
      <c r="D428" s="7"/>
      <c r="E428" s="7"/>
    </row>
    <row r="429" spans="2:5" x14ac:dyDescent="0.15">
      <c r="B429" s="7"/>
      <c r="C429" s="7"/>
      <c r="D429" s="7"/>
      <c r="E429" s="7"/>
    </row>
    <row r="430" spans="2:5" x14ac:dyDescent="0.15">
      <c r="B430" s="7"/>
      <c r="C430" s="7"/>
      <c r="D430" s="7"/>
      <c r="E430" s="7"/>
    </row>
    <row r="431" spans="2:5" x14ac:dyDescent="0.15">
      <c r="B431" s="7"/>
      <c r="C431" s="7"/>
      <c r="D431" s="7"/>
      <c r="E431" s="7"/>
    </row>
    <row r="432" spans="2:5" x14ac:dyDescent="0.15">
      <c r="B432" s="7"/>
      <c r="C432" s="7"/>
      <c r="D432" s="7"/>
      <c r="E432" s="7"/>
    </row>
    <row r="433" spans="2:5" x14ac:dyDescent="0.15">
      <c r="B433" s="7"/>
      <c r="C433" s="7"/>
      <c r="D433" s="7"/>
      <c r="E433" s="7"/>
    </row>
    <row r="434" spans="2:5" x14ac:dyDescent="0.15">
      <c r="B434" s="7"/>
      <c r="C434" s="7"/>
      <c r="D434" s="7"/>
      <c r="E434" s="7"/>
    </row>
    <row r="435" spans="2:5" x14ac:dyDescent="0.15">
      <c r="B435" s="7"/>
      <c r="C435" s="7"/>
      <c r="D435" s="7"/>
      <c r="E435" s="7"/>
    </row>
    <row r="436" spans="2:5" x14ac:dyDescent="0.15">
      <c r="B436" s="7"/>
      <c r="C436" s="7"/>
      <c r="D436" s="7"/>
      <c r="E436" s="7"/>
    </row>
    <row r="437" spans="2:5" x14ac:dyDescent="0.15">
      <c r="B437" s="7"/>
      <c r="C437" s="7"/>
      <c r="D437" s="7"/>
      <c r="E437" s="7"/>
    </row>
    <row r="438" spans="2:5" x14ac:dyDescent="0.15">
      <c r="B438" s="7"/>
      <c r="C438" s="7"/>
      <c r="D438" s="7"/>
      <c r="E438" s="7"/>
    </row>
    <row r="439" spans="2:5" x14ac:dyDescent="0.15">
      <c r="B439" s="7"/>
      <c r="C439" s="7"/>
      <c r="D439" s="7"/>
      <c r="E439" s="7"/>
    </row>
    <row r="440" spans="2:5" x14ac:dyDescent="0.15">
      <c r="B440" s="7"/>
      <c r="C440" s="7"/>
      <c r="D440" s="7"/>
      <c r="E440" s="7"/>
    </row>
    <row r="441" spans="2:5" x14ac:dyDescent="0.15">
      <c r="B441" s="7"/>
      <c r="C441" s="7"/>
      <c r="D441" s="7"/>
      <c r="E441" s="7"/>
    </row>
    <row r="442" spans="2:5" x14ac:dyDescent="0.15">
      <c r="B442" s="7"/>
      <c r="C442" s="7"/>
      <c r="D442" s="7"/>
      <c r="E442" s="7"/>
    </row>
    <row r="443" spans="2:5" x14ac:dyDescent="0.15">
      <c r="B443" s="7"/>
      <c r="C443" s="7"/>
      <c r="D443" s="7"/>
      <c r="E443" s="7"/>
    </row>
    <row r="444" spans="2:5" x14ac:dyDescent="0.15">
      <c r="B444" s="7"/>
      <c r="C444" s="7"/>
      <c r="D444" s="7"/>
      <c r="E444" s="7"/>
    </row>
    <row r="445" spans="2:5" x14ac:dyDescent="0.15">
      <c r="B445" s="7"/>
      <c r="C445" s="7"/>
      <c r="D445" s="7"/>
      <c r="E445" s="7"/>
    </row>
    <row r="446" spans="2:5" x14ac:dyDescent="0.15">
      <c r="B446" s="7"/>
      <c r="C446" s="7"/>
      <c r="D446" s="7"/>
      <c r="E446" s="7"/>
    </row>
    <row r="447" spans="2:5" x14ac:dyDescent="0.15">
      <c r="B447" s="7"/>
      <c r="C447" s="7"/>
      <c r="D447" s="7"/>
      <c r="E447" s="7"/>
    </row>
    <row r="448" spans="2:5" x14ac:dyDescent="0.15">
      <c r="B448" s="7"/>
      <c r="C448" s="7"/>
      <c r="D448" s="7"/>
      <c r="E448" s="7"/>
    </row>
    <row r="449" spans="2:5" x14ac:dyDescent="0.15">
      <c r="B449" s="7"/>
      <c r="C449" s="7"/>
      <c r="D449" s="7"/>
      <c r="E449" s="7"/>
    </row>
    <row r="450" spans="2:5" x14ac:dyDescent="0.15">
      <c r="B450" s="7"/>
      <c r="C450" s="7"/>
      <c r="D450" s="7"/>
      <c r="E450" s="7"/>
    </row>
    <row r="451" spans="2:5" x14ac:dyDescent="0.15">
      <c r="B451" s="7"/>
      <c r="C451" s="7"/>
      <c r="D451" s="7"/>
      <c r="E451" s="7"/>
    </row>
    <row r="452" spans="2:5" x14ac:dyDescent="0.15">
      <c r="B452" s="7"/>
      <c r="C452" s="7"/>
      <c r="D452" s="7"/>
      <c r="E452" s="7"/>
    </row>
    <row r="453" spans="2:5" x14ac:dyDescent="0.15">
      <c r="B453" s="7"/>
      <c r="C453" s="7"/>
      <c r="D453" s="7"/>
      <c r="E453" s="7"/>
    </row>
    <row r="454" spans="2:5" x14ac:dyDescent="0.15">
      <c r="B454" s="7"/>
      <c r="C454" s="7"/>
      <c r="D454" s="7"/>
      <c r="E454" s="7"/>
    </row>
    <row r="455" spans="2:5" x14ac:dyDescent="0.15">
      <c r="B455" s="7"/>
      <c r="C455" s="7"/>
      <c r="D455" s="7"/>
      <c r="E455" s="7"/>
    </row>
    <row r="456" spans="2:5" x14ac:dyDescent="0.15">
      <c r="B456" s="7"/>
      <c r="C456" s="7"/>
      <c r="D456" s="7"/>
      <c r="E456" s="7"/>
    </row>
    <row r="457" spans="2:5" x14ac:dyDescent="0.15">
      <c r="B457" s="7"/>
      <c r="C457" s="7"/>
      <c r="D457" s="7"/>
      <c r="E457" s="7"/>
    </row>
    <row r="458" spans="2:5" x14ac:dyDescent="0.15">
      <c r="B458" s="7"/>
      <c r="C458" s="7"/>
      <c r="D458" s="7"/>
      <c r="E458" s="7"/>
    </row>
    <row r="459" spans="2:5" x14ac:dyDescent="0.15">
      <c r="B459" s="7"/>
      <c r="C459" s="7"/>
      <c r="D459" s="7"/>
      <c r="E459" s="7"/>
    </row>
    <row r="460" spans="2:5" x14ac:dyDescent="0.15">
      <c r="B460" s="7"/>
      <c r="C460" s="7"/>
      <c r="D460" s="7"/>
      <c r="E460" s="7"/>
    </row>
    <row r="461" spans="2:5" x14ac:dyDescent="0.15">
      <c r="B461" s="7"/>
      <c r="C461" s="7"/>
      <c r="D461" s="7"/>
      <c r="E461" s="7"/>
    </row>
    <row r="462" spans="2:5" x14ac:dyDescent="0.15">
      <c r="B462" s="7"/>
      <c r="C462" s="7"/>
      <c r="D462" s="7"/>
      <c r="E462" s="7"/>
    </row>
    <row r="463" spans="2:5" x14ac:dyDescent="0.15">
      <c r="B463" s="7"/>
      <c r="C463" s="7"/>
      <c r="D463" s="7"/>
      <c r="E463" s="7"/>
    </row>
    <row r="464" spans="2:5" x14ac:dyDescent="0.15">
      <c r="B464" s="7"/>
      <c r="C464" s="7"/>
      <c r="D464" s="7"/>
      <c r="E464" s="7"/>
    </row>
    <row r="465" spans="2:5" x14ac:dyDescent="0.15">
      <c r="B465" s="7"/>
      <c r="C465" s="7"/>
      <c r="D465" s="7"/>
      <c r="E465" s="7"/>
    </row>
    <row r="466" spans="2:5" x14ac:dyDescent="0.15">
      <c r="B466" s="7"/>
      <c r="C466" s="7"/>
      <c r="D466" s="7"/>
      <c r="E466" s="7"/>
    </row>
    <row r="467" spans="2:5" x14ac:dyDescent="0.15">
      <c r="B467" s="7"/>
      <c r="C467" s="7"/>
      <c r="D467" s="7"/>
      <c r="E467" s="7"/>
    </row>
    <row r="468" spans="2:5" x14ac:dyDescent="0.15">
      <c r="B468" s="7"/>
      <c r="C468" s="7"/>
      <c r="D468" s="7"/>
      <c r="E468" s="7"/>
    </row>
    <row r="469" spans="2:5" x14ac:dyDescent="0.15">
      <c r="B469" s="7"/>
      <c r="C469" s="7"/>
      <c r="D469" s="7"/>
      <c r="E469" s="7"/>
    </row>
    <row r="470" spans="2:5" x14ac:dyDescent="0.15">
      <c r="B470" s="7"/>
      <c r="C470" s="7"/>
      <c r="D470" s="7"/>
      <c r="E470" s="7"/>
    </row>
    <row r="471" spans="2:5" x14ac:dyDescent="0.15">
      <c r="B471" s="7"/>
      <c r="C471" s="7"/>
      <c r="D471" s="7"/>
      <c r="E471" s="7"/>
    </row>
    <row r="472" spans="2:5" x14ac:dyDescent="0.15">
      <c r="B472" s="7"/>
      <c r="C472" s="7"/>
      <c r="D472" s="7"/>
      <c r="E472" s="7"/>
    </row>
    <row r="473" spans="2:5" x14ac:dyDescent="0.15">
      <c r="B473" s="7"/>
      <c r="C473" s="7"/>
      <c r="D473" s="7"/>
      <c r="E473" s="7"/>
    </row>
    <row r="474" spans="2:5" x14ac:dyDescent="0.15">
      <c r="B474" s="7"/>
      <c r="C474" s="7"/>
      <c r="D474" s="7"/>
      <c r="E474" s="7"/>
    </row>
    <row r="475" spans="2:5" x14ac:dyDescent="0.15">
      <c r="B475" s="7"/>
      <c r="C475" s="7"/>
      <c r="D475" s="7"/>
      <c r="E475" s="7"/>
    </row>
    <row r="476" spans="2:5" x14ac:dyDescent="0.15">
      <c r="B476" s="7"/>
      <c r="C476" s="7"/>
      <c r="D476" s="7"/>
      <c r="E476" s="7"/>
    </row>
    <row r="477" spans="2:5" x14ac:dyDescent="0.15">
      <c r="B477" s="7"/>
      <c r="C477" s="7"/>
      <c r="D477" s="7"/>
      <c r="E477" s="7"/>
    </row>
    <row r="478" spans="2:5" x14ac:dyDescent="0.15">
      <c r="B478" s="7"/>
      <c r="C478" s="7"/>
      <c r="D478" s="7"/>
      <c r="E478" s="7"/>
    </row>
    <row r="479" spans="2:5" x14ac:dyDescent="0.15">
      <c r="B479" s="7"/>
      <c r="C479" s="7"/>
      <c r="D479" s="7"/>
      <c r="E479" s="7"/>
    </row>
    <row r="480" spans="2:5" x14ac:dyDescent="0.15">
      <c r="B480" s="7"/>
      <c r="C480" s="7"/>
      <c r="D480" s="7"/>
      <c r="E480" s="7"/>
    </row>
    <row r="481" spans="2:5" x14ac:dyDescent="0.15">
      <c r="B481" s="7"/>
      <c r="C481" s="7"/>
      <c r="D481" s="7"/>
      <c r="E481" s="7"/>
    </row>
    <row r="482" spans="2:5" x14ac:dyDescent="0.15">
      <c r="B482" s="7"/>
      <c r="C482" s="7"/>
      <c r="D482" s="7"/>
      <c r="E482" s="7"/>
    </row>
    <row r="483" spans="2:5" x14ac:dyDescent="0.15">
      <c r="B483" s="7"/>
      <c r="C483" s="7"/>
      <c r="D483" s="7"/>
      <c r="E483" s="7"/>
    </row>
    <row r="484" spans="2:5" x14ac:dyDescent="0.15">
      <c r="B484" s="7"/>
      <c r="C484" s="7"/>
      <c r="D484" s="7"/>
      <c r="E484" s="7"/>
    </row>
    <row r="485" spans="2:5" x14ac:dyDescent="0.15">
      <c r="B485" s="7"/>
      <c r="C485" s="7"/>
      <c r="D485" s="7"/>
      <c r="E485" s="7"/>
    </row>
    <row r="486" spans="2:5" x14ac:dyDescent="0.15">
      <c r="B486" s="7"/>
      <c r="C486" s="7"/>
      <c r="D486" s="7"/>
      <c r="E486" s="7"/>
    </row>
    <row r="487" spans="2:5" x14ac:dyDescent="0.15">
      <c r="B487" s="7"/>
      <c r="C487" s="7"/>
      <c r="D487" s="7"/>
      <c r="E487" s="7"/>
    </row>
    <row r="488" spans="2:5" x14ac:dyDescent="0.15">
      <c r="B488" s="7"/>
      <c r="C488" s="7"/>
      <c r="D488" s="7"/>
      <c r="E488" s="7"/>
    </row>
    <row r="489" spans="2:5" x14ac:dyDescent="0.15">
      <c r="B489" s="7"/>
      <c r="C489" s="7"/>
      <c r="D489" s="7"/>
      <c r="E489" s="7"/>
    </row>
    <row r="490" spans="2:5" x14ac:dyDescent="0.15">
      <c r="B490" s="7"/>
      <c r="C490" s="7"/>
      <c r="D490" s="7"/>
      <c r="E490" s="7"/>
    </row>
    <row r="491" spans="2:5" x14ac:dyDescent="0.15">
      <c r="B491" s="7"/>
      <c r="C491" s="7"/>
      <c r="D491" s="7"/>
      <c r="E491" s="7"/>
    </row>
    <row r="492" spans="2:5" x14ac:dyDescent="0.15">
      <c r="B492" s="7"/>
      <c r="C492" s="7"/>
      <c r="D492" s="7"/>
      <c r="E492" s="7"/>
    </row>
    <row r="493" spans="2:5" x14ac:dyDescent="0.15">
      <c r="B493" s="7"/>
      <c r="C493" s="7"/>
      <c r="D493" s="7"/>
      <c r="E493" s="7"/>
    </row>
    <row r="494" spans="2:5" x14ac:dyDescent="0.15">
      <c r="B494" s="7"/>
      <c r="C494" s="7"/>
      <c r="D494" s="7"/>
      <c r="E494" s="7"/>
    </row>
    <row r="495" spans="2:5" x14ac:dyDescent="0.15">
      <c r="B495" s="7"/>
      <c r="C495" s="7"/>
      <c r="D495" s="7"/>
      <c r="E495" s="7"/>
    </row>
    <row r="496" spans="2:5" x14ac:dyDescent="0.15">
      <c r="B496" s="7"/>
      <c r="C496" s="7"/>
      <c r="D496" s="7"/>
      <c r="E496" s="7"/>
    </row>
    <row r="497" spans="2:5" x14ac:dyDescent="0.15">
      <c r="B497" s="7"/>
      <c r="C497" s="7"/>
      <c r="D497" s="7"/>
      <c r="E497" s="7"/>
    </row>
    <row r="498" spans="2:5" x14ac:dyDescent="0.15">
      <c r="B498" s="7"/>
      <c r="C498" s="7"/>
      <c r="D498" s="7"/>
      <c r="E498" s="7"/>
    </row>
  </sheetData>
  <sheetProtection algorithmName="SHA-512" hashValue="V+P85gT1Vh35LncEKxbrBh6DD9ItYpKfjsB639Zg51eNq4Nzzmcgfzo2tPW1DDjd8mM1bL0bQZWzEs0ZQRaV/g==" saltValue="YsIvd8TtC/D6KXzrL4lsbQ==" spinCount="100000" sheet="1" formatCells="0" selectLockedCells="1" sort="0" autoFilter="0" pivotTables="0"/>
  <protectedRanges>
    <protectedRange sqref="D38:D42" name="BAR"/>
    <protectedRange sqref="E21:E31" name="Inputs"/>
    <protectedRange sqref="D50:L51" name="PhaseIn"/>
    <protectedRange sqref="C117" name="Select"/>
  </protectedRanges>
  <mergeCells count="25">
    <mergeCell ref="B13:I15"/>
    <mergeCell ref="C20:D20"/>
    <mergeCell ref="C22:D22"/>
    <mergeCell ref="C29:D29"/>
    <mergeCell ref="C27:D27"/>
    <mergeCell ref="C26:D26"/>
    <mergeCell ref="C28:D28"/>
    <mergeCell ref="C21:D21"/>
    <mergeCell ref="C33:D33"/>
    <mergeCell ref="C24:D24"/>
    <mergeCell ref="C23:D23"/>
    <mergeCell ref="C32:D32"/>
    <mergeCell ref="C31:D31"/>
    <mergeCell ref="C25:D25"/>
    <mergeCell ref="C30:D30"/>
    <mergeCell ref="B49:C49"/>
    <mergeCell ref="B50:C50"/>
    <mergeCell ref="B51:C51"/>
    <mergeCell ref="B53:C53"/>
    <mergeCell ref="B54:C54"/>
    <mergeCell ref="B57:C57"/>
    <mergeCell ref="B58:C58"/>
    <mergeCell ref="B60:C60"/>
    <mergeCell ref="B61:C61"/>
    <mergeCell ref="B73:G75"/>
  </mergeCells>
  <dataValidations count="5">
    <dataValidation type="decimal" operator="greaterThan" allowBlank="1" showInputMessage="1" showErrorMessage="1" errorTitle="Foundation Error" error="Pelase input a numerical Foundation amount greater than $0." sqref="E21" xr:uid="{00000000-0002-0000-0100-000000000000}">
      <formula1>0</formula1>
    </dataValidation>
    <dataValidation type="decimal" operator="greaterThan" allowBlank="1" showInputMessage="1" showErrorMessage="1" errorTitle="Base Aid Ratio Error" error="Please input a numerical Threshold Factor amount greater than 0." sqref="E31" xr:uid="{00000000-0002-0000-0100-000001000000}">
      <formula1>0</formula1>
    </dataValidation>
    <dataValidation type="decimal" allowBlank="1" showInputMessage="1" showErrorMessage="1" errorTitle="Base Aid Ratio Error" error="Please input a value between 0% and 100%." sqref="E25:E26" xr:uid="{00000000-0002-0000-0100-000002000000}">
      <formula1>0</formula1>
      <formula2>1</formula2>
    </dataValidation>
    <dataValidation type="decimal" allowBlank="1" showErrorMessage="1" errorTitle="Base Aid Ratio Error" error="Please input a value between 0% and 100%." promptTitle="Base Aid Ratio Error" prompt="Please input a value between 0% and 100%" sqref="E29 E27" xr:uid="{00000000-0002-0000-0100-000003000000}">
      <formula1>0</formula1>
      <formula2>1</formula2>
    </dataValidation>
    <dataValidation type="list" allowBlank="1" showInputMessage="1" showErrorMessage="1" sqref="E30" xr:uid="{00000000-0002-0000-0100-000004000000}">
      <formula1>"Yes, No"</formula1>
    </dataValidation>
  </dataValidations>
  <pageMargins left="0.7" right="0.7" top="0.75" bottom="0.75" header="0.3" footer="0.3"/>
  <pageSetup scale="4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Outputs!$A$20:$A$188</xm:f>
          </x14:formula1>
          <xm:sqref>C117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V188"/>
  <sheetViews>
    <sheetView showGridLines="0" zoomScale="70" zoomScaleNormal="70" workbookViewId="0">
      <selection activeCell="H25" sqref="H25"/>
    </sheetView>
  </sheetViews>
  <sheetFormatPr baseColWidth="10" defaultColWidth="9.1640625" defaultRowHeight="13" x14ac:dyDescent="0.15"/>
  <cols>
    <col min="1" max="1" width="18.33203125" style="107" bestFit="1" customWidth="1"/>
    <col min="2" max="2" width="26.33203125" style="107" customWidth="1"/>
    <col min="3" max="3" width="15.33203125" style="107" customWidth="1"/>
    <col min="4" max="4" width="17.1640625" style="107" bestFit="1" customWidth="1"/>
    <col min="5" max="6" width="17.1640625" style="107" customWidth="1"/>
    <col min="7" max="7" width="15" style="107" bestFit="1" customWidth="1"/>
    <col min="8" max="8" width="34" style="107" customWidth="1"/>
    <col min="9" max="9" width="15.83203125" style="107" bestFit="1" customWidth="1"/>
    <col min="10" max="10" width="21" style="107" bestFit="1" customWidth="1"/>
    <col min="11" max="11" width="20" style="107" bestFit="1" customWidth="1"/>
    <col min="12" max="12" width="22.33203125" style="107" bestFit="1" customWidth="1"/>
    <col min="13" max="20" width="15" style="107" bestFit="1" customWidth="1"/>
    <col min="21" max="21" width="15" style="107" customWidth="1"/>
    <col min="22" max="28" width="15" style="107" bestFit="1" customWidth="1"/>
    <col min="29" max="30" width="15" style="107" customWidth="1"/>
    <col min="31" max="48" width="18.33203125" style="107" customWidth="1"/>
    <col min="49" max="16384" width="9.1640625" style="107"/>
  </cols>
  <sheetData>
    <row r="1" spans="1:48" ht="14" thickBot="1" x14ac:dyDescent="0.2">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row>
    <row r="2" spans="1:48" ht="25" x14ac:dyDescent="0.25">
      <c r="A2" s="217" t="s">
        <v>355</v>
      </c>
      <c r="B2" s="99"/>
      <c r="C2" s="99"/>
      <c r="D2" s="99"/>
      <c r="E2" s="99"/>
      <c r="F2" s="99"/>
      <c r="G2" s="99"/>
      <c r="H2" s="99"/>
      <c r="I2" s="99"/>
      <c r="J2" s="99"/>
      <c r="K2" s="99"/>
      <c r="L2" s="99"/>
      <c r="M2" s="99"/>
      <c r="N2" s="99"/>
      <c r="O2" s="99"/>
      <c r="P2" s="99"/>
      <c r="Q2" s="99"/>
      <c r="R2" s="99"/>
      <c r="S2" s="99"/>
      <c r="T2" s="99"/>
      <c r="U2" s="99"/>
      <c r="V2" s="99"/>
      <c r="W2" s="93"/>
      <c r="X2" s="93"/>
      <c r="Y2" s="93"/>
      <c r="Z2" s="93"/>
      <c r="AA2" s="93"/>
      <c r="AB2" s="93"/>
      <c r="AC2" s="93"/>
      <c r="AD2" s="93"/>
      <c r="AE2" s="93"/>
      <c r="AF2" s="93"/>
      <c r="AG2" s="93"/>
      <c r="AH2" s="93"/>
      <c r="AI2" s="93"/>
      <c r="AJ2" s="93"/>
      <c r="AK2" s="93"/>
      <c r="AL2" s="93"/>
      <c r="AM2" s="93"/>
      <c r="AN2" s="93"/>
      <c r="AO2" s="93"/>
      <c r="AP2" s="93"/>
      <c r="AQ2" s="93"/>
      <c r="AR2" s="93"/>
      <c r="AS2" s="93"/>
      <c r="AT2" s="93"/>
      <c r="AU2" s="93"/>
    </row>
    <row r="4" spans="1:48" ht="14" x14ac:dyDescent="0.15">
      <c r="B4" s="248" t="s">
        <v>210</v>
      </c>
      <c r="C4" s="248"/>
      <c r="D4" s="248"/>
      <c r="E4" s="248"/>
      <c r="F4" s="248"/>
      <c r="G4" s="248"/>
      <c r="H4" s="248"/>
      <c r="I4" s="248"/>
    </row>
    <row r="5" spans="1:48" x14ac:dyDescent="0.15">
      <c r="B5" s="388" t="s">
        <v>364</v>
      </c>
      <c r="C5" s="388"/>
      <c r="D5" s="388"/>
      <c r="E5" s="388"/>
      <c r="F5" s="388"/>
      <c r="G5" s="388"/>
      <c r="H5" s="388"/>
      <c r="I5" s="388"/>
    </row>
    <row r="6" spans="1:48" ht="19" customHeight="1" x14ac:dyDescent="0.15">
      <c r="B6" s="388"/>
      <c r="C6" s="388"/>
      <c r="D6" s="388"/>
      <c r="E6" s="388"/>
      <c r="F6" s="388"/>
      <c r="G6" s="388"/>
      <c r="H6" s="388"/>
      <c r="I6" s="388"/>
    </row>
    <row r="9" spans="1:48" x14ac:dyDescent="0.15">
      <c r="A9" s="210" t="s">
        <v>365</v>
      </c>
    </row>
    <row r="11" spans="1:48" ht="13.5" customHeight="1" x14ac:dyDescent="0.15">
      <c r="A11" s="207" t="s">
        <v>188</v>
      </c>
      <c r="B11" s="24">
        <v>1</v>
      </c>
      <c r="C11" s="24">
        <f t="shared" ref="C11:D11" si="0">B11+1</f>
        <v>2</v>
      </c>
      <c r="D11" s="24">
        <f t="shared" si="0"/>
        <v>3</v>
      </c>
      <c r="E11" s="24">
        <f t="shared" ref="E11" si="1">D11+1</f>
        <v>4</v>
      </c>
      <c r="F11" s="24">
        <f t="shared" ref="F11" si="2">E11+1</f>
        <v>5</v>
      </c>
      <c r="G11" s="24">
        <f t="shared" ref="G11" si="3">F11+1</f>
        <v>6</v>
      </c>
      <c r="H11" s="24">
        <f t="shared" ref="H11" si="4">G11+1</f>
        <v>7</v>
      </c>
      <c r="I11" s="24">
        <f t="shared" ref="I11" si="5">H11+1</f>
        <v>8</v>
      </c>
      <c r="J11" s="24">
        <f t="shared" ref="J11" si="6">I11+1</f>
        <v>9</v>
      </c>
      <c r="K11" s="24">
        <f t="shared" ref="K11" si="7">J11+1</f>
        <v>10</v>
      </c>
      <c r="L11" s="24">
        <f t="shared" ref="L11" si="8">K11+1</f>
        <v>11</v>
      </c>
      <c r="M11" s="24">
        <f t="shared" ref="M11" si="9">L11+1</f>
        <v>12</v>
      </c>
      <c r="N11" s="24">
        <f t="shared" ref="N11" si="10">M11+1</f>
        <v>13</v>
      </c>
      <c r="O11" s="24">
        <f t="shared" ref="O11" si="11">N11+1</f>
        <v>14</v>
      </c>
      <c r="P11" s="24">
        <f t="shared" ref="P11" si="12">O11+1</f>
        <v>15</v>
      </c>
      <c r="Q11" s="24">
        <f t="shared" ref="Q11" si="13">P11+1</f>
        <v>16</v>
      </c>
      <c r="R11" s="24">
        <f t="shared" ref="R11" si="14">Q11+1</f>
        <v>17</v>
      </c>
      <c r="S11" s="24">
        <f t="shared" ref="S11" si="15">R11+1</f>
        <v>18</v>
      </c>
      <c r="T11" s="24">
        <f t="shared" ref="T11" si="16">S11+1</f>
        <v>19</v>
      </c>
      <c r="U11" s="24">
        <f t="shared" ref="U11" si="17">T11+1</f>
        <v>20</v>
      </c>
      <c r="V11" s="24">
        <f t="shared" ref="V11" si="18">U11+1</f>
        <v>21</v>
      </c>
      <c r="W11" s="24">
        <f t="shared" ref="W11" si="19">V11+1</f>
        <v>22</v>
      </c>
      <c r="X11" s="24">
        <f t="shared" ref="X11" si="20">W11+1</f>
        <v>23</v>
      </c>
      <c r="Y11" s="24">
        <f t="shared" ref="Y11" si="21">X11+1</f>
        <v>24</v>
      </c>
      <c r="Z11" s="24">
        <f t="shared" ref="Z11" si="22">Y11+1</f>
        <v>25</v>
      </c>
      <c r="AA11" s="24">
        <f t="shared" ref="AA11" si="23">Z11+1</f>
        <v>26</v>
      </c>
      <c r="AB11" s="24">
        <f t="shared" ref="AB11" si="24">AA11+1</f>
        <v>27</v>
      </c>
      <c r="AC11" s="24">
        <f t="shared" ref="AC11" si="25">AB11+1</f>
        <v>28</v>
      </c>
      <c r="AD11" s="24">
        <f t="shared" ref="AD11" si="26">AC11+1</f>
        <v>29</v>
      </c>
      <c r="AE11" s="24">
        <f t="shared" ref="AE11" si="27">AD11+1</f>
        <v>30</v>
      </c>
      <c r="AF11" s="24">
        <f t="shared" ref="AF11" si="28">AE11+1</f>
        <v>31</v>
      </c>
      <c r="AG11" s="24">
        <f t="shared" ref="AG11" si="29">AF11+1</f>
        <v>32</v>
      </c>
      <c r="AH11" s="24">
        <f t="shared" ref="AH11" si="30">AG11+1</f>
        <v>33</v>
      </c>
      <c r="AI11" s="24">
        <f t="shared" ref="AI11" si="31">AH11+1</f>
        <v>34</v>
      </c>
      <c r="AJ11" s="24">
        <f t="shared" ref="AJ11" si="32">AI11+1</f>
        <v>35</v>
      </c>
      <c r="AK11" s="24">
        <f t="shared" ref="AK11" si="33">AJ11+1</f>
        <v>36</v>
      </c>
      <c r="AL11" s="24">
        <f t="shared" ref="AL11" si="34">AK11+1</f>
        <v>37</v>
      </c>
      <c r="AM11" s="24">
        <f t="shared" ref="AM11" si="35">AL11+1</f>
        <v>38</v>
      </c>
      <c r="AN11" s="24">
        <f t="shared" ref="AN11" si="36">AM11+1</f>
        <v>39</v>
      </c>
      <c r="AO11" s="24">
        <f t="shared" ref="AO11" si="37">AN11+1</f>
        <v>40</v>
      </c>
      <c r="AP11" s="24">
        <f t="shared" ref="AP11" si="38">AO11+1</f>
        <v>41</v>
      </c>
      <c r="AQ11" s="24">
        <f t="shared" ref="AQ11" si="39">AP11+1</f>
        <v>42</v>
      </c>
      <c r="AR11" s="24">
        <f t="shared" ref="AR11" si="40">AQ11+1</f>
        <v>43</v>
      </c>
      <c r="AS11" s="24">
        <f t="shared" ref="AS11" si="41">AR11+1</f>
        <v>44</v>
      </c>
      <c r="AT11" s="24">
        <f t="shared" ref="AT11" si="42">AS11+1</f>
        <v>45</v>
      </c>
      <c r="AU11" s="24">
        <f t="shared" ref="AU11" si="43">AT11+1</f>
        <v>46</v>
      </c>
      <c r="AV11" s="24">
        <f t="shared" ref="AV11" si="44">AU11+1</f>
        <v>47</v>
      </c>
    </row>
    <row r="12" spans="1:48" ht="27.75" customHeight="1" x14ac:dyDescent="0.15">
      <c r="A12" s="25"/>
      <c r="B12" s="26"/>
      <c r="C12" s="26"/>
      <c r="D12" s="26"/>
      <c r="E12" s="26"/>
      <c r="F12" s="26"/>
      <c r="G12" s="26"/>
      <c r="H12" s="26"/>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48" ht="104.25" customHeight="1" x14ac:dyDescent="0.15">
      <c r="A13" s="45" t="s">
        <v>189</v>
      </c>
      <c r="B13" s="27" t="s">
        <v>292</v>
      </c>
      <c r="C13" s="27" t="s">
        <v>316</v>
      </c>
      <c r="D13" s="33" t="s">
        <v>203</v>
      </c>
      <c r="E13" s="33" t="s">
        <v>673</v>
      </c>
      <c r="F13" s="33" t="s">
        <v>674</v>
      </c>
      <c r="G13" s="27" t="s">
        <v>675</v>
      </c>
      <c r="H13" s="27" t="s">
        <v>692</v>
      </c>
      <c r="I13" s="27" t="s">
        <v>693</v>
      </c>
      <c r="J13" s="27" t="s">
        <v>676</v>
      </c>
      <c r="K13" s="27" t="s">
        <v>677</v>
      </c>
      <c r="L13" s="27" t="s">
        <v>678</v>
      </c>
      <c r="M13" s="27" t="s">
        <v>679</v>
      </c>
      <c r="N13" s="27" t="s">
        <v>680</v>
      </c>
      <c r="O13" s="27" t="s">
        <v>680</v>
      </c>
      <c r="P13" s="27" t="s">
        <v>680</v>
      </c>
      <c r="Q13" s="27" t="s">
        <v>680</v>
      </c>
      <c r="R13" s="27" t="s">
        <v>680</v>
      </c>
      <c r="S13" s="27" t="s">
        <v>680</v>
      </c>
      <c r="T13" s="27" t="s">
        <v>680</v>
      </c>
      <c r="U13" s="27" t="s">
        <v>680</v>
      </c>
      <c r="V13" s="27" t="s">
        <v>237</v>
      </c>
      <c r="W13" s="27" t="s">
        <v>237</v>
      </c>
      <c r="X13" s="27" t="s">
        <v>237</v>
      </c>
      <c r="Y13" s="27" t="s">
        <v>237</v>
      </c>
      <c r="Z13" s="27" t="s">
        <v>237</v>
      </c>
      <c r="AA13" s="27" t="s">
        <v>237</v>
      </c>
      <c r="AB13" s="27" t="s">
        <v>237</v>
      </c>
      <c r="AC13" s="27" t="s">
        <v>237</v>
      </c>
      <c r="AD13" s="27" t="s">
        <v>237</v>
      </c>
      <c r="AE13" s="27" t="s">
        <v>323</v>
      </c>
      <c r="AF13" s="27" t="s">
        <v>324</v>
      </c>
      <c r="AG13" s="27" t="s">
        <v>325</v>
      </c>
      <c r="AH13" s="27" t="s">
        <v>326</v>
      </c>
      <c r="AI13" s="27" t="s">
        <v>327</v>
      </c>
      <c r="AJ13" s="27" t="s">
        <v>328</v>
      </c>
      <c r="AK13" s="27" t="s">
        <v>329</v>
      </c>
      <c r="AL13" s="27" t="s">
        <v>681</v>
      </c>
      <c r="AM13" s="27" t="s">
        <v>682</v>
      </c>
      <c r="AN13" s="27" t="s">
        <v>332</v>
      </c>
      <c r="AO13" s="27" t="s">
        <v>333</v>
      </c>
      <c r="AP13" s="27" t="s">
        <v>334</v>
      </c>
      <c r="AQ13" s="27" t="s">
        <v>335</v>
      </c>
      <c r="AR13" s="27" t="s">
        <v>336</v>
      </c>
      <c r="AS13" s="27" t="s">
        <v>337</v>
      </c>
      <c r="AT13" s="27" t="s">
        <v>338</v>
      </c>
      <c r="AU13" s="27" t="s">
        <v>683</v>
      </c>
      <c r="AV13" s="27" t="s">
        <v>684</v>
      </c>
    </row>
    <row r="14" spans="1:48" ht="13.5" customHeight="1" x14ac:dyDescent="0.15">
      <c r="A14" s="12"/>
      <c r="B14" s="361"/>
      <c r="C14" s="361"/>
      <c r="D14" s="362"/>
      <c r="E14" s="362"/>
      <c r="F14" s="362"/>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row>
    <row r="15" spans="1:48" ht="32.25" customHeight="1" x14ac:dyDescent="0.15">
      <c r="A15" s="363" t="s">
        <v>658</v>
      </c>
      <c r="B15" s="24" t="s">
        <v>659</v>
      </c>
      <c r="C15" s="24" t="s">
        <v>659</v>
      </c>
      <c r="D15" s="364" t="s">
        <v>659</v>
      </c>
      <c r="E15" s="364" t="s">
        <v>659</v>
      </c>
      <c r="F15" s="364" t="s">
        <v>659</v>
      </c>
      <c r="G15" s="365">
        <f>SUM(G20:G188)</f>
        <v>2318162634</v>
      </c>
      <c r="H15" s="365">
        <f>SUM(H20:H188)</f>
        <v>2360103841</v>
      </c>
      <c r="I15" s="365">
        <f>SUM(I20:I188)</f>
        <v>2360103841</v>
      </c>
      <c r="J15" s="365">
        <f>SUM(J20:J188)</f>
        <v>220915743.86659995</v>
      </c>
      <c r="K15" s="24" t="s">
        <v>659</v>
      </c>
      <c r="L15" s="24" t="s">
        <v>659</v>
      </c>
      <c r="M15" s="365">
        <f>SUM(M20:M188)</f>
        <v>2139188097.1334</v>
      </c>
      <c r="N15" s="365">
        <f t="shared" ref="N15:AV15" si="45">SUM(N20:N188)</f>
        <v>2184789061.2667999</v>
      </c>
      <c r="O15" s="365">
        <f t="shared" si="45"/>
        <v>2223278949.7187014</v>
      </c>
      <c r="P15" s="365">
        <f t="shared" si="45"/>
        <v>2261768838.1705999</v>
      </c>
      <c r="Q15" s="365">
        <f t="shared" si="45"/>
        <v>2300258726.6225009</v>
      </c>
      <c r="R15" s="365">
        <f t="shared" si="45"/>
        <v>2338748615.0743999</v>
      </c>
      <c r="S15" s="365">
        <f t="shared" si="45"/>
        <v>2376459210.5925002</v>
      </c>
      <c r="T15" s="365">
        <f t="shared" si="45"/>
        <v>2369348134.9109998</v>
      </c>
      <c r="U15" s="365">
        <f t="shared" si="45"/>
        <v>2360103841</v>
      </c>
      <c r="V15" s="365">
        <f t="shared" si="45"/>
        <v>2139188097.1334</v>
      </c>
      <c r="W15" s="365">
        <f t="shared" si="45"/>
        <v>2184789061.2667999</v>
      </c>
      <c r="X15" s="365">
        <f t="shared" si="45"/>
        <v>2223278949.7187014</v>
      </c>
      <c r="Y15" s="365">
        <f t="shared" si="45"/>
        <v>2261768838.1705999</v>
      </c>
      <c r="Z15" s="365">
        <f t="shared" si="45"/>
        <v>2300258726.6225009</v>
      </c>
      <c r="AA15" s="365">
        <f t="shared" si="45"/>
        <v>2338748615.0743999</v>
      </c>
      <c r="AB15" s="365">
        <f t="shared" si="45"/>
        <v>2376459210.5925002</v>
      </c>
      <c r="AC15" s="365">
        <f t="shared" si="45"/>
        <v>2369348134.9109998</v>
      </c>
      <c r="AD15" s="365">
        <f t="shared" si="45"/>
        <v>2360103841</v>
      </c>
      <c r="AE15" s="365">
        <f t="shared" si="45"/>
        <v>0</v>
      </c>
      <c r="AF15" s="365">
        <f t="shared" si="45"/>
        <v>0</v>
      </c>
      <c r="AG15" s="365">
        <f t="shared" si="45"/>
        <v>0</v>
      </c>
      <c r="AH15" s="365">
        <f t="shared" si="45"/>
        <v>0</v>
      </c>
      <c r="AI15" s="365">
        <f t="shared" si="45"/>
        <v>0</v>
      </c>
      <c r="AJ15" s="365">
        <f t="shared" si="45"/>
        <v>0</v>
      </c>
      <c r="AK15" s="365">
        <f t="shared" si="45"/>
        <v>0</v>
      </c>
      <c r="AL15" s="365">
        <f t="shared" si="45"/>
        <v>0</v>
      </c>
      <c r="AM15" s="365">
        <f t="shared" si="45"/>
        <v>0</v>
      </c>
      <c r="AN15" s="365">
        <f t="shared" si="45"/>
        <v>0</v>
      </c>
      <c r="AO15" s="365">
        <f t="shared" si="45"/>
        <v>0</v>
      </c>
      <c r="AP15" s="365">
        <f t="shared" si="45"/>
        <v>0</v>
      </c>
      <c r="AQ15" s="365">
        <f t="shared" si="45"/>
        <v>0</v>
      </c>
      <c r="AR15" s="365">
        <f t="shared" si="45"/>
        <v>0</v>
      </c>
      <c r="AS15" s="365">
        <f t="shared" si="45"/>
        <v>0</v>
      </c>
      <c r="AT15" s="365">
        <f t="shared" si="45"/>
        <v>0</v>
      </c>
      <c r="AU15" s="365">
        <f t="shared" si="45"/>
        <v>0</v>
      </c>
      <c r="AV15" s="365">
        <f t="shared" si="45"/>
        <v>0</v>
      </c>
    </row>
    <row r="16" spans="1:48" x14ac:dyDescent="0.15">
      <c r="A16" s="18"/>
      <c r="B16" s="12"/>
      <c r="C16" s="12"/>
      <c r="D16" s="12"/>
      <c r="E16" s="12"/>
      <c r="F16" s="12"/>
      <c r="G16" s="28"/>
      <c r="H16" s="12"/>
      <c r="I16" s="18"/>
      <c r="J16" s="18"/>
      <c r="K16" s="18"/>
      <c r="L16" s="18"/>
      <c r="M16" s="209"/>
      <c r="N16" s="209"/>
      <c r="O16" s="209"/>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x14ac:dyDescent="0.15">
      <c r="A17" s="18"/>
      <c r="B17" s="12"/>
      <c r="C17" s="12"/>
      <c r="D17" s="12"/>
      <c r="E17" s="12"/>
      <c r="F17" s="12"/>
      <c r="G17" s="28"/>
      <c r="H17" s="12"/>
      <c r="I17" s="18"/>
      <c r="J17" s="18"/>
      <c r="K17" s="18"/>
      <c r="L17" s="18"/>
      <c r="M17" s="102" t="s">
        <v>238</v>
      </c>
      <c r="N17" s="103"/>
      <c r="O17" s="103"/>
      <c r="P17" s="103"/>
      <c r="Q17" s="103"/>
      <c r="R17" s="103"/>
      <c r="S17" s="103"/>
      <c r="T17" s="103"/>
      <c r="U17" s="103"/>
      <c r="V17" s="102" t="s">
        <v>694</v>
      </c>
      <c r="W17" s="103"/>
      <c r="X17" s="103"/>
      <c r="Y17" s="103"/>
      <c r="Z17" s="103"/>
      <c r="AA17" s="103"/>
      <c r="AB17" s="108"/>
      <c r="AC17" s="103"/>
      <c r="AD17" s="103"/>
      <c r="AE17" s="102" t="s">
        <v>695</v>
      </c>
      <c r="AF17" s="103"/>
      <c r="AG17" s="103"/>
      <c r="AH17" s="103"/>
      <c r="AI17" s="103"/>
      <c r="AJ17" s="103"/>
      <c r="AK17" s="103"/>
      <c r="AL17" s="108"/>
      <c r="AM17" s="103"/>
      <c r="AN17" s="102" t="s">
        <v>696</v>
      </c>
      <c r="AO17" s="103"/>
      <c r="AP17" s="103"/>
      <c r="AQ17" s="103"/>
      <c r="AR17" s="103"/>
      <c r="AS17" s="103"/>
      <c r="AT17" s="103"/>
      <c r="AU17" s="108"/>
      <c r="AV17" s="108"/>
    </row>
    <row r="18" spans="1:48" ht="83.25" customHeight="1" x14ac:dyDescent="0.15">
      <c r="A18" s="13" t="s">
        <v>195</v>
      </c>
      <c r="B18" s="14" t="s">
        <v>0</v>
      </c>
      <c r="C18" s="14" t="s">
        <v>366</v>
      </c>
      <c r="D18" s="14" t="s">
        <v>367</v>
      </c>
      <c r="E18" s="14" t="s">
        <v>653</v>
      </c>
      <c r="F18" s="14" t="s">
        <v>654</v>
      </c>
      <c r="G18" s="14" t="s">
        <v>213</v>
      </c>
      <c r="H18" s="15" t="s">
        <v>274</v>
      </c>
      <c r="I18" s="13" t="s">
        <v>655</v>
      </c>
      <c r="J18" s="14" t="s">
        <v>555</v>
      </c>
      <c r="K18" s="14" t="s">
        <v>556</v>
      </c>
      <c r="L18" s="14" t="s">
        <v>657</v>
      </c>
      <c r="M18" s="15" t="s">
        <v>241</v>
      </c>
      <c r="N18" s="15" t="s">
        <v>242</v>
      </c>
      <c r="O18" s="15" t="s">
        <v>243</v>
      </c>
      <c r="P18" s="15" t="s">
        <v>244</v>
      </c>
      <c r="Q18" s="15" t="s">
        <v>245</v>
      </c>
      <c r="R18" s="15" t="s">
        <v>246</v>
      </c>
      <c r="S18" s="15" t="s">
        <v>247</v>
      </c>
      <c r="T18" s="15" t="s">
        <v>660</v>
      </c>
      <c r="U18" s="15" t="s">
        <v>661</v>
      </c>
      <c r="V18" s="13" t="s">
        <v>241</v>
      </c>
      <c r="W18" s="13" t="s">
        <v>242</v>
      </c>
      <c r="X18" s="13" t="s">
        <v>243</v>
      </c>
      <c r="Y18" s="13" t="s">
        <v>244</v>
      </c>
      <c r="Z18" s="13" t="s">
        <v>245</v>
      </c>
      <c r="AA18" s="13" t="s">
        <v>246</v>
      </c>
      <c r="AB18" s="13" t="s">
        <v>247</v>
      </c>
      <c r="AC18" s="13" t="s">
        <v>660</v>
      </c>
      <c r="AD18" s="13" t="s">
        <v>661</v>
      </c>
      <c r="AE18" s="14" t="s">
        <v>241</v>
      </c>
      <c r="AF18" s="14" t="s">
        <v>242</v>
      </c>
      <c r="AG18" s="14" t="s">
        <v>243</v>
      </c>
      <c r="AH18" s="14" t="s">
        <v>244</v>
      </c>
      <c r="AI18" s="14" t="s">
        <v>245</v>
      </c>
      <c r="AJ18" s="14" t="s">
        <v>246</v>
      </c>
      <c r="AK18" s="14" t="s">
        <v>247</v>
      </c>
      <c r="AL18" s="14" t="s">
        <v>660</v>
      </c>
      <c r="AM18" s="14" t="s">
        <v>661</v>
      </c>
      <c r="AN18" s="14" t="s">
        <v>241</v>
      </c>
      <c r="AO18" s="14" t="s">
        <v>242</v>
      </c>
      <c r="AP18" s="14" t="s">
        <v>243</v>
      </c>
      <c r="AQ18" s="14" t="s">
        <v>244</v>
      </c>
      <c r="AR18" s="14" t="s">
        <v>245</v>
      </c>
      <c r="AS18" s="14" t="s">
        <v>246</v>
      </c>
      <c r="AT18" s="14" t="s">
        <v>247</v>
      </c>
      <c r="AU18" s="14" t="s">
        <v>660</v>
      </c>
      <c r="AV18" s="14" t="s">
        <v>661</v>
      </c>
    </row>
    <row r="19" spans="1:48"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x14ac:dyDescent="0.15">
      <c r="A20" s="29" t="s">
        <v>5</v>
      </c>
      <c r="B20" s="30">
        <f>IF(Data!D15=1, MAX(Data!AA15, Inputs!$E$25) + INDEX(Inputs!$D$38:$D$42, MATCH( Data!AD15, Inputs!$B$38:$B$42, 0), 0), MAX(Data!AA15, Inputs!$E$26) +  INDEX(Inputs!$D$38:$D$42, MATCH( Data!AD15, Inputs!$B$38:$B$42, 0), 0))</f>
        <v>0.31440699999999999</v>
      </c>
      <c r="C20" s="141">
        <f>(100*Data!R15)</f>
        <v>600</v>
      </c>
      <c r="D20" s="141">
        <f>ROUND(Data!Q15*C20, 0)</f>
        <v>140400</v>
      </c>
      <c r="E20" s="141">
        <f>(100*Data!T15)</f>
        <v>0</v>
      </c>
      <c r="F20" s="141">
        <f>E20*Data!S15</f>
        <v>0</v>
      </c>
      <c r="G20" s="142">
        <f>ROUND(Inputs!$E$21*Data!W15*B20, 0)</f>
        <v>1504929</v>
      </c>
      <c r="H20" s="143">
        <f>IF(G20=0, 0,IF(Inputs!$E$30="Yes", IF(Data!D15=1, MAX(Outputs!D20+Outputs!F20+Outputs!G20, Data!AE15), Outputs!D20+Outputs!F20+Outputs!G20), Outputs!D20+Outputs!F20+Outputs!G20))</f>
        <v>1645329</v>
      </c>
      <c r="I20" s="143">
        <f>INDEX('FY 22 OFA Shell'!$AQ$27:$AQ$195,MATCH(Outputs!A20,'FY 22 OFA Shell'!$I$27:$I$195,0))</f>
        <v>1645329</v>
      </c>
      <c r="J20" s="129">
        <f>H20-Data!AT15</f>
        <v>-359453</v>
      </c>
      <c r="K20" s="127">
        <f>((H20)/(Data!AT15)) - 1</f>
        <v>-0.17929779896268028</v>
      </c>
      <c r="L20" s="127">
        <f t="shared" ref="L20:L51" si="46">IFERROR(H20/I20-1, 0)</f>
        <v>0</v>
      </c>
      <c r="M20" s="143">
        <f>(IF(Inputs!$E$30="Yes",INDEX(Data!AT:AT,MATCH(Outputs!A20,Data!A:A,0)),INDEX(Data!AS:AS,MATCH(Outputs!A20,Data!A:A,0))))</f>
        <v>2004782</v>
      </c>
      <c r="N20" s="143">
        <f>IF(Inputs!$E$30="Yes",INDEX(Data!BN:BN,MATCH(Outputs!$A20,Data!$A:$A,0)),INDEX(Data!BE:BE,MATCH(Outputs!$A20,Data!$A:$A,0)))</f>
        <v>2004782</v>
      </c>
      <c r="O20" s="143">
        <f>IF(Inputs!$E$30="Yes",INDEX(Data!BO:BO,MATCH(Outputs!$A20,Data!$A:$A,0)),INDEX(Data!BF:BF,MATCH(Outputs!$A20,Data!$A:$A,0)))</f>
        <v>1947650.1952</v>
      </c>
      <c r="P20" s="143">
        <f>IF(Inputs!$E$30="Yes",INDEX(Data!BP:BP,MATCH(Outputs!$A20,Data!$A:$A,0)),INDEX(Data!BG:BG,MATCH(Outputs!$A20,Data!$A:$A,0)))</f>
        <v>1890518.3903999999</v>
      </c>
      <c r="Q20" s="143">
        <f>IF(Inputs!$E$30="Yes",INDEX(Data!BQ:BQ,MATCH(Outputs!$A20,Data!$A:$A,0)),INDEX(Data!BH:BH,MATCH(Outputs!$A20,Data!$A:$A,0)))</f>
        <v>1833386.5855999999</v>
      </c>
      <c r="R20" s="143">
        <f>IF(Inputs!$E$30="Yes",INDEX(Data!BR:BR,MATCH(Outputs!$A20,Data!$A:$A,0)),INDEX(Data!BI:BI,MATCH(Outputs!$A20,Data!$A:$A,0)))</f>
        <v>1776254.7807999998</v>
      </c>
      <c r="S20" s="143">
        <f>IF(Inputs!$E$30="Yes",INDEX(Data!BS:BS,MATCH(Outputs!$A20,Data!$A:$A,0)),INDEX(Data!BJ:BJ,MATCH(Outputs!$A20,Data!$A:$A,0)))</f>
        <v>1719122.9759999998</v>
      </c>
      <c r="T20" s="143">
        <f>IF(Inputs!$E$30="Yes",INDEX(Data!BT:BT,MATCH(Outputs!$A20,Data!$A:$A,0)),INDEX(Data!BK:BK,MATCH(Outputs!$A20,Data!$A:$A,0)))</f>
        <v>1661991.1711999997</v>
      </c>
      <c r="U20" s="143">
        <f>IF(Inputs!$E$30="Yes",INDEX(Data!BU:BU,MATCH(Outputs!$A20,Data!$A:$A,0)),INDEX(Data!BL:BL,MATCH(Outputs!$A20,Data!$A:$A,0)))</f>
        <v>1645329</v>
      </c>
      <c r="V20" s="143">
        <f>INDEX('FY 22 OFA Shell'!$AX$27:$AX$195,MATCH(Outputs!A20,'FY 22 OFA Shell'!$I$27:$I$195,0))</f>
        <v>2004782</v>
      </c>
      <c r="W20" s="143">
        <f>INDEX('FY 23 OFA Shell'!$AX$27:$AX$195,MATCH(Outputs!A20,'FY 23 OFA Shell'!$I$27:$I$195,0))</f>
        <v>2004782</v>
      </c>
      <c r="X20" s="143">
        <f>INDEX('FY 23 OFA Shell'!BK$27:BK$195,MATCH(Outputs!$A20,'FY 23 OFA Shell'!$I$27:$I$195,0))</f>
        <v>1947650.1952</v>
      </c>
      <c r="Y20" s="143">
        <f>INDEX('FY 23 OFA Shell'!BL$27:BL$195,MATCH(Outputs!$A20,'FY 23 OFA Shell'!$I$27:$I$195,0))</f>
        <v>1890518.3903999999</v>
      </c>
      <c r="Z20" s="143">
        <f>INDEX('FY 23 OFA Shell'!BM$27:BM$195,MATCH(Outputs!$A20,'FY 23 OFA Shell'!$I$27:$I$195,0))</f>
        <v>1833386.5855999999</v>
      </c>
      <c r="AA20" s="143">
        <f>INDEX('FY 23 OFA Shell'!BN$27:BN$195,MATCH(Outputs!$A20,'FY 23 OFA Shell'!$I$27:$I$195,0))</f>
        <v>1776254.7807999998</v>
      </c>
      <c r="AB20" s="143">
        <f>INDEX('FY 23 OFA Shell'!BO$27:BO$195,MATCH(Outputs!$A20,'FY 23 OFA Shell'!$I$27:$I$195,0))</f>
        <v>1719122.9759999998</v>
      </c>
      <c r="AC20" s="143">
        <f>INDEX('FY 23 OFA Shell'!BP$27:BP$195,MATCH(Outputs!$A20,'FY 23 OFA Shell'!$I$27:$I$195,0))</f>
        <v>1661991.1711999997</v>
      </c>
      <c r="AD20" s="143">
        <f>INDEX('FY 23 OFA Shell'!BQ$27:BQ$195,MATCH(Outputs!$A20,'FY 23 OFA Shell'!$I$27:$I$195,0))</f>
        <v>1645329</v>
      </c>
      <c r="AE20" s="129">
        <f>M20-V20</f>
        <v>0</v>
      </c>
      <c r="AF20" s="129">
        <f>N20-W20</f>
        <v>0</v>
      </c>
      <c r="AG20" s="129">
        <f>O20-X20</f>
        <v>0</v>
      </c>
      <c r="AH20" s="129">
        <f t="shared" ref="AH20:AM20" si="47">P20-Y20</f>
        <v>0</v>
      </c>
      <c r="AI20" s="129">
        <f t="shared" si="47"/>
        <v>0</v>
      </c>
      <c r="AJ20" s="129">
        <f t="shared" si="47"/>
        <v>0</v>
      </c>
      <c r="AK20" s="129">
        <f t="shared" si="47"/>
        <v>0</v>
      </c>
      <c r="AL20" s="129">
        <f t="shared" si="47"/>
        <v>0</v>
      </c>
      <c r="AM20" s="129">
        <f t="shared" si="47"/>
        <v>0</v>
      </c>
      <c r="AN20" s="127">
        <f>IFERROR(M20/V20-1, 0)</f>
        <v>0</v>
      </c>
      <c r="AO20" s="127">
        <f>IFERROR(N20/W20-1, 0)</f>
        <v>0</v>
      </c>
      <c r="AP20" s="127">
        <f t="shared" ref="AP20:AV20" si="48">IFERROR(O20/X20-1, 0)</f>
        <v>0</v>
      </c>
      <c r="AQ20" s="127">
        <f t="shared" si="48"/>
        <v>0</v>
      </c>
      <c r="AR20" s="127">
        <f t="shared" si="48"/>
        <v>0</v>
      </c>
      <c r="AS20" s="127">
        <f t="shared" si="48"/>
        <v>0</v>
      </c>
      <c r="AT20" s="127">
        <f t="shared" si="48"/>
        <v>0</v>
      </c>
      <c r="AU20" s="127">
        <f t="shared" si="48"/>
        <v>0</v>
      </c>
      <c r="AV20" s="127">
        <f t="shared" si="48"/>
        <v>0</v>
      </c>
    </row>
    <row r="21" spans="1:48" x14ac:dyDescent="0.15">
      <c r="A21" s="29" t="s">
        <v>7</v>
      </c>
      <c r="B21" s="30">
        <f>IF(Data!D16=1, MAX(Data!AA16, Inputs!$E$25) + INDEX(Inputs!$D$38:$D$42, MATCH( Data!AD16, Inputs!$B$38:$B$42, 0), 0), MAX(Data!AA16, Inputs!$E$26) +  INDEX(Inputs!$D$38:$D$42, MATCH( Data!AD16, Inputs!$B$38:$B$42, 0), 0))</f>
        <v>0.63165300000000002</v>
      </c>
      <c r="C21" s="141">
        <f>(100*Data!R16)</f>
        <v>0</v>
      </c>
      <c r="D21" s="141">
        <f>ROUND(Data!Q16*C21, 0)</f>
        <v>0</v>
      </c>
      <c r="E21" s="141">
        <f>(100*Data!T16)</f>
        <v>0</v>
      </c>
      <c r="F21" s="141">
        <f>E21*Data!S16</f>
        <v>0</v>
      </c>
      <c r="G21" s="142">
        <f>ROUND(Inputs!$E$21*Data!W16*B21, 0)</f>
        <v>21254425</v>
      </c>
      <c r="H21" s="143">
        <f>IF(G21=0, 0,IF(Inputs!$E$30="Yes", IF(Data!D16=1, MAX(Outputs!D21+Outputs!F21+Outputs!G21, Data!AE16), Outputs!D21+Outputs!F21+Outputs!G21), Outputs!D21+Outputs!F21+Outputs!G21))</f>
        <v>21254425</v>
      </c>
      <c r="I21" s="143">
        <f>INDEX('FY 22 OFA Shell'!$AQ$27:$AQ$195,MATCH(Outputs!A21,'FY 22 OFA Shell'!$I$27:$I$195,0))</f>
        <v>21254425</v>
      </c>
      <c r="J21" s="129">
        <f>H21-Data!AT16</f>
        <v>2806354.9787999988</v>
      </c>
      <c r="K21" s="127">
        <f>((H21)/(Data!AT16)) - 1</f>
        <v>0.15212187375562936</v>
      </c>
      <c r="L21" s="127">
        <f t="shared" si="46"/>
        <v>0</v>
      </c>
      <c r="M21" s="143">
        <f>(IF(Inputs!$E$30="Yes",INDEX(Data!AT:AT,MATCH(Outputs!A21,Data!A:A,0)),INDEX(Data!AS:AS,MATCH(Outputs!A21,Data!A:A,0))))</f>
        <v>18448070.021200001</v>
      </c>
      <c r="N21" s="143">
        <f>IF(Inputs!$E$30="Yes",INDEX(Data!BN:BN,MATCH(Outputs!$A21,Data!$A:$A,0)),INDEX(Data!BE:BE,MATCH(Outputs!$A21,Data!$A:$A,0)))</f>
        <v>18957712.042400002</v>
      </c>
      <c r="O21" s="143">
        <f>IF(Inputs!$E$30="Yes",INDEX(Data!BO:BO,MATCH(Outputs!$A21,Data!$A:$A,0)),INDEX(Data!BF:BF,MATCH(Outputs!$A21,Data!$A:$A,0)))</f>
        <v>19467354.063600004</v>
      </c>
      <c r="P21" s="143">
        <f>IF(Inputs!$E$30="Yes",INDEX(Data!BP:BP,MATCH(Outputs!$A21,Data!$A:$A,0)),INDEX(Data!BG:BG,MATCH(Outputs!$A21,Data!$A:$A,0)))</f>
        <v>19976996.084800005</v>
      </c>
      <c r="Q21" s="143">
        <f>IF(Inputs!$E$30="Yes",INDEX(Data!BQ:BQ,MATCH(Outputs!$A21,Data!$A:$A,0)),INDEX(Data!BH:BH,MATCH(Outputs!$A21,Data!$A:$A,0)))</f>
        <v>20486638.106000006</v>
      </c>
      <c r="R21" s="143">
        <f>IF(Inputs!$E$30="Yes",INDEX(Data!BR:BR,MATCH(Outputs!$A21,Data!$A:$A,0)),INDEX(Data!BI:BI,MATCH(Outputs!$A21,Data!$A:$A,0)))</f>
        <v>20996280.127200007</v>
      </c>
      <c r="S21" s="143">
        <f>IF(Inputs!$E$30="Yes",INDEX(Data!BS:BS,MATCH(Outputs!$A21,Data!$A:$A,0)),INDEX(Data!BJ:BJ,MATCH(Outputs!$A21,Data!$A:$A,0)))</f>
        <v>21254425</v>
      </c>
      <c r="T21" s="143">
        <f>IF(Inputs!$E$30="Yes",INDEX(Data!BT:BT,MATCH(Outputs!$A21,Data!$A:$A,0)),INDEX(Data!BK:BK,MATCH(Outputs!$A21,Data!$A:$A,0)))</f>
        <v>21254425</v>
      </c>
      <c r="U21" s="143">
        <f>IF(Inputs!$E$30="Yes",INDEX(Data!BU:BU,MATCH(Outputs!$A21,Data!$A:$A,0)),INDEX(Data!BL:BL,MATCH(Outputs!$A21,Data!$A:$A,0)))</f>
        <v>21254425</v>
      </c>
      <c r="V21" s="143">
        <f>INDEX('FY 22 OFA Shell'!$AX$27:$AX$195,MATCH(Outputs!A21,'FY 22 OFA Shell'!$I$27:$I$195,0))</f>
        <v>18448070.021200001</v>
      </c>
      <c r="W21" s="143">
        <f>INDEX('FY 23 OFA Shell'!$AX$27:$AX$195,MATCH(Outputs!A21,'FY 23 OFA Shell'!$I$27:$I$195,0))</f>
        <v>18957712.042400002</v>
      </c>
      <c r="X21" s="143">
        <f>INDEX('FY 23 OFA Shell'!BK$27:BK$195,MATCH(Outputs!$A21,'FY 23 OFA Shell'!$I$27:$I$195,0))</f>
        <v>19467354.063600004</v>
      </c>
      <c r="Y21" s="143">
        <f>INDEX('FY 23 OFA Shell'!BL$27:BL$195,MATCH(Outputs!$A21,'FY 23 OFA Shell'!$I$27:$I$195,0))</f>
        <v>19976996.084800005</v>
      </c>
      <c r="Z21" s="143">
        <f>INDEX('FY 23 OFA Shell'!BM$27:BM$195,MATCH(Outputs!$A21,'FY 23 OFA Shell'!$I$27:$I$195,0))</f>
        <v>20486638.106000006</v>
      </c>
      <c r="AA21" s="143">
        <f>INDEX('FY 23 OFA Shell'!BN$27:BN$195,MATCH(Outputs!$A21,'FY 23 OFA Shell'!$I$27:$I$195,0))</f>
        <v>20996280.127200007</v>
      </c>
      <c r="AB21" s="143">
        <f>INDEX('FY 23 OFA Shell'!BO$27:BO$195,MATCH(Outputs!$A21,'FY 23 OFA Shell'!$I$27:$I$195,0))</f>
        <v>21254425</v>
      </c>
      <c r="AC21" s="143">
        <f>INDEX('FY 23 OFA Shell'!BP$27:BP$195,MATCH(Outputs!$A21,'FY 23 OFA Shell'!$I$27:$I$195,0))</f>
        <v>21254425</v>
      </c>
      <c r="AD21" s="143">
        <f>INDEX('FY 23 OFA Shell'!BQ$27:BQ$195,MATCH(Outputs!$A21,'FY 23 OFA Shell'!$I$27:$I$195,0))</f>
        <v>21254425</v>
      </c>
      <c r="AE21" s="129">
        <f t="shared" ref="AE21:AE84" si="49">M21-V21</f>
        <v>0</v>
      </c>
      <c r="AF21" s="129">
        <f t="shared" ref="AF21:AF84" si="50">N21-W21</f>
        <v>0</v>
      </c>
      <c r="AG21" s="129">
        <f t="shared" ref="AG21:AG84" si="51">O21-X21</f>
        <v>0</v>
      </c>
      <c r="AH21" s="129">
        <f t="shared" ref="AH21:AH84" si="52">P21-Y21</f>
        <v>0</v>
      </c>
      <c r="AI21" s="129">
        <f t="shared" ref="AI21:AI84" si="53">Q21-Z21</f>
        <v>0</v>
      </c>
      <c r="AJ21" s="129">
        <f t="shared" ref="AJ21:AJ84" si="54">R21-AA21</f>
        <v>0</v>
      </c>
      <c r="AK21" s="129">
        <f t="shared" ref="AK21:AK84" si="55">S21-AB21</f>
        <v>0</v>
      </c>
      <c r="AL21" s="129">
        <f t="shared" ref="AL21:AL84" si="56">T21-AC21</f>
        <v>0</v>
      </c>
      <c r="AM21" s="129">
        <f t="shared" ref="AM21:AM84" si="57">U21-AD21</f>
        <v>0</v>
      </c>
      <c r="AN21" s="127">
        <f t="shared" ref="AN21:AN84" si="58">IFERROR(M21/V21-1, 0)</f>
        <v>0</v>
      </c>
      <c r="AO21" s="127">
        <f t="shared" ref="AO21:AO84" si="59">IFERROR(N21/W21-1, 0)</f>
        <v>0</v>
      </c>
      <c r="AP21" s="127">
        <f t="shared" ref="AP21:AP84" si="60">IFERROR(O21/X21-1, 0)</f>
        <v>0</v>
      </c>
      <c r="AQ21" s="127">
        <f t="shared" ref="AQ21:AQ84" si="61">IFERROR(P21/Y21-1, 0)</f>
        <v>0</v>
      </c>
      <c r="AR21" s="127">
        <f t="shared" ref="AR21:AR84" si="62">IFERROR(Q21/Z21-1, 0)</f>
        <v>0</v>
      </c>
      <c r="AS21" s="127">
        <f t="shared" ref="AS21:AS84" si="63">IFERROR(R21/AA21-1, 0)</f>
        <v>0</v>
      </c>
      <c r="AT21" s="127">
        <f t="shared" ref="AT21:AT84" si="64">IFERROR(S21/AB21-1, 0)</f>
        <v>0</v>
      </c>
      <c r="AU21" s="127">
        <f t="shared" ref="AU21:AU84" si="65">IFERROR(T21/AC21-1, 0)</f>
        <v>0</v>
      </c>
      <c r="AV21" s="127">
        <f t="shared" ref="AV21:AV84" si="66">IFERROR(U21/AD21-1, 0)</f>
        <v>0</v>
      </c>
    </row>
    <row r="22" spans="1:48" x14ac:dyDescent="0.15">
      <c r="A22" s="29" t="s">
        <v>9</v>
      </c>
      <c r="B22" s="30">
        <f>IF(Data!D17=1, MAX(Data!AA17, Inputs!$E$25) + INDEX(Inputs!$D$38:$D$42, MATCH( Data!AD17, Inputs!$B$38:$B$42, 0), 0), MAX(Data!AA17, Inputs!$E$26) +  INDEX(Inputs!$D$38:$D$42, MATCH( Data!AD17, Inputs!$B$38:$B$42, 0), 0))</f>
        <v>0.44006000000000001</v>
      </c>
      <c r="C22" s="141">
        <f>(100*Data!R17)</f>
        <v>400</v>
      </c>
      <c r="D22" s="141">
        <f>ROUND(Data!Q17*C22, 0)</f>
        <v>66000</v>
      </c>
      <c r="E22" s="141">
        <f>(100*Data!T17)</f>
        <v>0</v>
      </c>
      <c r="F22" s="141">
        <f>E22*Data!S17</f>
        <v>0</v>
      </c>
      <c r="G22" s="142">
        <f>ROUND(Inputs!$E$21*Data!W17*B22, 0)</f>
        <v>2922917</v>
      </c>
      <c r="H22" s="143">
        <f>IF(G22=0, 0,IF(Inputs!$E$30="Yes", IF(Data!D17=1, MAX(Outputs!D22+Outputs!F22+Outputs!G22, Data!AE17), Outputs!D22+Outputs!F22+Outputs!G22), Outputs!D22+Outputs!F22+Outputs!G22))</f>
        <v>2988917</v>
      </c>
      <c r="I22" s="143">
        <f>INDEX('FY 22 OFA Shell'!$AQ$27:$AQ$195,MATCH(Outputs!A22,'FY 22 OFA Shell'!$I$27:$I$195,0))</f>
        <v>2988917</v>
      </c>
      <c r="J22" s="129">
        <f>H22-Data!AT17</f>
        <v>-470145</v>
      </c>
      <c r="K22" s="127">
        <f>((H22)/(Data!AT17)) - 1</f>
        <v>-0.13591690464062223</v>
      </c>
      <c r="L22" s="127">
        <f t="shared" si="46"/>
        <v>0</v>
      </c>
      <c r="M22" s="143">
        <f>(IF(Inputs!$E$30="Yes",INDEX(Data!AT:AT,MATCH(Outputs!A22,Data!A:A,0)),INDEX(Data!AS:AS,MATCH(Outputs!A22,Data!A:A,0))))</f>
        <v>3459062</v>
      </c>
      <c r="N22" s="143">
        <f>IF(Inputs!$E$30="Yes",INDEX(Data!BN:BN,MATCH(Outputs!$A22,Data!$A:$A,0)),INDEX(Data!BE:BE,MATCH(Outputs!$A22,Data!$A:$A,0)))</f>
        <v>3459062</v>
      </c>
      <c r="O22" s="143">
        <f>IF(Inputs!$E$30="Yes",INDEX(Data!BO:BO,MATCH(Outputs!$A22,Data!$A:$A,0)),INDEX(Data!BF:BF,MATCH(Outputs!$A22,Data!$A:$A,0)))</f>
        <v>3386537.1049000002</v>
      </c>
      <c r="P22" s="143">
        <f>IF(Inputs!$E$30="Yes",INDEX(Data!BP:BP,MATCH(Outputs!$A22,Data!$A:$A,0)),INDEX(Data!BG:BG,MATCH(Outputs!$A22,Data!$A:$A,0)))</f>
        <v>3314012.2098000003</v>
      </c>
      <c r="Q22" s="143">
        <f>IF(Inputs!$E$30="Yes",INDEX(Data!BQ:BQ,MATCH(Outputs!$A22,Data!$A:$A,0)),INDEX(Data!BH:BH,MATCH(Outputs!$A22,Data!$A:$A,0)))</f>
        <v>3241487.3147000005</v>
      </c>
      <c r="R22" s="143">
        <f>IF(Inputs!$E$30="Yes",INDEX(Data!BR:BR,MATCH(Outputs!$A22,Data!$A:$A,0)),INDEX(Data!BI:BI,MATCH(Outputs!$A22,Data!$A:$A,0)))</f>
        <v>3168962.4196000006</v>
      </c>
      <c r="S22" s="143">
        <f>IF(Inputs!$E$30="Yes",INDEX(Data!BS:BS,MATCH(Outputs!$A22,Data!$A:$A,0)),INDEX(Data!BJ:BJ,MATCH(Outputs!$A22,Data!$A:$A,0)))</f>
        <v>3096437.5245000008</v>
      </c>
      <c r="T22" s="143">
        <f>IF(Inputs!$E$30="Yes",INDEX(Data!BT:BT,MATCH(Outputs!$A22,Data!$A:$A,0)),INDEX(Data!BK:BK,MATCH(Outputs!$A22,Data!$A:$A,0)))</f>
        <v>3023912.6294000009</v>
      </c>
      <c r="U22" s="143">
        <f>IF(Inputs!$E$30="Yes",INDEX(Data!BU:BU,MATCH(Outputs!$A22,Data!$A:$A,0)),INDEX(Data!BL:BL,MATCH(Outputs!$A22,Data!$A:$A,0)))</f>
        <v>2988917</v>
      </c>
      <c r="V22" s="143">
        <f>INDEX('FY 22 OFA Shell'!$AX$27:$AX$195,MATCH(Outputs!A22,'FY 22 OFA Shell'!$I$27:$I$195,0))</f>
        <v>3459062</v>
      </c>
      <c r="W22" s="143">
        <f>INDEX('FY 23 OFA Shell'!$AX$27:$AX$195,MATCH(Outputs!A22,'FY 23 OFA Shell'!$I$27:$I$195,0))</f>
        <v>3459062</v>
      </c>
      <c r="X22" s="143">
        <f>INDEX('FY 23 OFA Shell'!BK$27:BK$195,MATCH(Outputs!$A22,'FY 23 OFA Shell'!$I$27:$I$195,0))</f>
        <v>3386537.1049000002</v>
      </c>
      <c r="Y22" s="143">
        <f>INDEX('FY 23 OFA Shell'!BL$27:BL$195,MATCH(Outputs!$A22,'FY 23 OFA Shell'!$I$27:$I$195,0))</f>
        <v>3314012.2098000003</v>
      </c>
      <c r="Z22" s="143">
        <f>INDEX('FY 23 OFA Shell'!BM$27:BM$195,MATCH(Outputs!$A22,'FY 23 OFA Shell'!$I$27:$I$195,0))</f>
        <v>3241487.3147000005</v>
      </c>
      <c r="AA22" s="143">
        <f>INDEX('FY 23 OFA Shell'!BN$27:BN$195,MATCH(Outputs!$A22,'FY 23 OFA Shell'!$I$27:$I$195,0))</f>
        <v>3168962.4196000006</v>
      </c>
      <c r="AB22" s="143">
        <f>INDEX('FY 23 OFA Shell'!BO$27:BO$195,MATCH(Outputs!$A22,'FY 23 OFA Shell'!$I$27:$I$195,0))</f>
        <v>3096437.5245000008</v>
      </c>
      <c r="AC22" s="143">
        <f>INDEX('FY 23 OFA Shell'!BP$27:BP$195,MATCH(Outputs!$A22,'FY 23 OFA Shell'!$I$27:$I$195,0))</f>
        <v>3023912.6294000009</v>
      </c>
      <c r="AD22" s="143">
        <f>INDEX('FY 23 OFA Shell'!BQ$27:BQ$195,MATCH(Outputs!$A22,'FY 23 OFA Shell'!$I$27:$I$195,0))</f>
        <v>2988917</v>
      </c>
      <c r="AE22" s="129">
        <f t="shared" si="49"/>
        <v>0</v>
      </c>
      <c r="AF22" s="129">
        <f t="shared" si="50"/>
        <v>0</v>
      </c>
      <c r="AG22" s="129">
        <f t="shared" si="51"/>
        <v>0</v>
      </c>
      <c r="AH22" s="129">
        <f t="shared" si="52"/>
        <v>0</v>
      </c>
      <c r="AI22" s="129">
        <f t="shared" si="53"/>
        <v>0</v>
      </c>
      <c r="AJ22" s="129">
        <f t="shared" si="54"/>
        <v>0</v>
      </c>
      <c r="AK22" s="129">
        <f t="shared" si="55"/>
        <v>0</v>
      </c>
      <c r="AL22" s="129">
        <f t="shared" si="56"/>
        <v>0</v>
      </c>
      <c r="AM22" s="129">
        <f t="shared" si="57"/>
        <v>0</v>
      </c>
      <c r="AN22" s="127">
        <f t="shared" si="58"/>
        <v>0</v>
      </c>
      <c r="AO22" s="127">
        <f t="shared" si="59"/>
        <v>0</v>
      </c>
      <c r="AP22" s="127">
        <f t="shared" si="60"/>
        <v>0</v>
      </c>
      <c r="AQ22" s="127">
        <f t="shared" si="61"/>
        <v>0</v>
      </c>
      <c r="AR22" s="127">
        <f t="shared" si="62"/>
        <v>0</v>
      </c>
      <c r="AS22" s="127">
        <f t="shared" si="63"/>
        <v>0</v>
      </c>
      <c r="AT22" s="127">
        <f t="shared" si="64"/>
        <v>0</v>
      </c>
      <c r="AU22" s="127">
        <f t="shared" si="65"/>
        <v>0</v>
      </c>
      <c r="AV22" s="127">
        <f t="shared" si="66"/>
        <v>0</v>
      </c>
    </row>
    <row r="23" spans="1:48" x14ac:dyDescent="0.15">
      <c r="A23" s="29" t="s">
        <v>11</v>
      </c>
      <c r="B23" s="30">
        <f>IF(Data!D18=1, MAX(Data!AA18, Inputs!$E$25) + INDEX(Inputs!$D$38:$D$42, MATCH( Data!AD18, Inputs!$B$38:$B$42, 0), 0), MAX(Data!AA18, Inputs!$E$26) +  INDEX(Inputs!$D$38:$D$42, MATCH( Data!AD18, Inputs!$B$38:$B$42, 0), 0))</f>
        <v>0.01</v>
      </c>
      <c r="C23" s="141">
        <f>(100*Data!R18)</f>
        <v>0</v>
      </c>
      <c r="D23" s="141">
        <f>ROUND(Data!Q18*C23, 0)</f>
        <v>0</v>
      </c>
      <c r="E23" s="141">
        <f>(100*Data!T18)</f>
        <v>0</v>
      </c>
      <c r="F23" s="141">
        <f>E23*Data!S18</f>
        <v>0</v>
      </c>
      <c r="G23" s="142">
        <f>ROUND(Inputs!$E$21*Data!W18*B23, 0)</f>
        <v>369993</v>
      </c>
      <c r="H23" s="143">
        <f>IF(G23=0, 0,IF(Inputs!$E$30="Yes", IF(Data!D18=1, MAX(Outputs!D23+Outputs!F23+Outputs!G23, Data!AE18), Outputs!D23+Outputs!F23+Outputs!G23), Outputs!D23+Outputs!F23+Outputs!G23))</f>
        <v>369993</v>
      </c>
      <c r="I23" s="143">
        <f>INDEX('FY 22 OFA Shell'!$AQ$27:$AQ$195,MATCH(Outputs!A23,'FY 22 OFA Shell'!$I$27:$I$195,0))</f>
        <v>369993</v>
      </c>
      <c r="J23" s="129">
        <f>H23-Data!AT18</f>
        <v>-214023</v>
      </c>
      <c r="K23" s="127">
        <f>((H23)/(Data!AT18)) - 1</f>
        <v>-0.36646769951508174</v>
      </c>
      <c r="L23" s="127">
        <f t="shared" si="46"/>
        <v>0</v>
      </c>
      <c r="M23" s="143">
        <f>(IF(Inputs!$E$30="Yes",INDEX(Data!AT:AT,MATCH(Outputs!A23,Data!A:A,0)),INDEX(Data!AS:AS,MATCH(Outputs!A23,Data!A:A,0))))</f>
        <v>584016</v>
      </c>
      <c r="N23" s="143">
        <f>IF(Inputs!$E$30="Yes",INDEX(Data!BN:BN,MATCH(Outputs!$A23,Data!$A:$A,0)),INDEX(Data!BE:BE,MATCH(Outputs!$A23,Data!$A:$A,0)))</f>
        <v>584016</v>
      </c>
      <c r="O23" s="143">
        <f>IF(Inputs!$E$30="Yes",INDEX(Data!BO:BO,MATCH(Outputs!$A23,Data!$A:$A,0)),INDEX(Data!BF:BF,MATCH(Outputs!$A23,Data!$A:$A,0)))</f>
        <v>553906.13210000005</v>
      </c>
      <c r="P23" s="143">
        <f>IF(Inputs!$E$30="Yes",INDEX(Data!BP:BP,MATCH(Outputs!$A23,Data!$A:$A,0)),INDEX(Data!BG:BG,MATCH(Outputs!$A23,Data!$A:$A,0)))</f>
        <v>523796.26420000003</v>
      </c>
      <c r="Q23" s="143">
        <f>IF(Inputs!$E$30="Yes",INDEX(Data!BQ:BQ,MATCH(Outputs!$A23,Data!$A:$A,0)),INDEX(Data!BH:BH,MATCH(Outputs!$A23,Data!$A:$A,0)))</f>
        <v>493686.39630000002</v>
      </c>
      <c r="R23" s="143">
        <f>IF(Inputs!$E$30="Yes",INDEX(Data!BR:BR,MATCH(Outputs!$A23,Data!$A:$A,0)),INDEX(Data!BI:BI,MATCH(Outputs!$A23,Data!$A:$A,0)))</f>
        <v>463576.52840000001</v>
      </c>
      <c r="S23" s="143">
        <f>IF(Inputs!$E$30="Yes",INDEX(Data!BS:BS,MATCH(Outputs!$A23,Data!$A:$A,0)),INDEX(Data!BJ:BJ,MATCH(Outputs!$A23,Data!$A:$A,0)))</f>
        <v>433466.6605</v>
      </c>
      <c r="T23" s="143">
        <f>IF(Inputs!$E$30="Yes",INDEX(Data!BT:BT,MATCH(Outputs!$A23,Data!$A:$A,0)),INDEX(Data!BK:BK,MATCH(Outputs!$A23,Data!$A:$A,0)))</f>
        <v>403356.79259999999</v>
      </c>
      <c r="U23" s="143">
        <f>IF(Inputs!$E$30="Yes",INDEX(Data!BU:BU,MATCH(Outputs!$A23,Data!$A:$A,0)),INDEX(Data!BL:BL,MATCH(Outputs!$A23,Data!$A:$A,0)))</f>
        <v>369993</v>
      </c>
      <c r="V23" s="143">
        <f>INDEX('FY 22 OFA Shell'!$AX$27:$AX$195,MATCH(Outputs!A23,'FY 22 OFA Shell'!$I$27:$I$195,0))</f>
        <v>584016</v>
      </c>
      <c r="W23" s="143">
        <f>INDEX('FY 23 OFA Shell'!$AX$27:$AX$195,MATCH(Outputs!A23,'FY 23 OFA Shell'!$I$27:$I$195,0))</f>
        <v>584016</v>
      </c>
      <c r="X23" s="143">
        <f>INDEX('FY 23 OFA Shell'!BK$27:BK$195,MATCH(Outputs!$A23,'FY 23 OFA Shell'!$I$27:$I$195,0))</f>
        <v>553906.13210000005</v>
      </c>
      <c r="Y23" s="143">
        <f>INDEX('FY 23 OFA Shell'!BL$27:BL$195,MATCH(Outputs!$A23,'FY 23 OFA Shell'!$I$27:$I$195,0))</f>
        <v>523796.26420000003</v>
      </c>
      <c r="Z23" s="143">
        <f>INDEX('FY 23 OFA Shell'!BM$27:BM$195,MATCH(Outputs!$A23,'FY 23 OFA Shell'!$I$27:$I$195,0))</f>
        <v>493686.39630000002</v>
      </c>
      <c r="AA23" s="143">
        <f>INDEX('FY 23 OFA Shell'!BN$27:BN$195,MATCH(Outputs!$A23,'FY 23 OFA Shell'!$I$27:$I$195,0))</f>
        <v>463576.52840000001</v>
      </c>
      <c r="AB23" s="143">
        <f>INDEX('FY 23 OFA Shell'!BO$27:BO$195,MATCH(Outputs!$A23,'FY 23 OFA Shell'!$I$27:$I$195,0))</f>
        <v>433466.6605</v>
      </c>
      <c r="AC23" s="143">
        <f>INDEX('FY 23 OFA Shell'!BP$27:BP$195,MATCH(Outputs!$A23,'FY 23 OFA Shell'!$I$27:$I$195,0))</f>
        <v>403356.79259999999</v>
      </c>
      <c r="AD23" s="143">
        <f>INDEX('FY 23 OFA Shell'!BQ$27:BQ$195,MATCH(Outputs!$A23,'FY 23 OFA Shell'!$I$27:$I$195,0))</f>
        <v>369993</v>
      </c>
      <c r="AE23" s="129">
        <f t="shared" si="49"/>
        <v>0</v>
      </c>
      <c r="AF23" s="129">
        <f t="shared" si="50"/>
        <v>0</v>
      </c>
      <c r="AG23" s="129">
        <f t="shared" si="51"/>
        <v>0</v>
      </c>
      <c r="AH23" s="129">
        <f t="shared" si="52"/>
        <v>0</v>
      </c>
      <c r="AI23" s="129">
        <f t="shared" si="53"/>
        <v>0</v>
      </c>
      <c r="AJ23" s="129">
        <f t="shared" si="54"/>
        <v>0</v>
      </c>
      <c r="AK23" s="129">
        <f t="shared" si="55"/>
        <v>0</v>
      </c>
      <c r="AL23" s="129">
        <f t="shared" si="56"/>
        <v>0</v>
      </c>
      <c r="AM23" s="129">
        <f t="shared" si="57"/>
        <v>0</v>
      </c>
      <c r="AN23" s="127">
        <f t="shared" si="58"/>
        <v>0</v>
      </c>
      <c r="AO23" s="127">
        <f t="shared" si="59"/>
        <v>0</v>
      </c>
      <c r="AP23" s="127">
        <f t="shared" si="60"/>
        <v>0</v>
      </c>
      <c r="AQ23" s="127">
        <f t="shared" si="61"/>
        <v>0</v>
      </c>
      <c r="AR23" s="127">
        <f t="shared" si="62"/>
        <v>0</v>
      </c>
      <c r="AS23" s="127">
        <f t="shared" si="63"/>
        <v>0</v>
      </c>
      <c r="AT23" s="127">
        <f t="shared" si="64"/>
        <v>0</v>
      </c>
      <c r="AU23" s="127">
        <f t="shared" si="65"/>
        <v>0</v>
      </c>
      <c r="AV23" s="127">
        <f t="shared" si="66"/>
        <v>0</v>
      </c>
    </row>
    <row r="24" spans="1:48" x14ac:dyDescent="0.15">
      <c r="A24" s="29" t="s">
        <v>12</v>
      </c>
      <c r="B24" s="30">
        <f>IF(Data!D19=1, MAX(Data!AA19, Inputs!$E$25) + INDEX(Inputs!$D$38:$D$42, MATCH( Data!AD19, Inputs!$B$38:$B$42, 0), 0), MAX(Data!AA19, Inputs!$E$26) +  INDEX(Inputs!$D$38:$D$42, MATCH( Data!AD19, Inputs!$B$38:$B$42, 0), 0))</f>
        <v>0.20411000000000001</v>
      </c>
      <c r="C24" s="141">
        <f>(100*Data!R19)</f>
        <v>600</v>
      </c>
      <c r="D24" s="141">
        <f>ROUND(Data!Q19*C24, 0)</f>
        <v>167400</v>
      </c>
      <c r="E24" s="141">
        <f>(100*Data!T19)</f>
        <v>0</v>
      </c>
      <c r="F24" s="141">
        <f>E24*Data!S19</f>
        <v>0</v>
      </c>
      <c r="G24" s="142">
        <f>ROUND(Inputs!$E$21*Data!W19*B24, 0)</f>
        <v>1187640</v>
      </c>
      <c r="H24" s="143">
        <f>IF(G24=0, 0,IF(Inputs!$E$30="Yes", IF(Data!D19=1, MAX(Outputs!D24+Outputs!F24+Outputs!G24, Data!AE19), Outputs!D24+Outputs!F24+Outputs!G24), Outputs!D24+Outputs!F24+Outputs!G24))</f>
        <v>1355040</v>
      </c>
      <c r="I24" s="143">
        <f>INDEX('FY 22 OFA Shell'!$AQ$27:$AQ$195,MATCH(Outputs!A24,'FY 22 OFA Shell'!$I$27:$I$195,0))</f>
        <v>1355040</v>
      </c>
      <c r="J24" s="129">
        <f>H24-Data!AT19</f>
        <v>-139202</v>
      </c>
      <c r="K24" s="127">
        <f>((H24)/(Data!AT19)) - 1</f>
        <v>-9.3158939448897859E-2</v>
      </c>
      <c r="L24" s="127">
        <f t="shared" si="46"/>
        <v>0</v>
      </c>
      <c r="M24" s="143">
        <f>(IF(Inputs!$E$30="Yes",INDEX(Data!AT:AT,MATCH(Outputs!A24,Data!A:A,0)),INDEX(Data!AS:AS,MATCH(Outputs!A24,Data!A:A,0))))</f>
        <v>1494242</v>
      </c>
      <c r="N24" s="143">
        <f>IF(Inputs!$E$30="Yes",INDEX(Data!BN:BN,MATCH(Outputs!$A24,Data!$A:$A,0)),INDEX(Data!BE:BE,MATCH(Outputs!$A24,Data!$A:$A,0)))</f>
        <v>1494242</v>
      </c>
      <c r="O24" s="143">
        <f>IF(Inputs!$E$30="Yes",INDEX(Data!BO:BO,MATCH(Outputs!$A24,Data!$A:$A,0)),INDEX(Data!BF:BF,MATCH(Outputs!$A24,Data!$A:$A,0)))</f>
        <v>1471030.7882000001</v>
      </c>
      <c r="P24" s="143">
        <f>IF(Inputs!$E$30="Yes",INDEX(Data!BP:BP,MATCH(Outputs!$A24,Data!$A:$A,0)),INDEX(Data!BG:BG,MATCH(Outputs!$A24,Data!$A:$A,0)))</f>
        <v>1447819.5764000001</v>
      </c>
      <c r="Q24" s="143">
        <f>IF(Inputs!$E$30="Yes",INDEX(Data!BQ:BQ,MATCH(Outputs!$A24,Data!$A:$A,0)),INDEX(Data!BH:BH,MATCH(Outputs!$A24,Data!$A:$A,0)))</f>
        <v>1424608.3646000002</v>
      </c>
      <c r="R24" s="143">
        <f>IF(Inputs!$E$30="Yes",INDEX(Data!BR:BR,MATCH(Outputs!$A24,Data!$A:$A,0)),INDEX(Data!BI:BI,MATCH(Outputs!$A24,Data!$A:$A,0)))</f>
        <v>1401397.1528000003</v>
      </c>
      <c r="S24" s="143">
        <f>IF(Inputs!$E$30="Yes",INDEX(Data!BS:BS,MATCH(Outputs!$A24,Data!$A:$A,0)),INDEX(Data!BJ:BJ,MATCH(Outputs!$A24,Data!$A:$A,0)))</f>
        <v>1378185.9410000003</v>
      </c>
      <c r="T24" s="143">
        <f>IF(Inputs!$E$30="Yes",INDEX(Data!BT:BT,MATCH(Outputs!$A24,Data!$A:$A,0)),INDEX(Data!BK:BK,MATCH(Outputs!$A24,Data!$A:$A,0)))</f>
        <v>1354974.7292000004</v>
      </c>
      <c r="U24" s="143">
        <f>IF(Inputs!$E$30="Yes",INDEX(Data!BU:BU,MATCH(Outputs!$A24,Data!$A:$A,0)),INDEX(Data!BL:BL,MATCH(Outputs!$A24,Data!$A:$A,0)))</f>
        <v>1355040</v>
      </c>
      <c r="V24" s="143">
        <f>INDEX('FY 22 OFA Shell'!$AX$27:$AX$195,MATCH(Outputs!A24,'FY 22 OFA Shell'!$I$27:$I$195,0))</f>
        <v>1494242</v>
      </c>
      <c r="W24" s="143">
        <f>INDEX('FY 23 OFA Shell'!$AX$27:$AX$195,MATCH(Outputs!A24,'FY 23 OFA Shell'!$I$27:$I$195,0))</f>
        <v>1494242</v>
      </c>
      <c r="X24" s="143">
        <f>INDEX('FY 23 OFA Shell'!BK$27:BK$195,MATCH(Outputs!$A24,'FY 23 OFA Shell'!$I$27:$I$195,0))</f>
        <v>1471030.7882000001</v>
      </c>
      <c r="Y24" s="143">
        <f>INDEX('FY 23 OFA Shell'!BL$27:BL$195,MATCH(Outputs!$A24,'FY 23 OFA Shell'!$I$27:$I$195,0))</f>
        <v>1447819.5764000001</v>
      </c>
      <c r="Z24" s="143">
        <f>INDEX('FY 23 OFA Shell'!BM$27:BM$195,MATCH(Outputs!$A24,'FY 23 OFA Shell'!$I$27:$I$195,0))</f>
        <v>1424608.3646000002</v>
      </c>
      <c r="AA24" s="143">
        <f>INDEX('FY 23 OFA Shell'!BN$27:BN$195,MATCH(Outputs!$A24,'FY 23 OFA Shell'!$I$27:$I$195,0))</f>
        <v>1401397.1528000003</v>
      </c>
      <c r="AB24" s="143">
        <f>INDEX('FY 23 OFA Shell'!BO$27:BO$195,MATCH(Outputs!$A24,'FY 23 OFA Shell'!$I$27:$I$195,0))</f>
        <v>1378185.9410000003</v>
      </c>
      <c r="AC24" s="143">
        <f>INDEX('FY 23 OFA Shell'!BP$27:BP$195,MATCH(Outputs!$A24,'FY 23 OFA Shell'!$I$27:$I$195,0))</f>
        <v>1354974.7292000004</v>
      </c>
      <c r="AD24" s="143">
        <f>INDEX('FY 23 OFA Shell'!BQ$27:BQ$195,MATCH(Outputs!$A24,'FY 23 OFA Shell'!$I$27:$I$195,0))</f>
        <v>1355040</v>
      </c>
      <c r="AE24" s="129">
        <f t="shared" si="49"/>
        <v>0</v>
      </c>
      <c r="AF24" s="129">
        <f t="shared" si="50"/>
        <v>0</v>
      </c>
      <c r="AG24" s="129">
        <f t="shared" si="51"/>
        <v>0</v>
      </c>
      <c r="AH24" s="129">
        <f t="shared" si="52"/>
        <v>0</v>
      </c>
      <c r="AI24" s="129">
        <f t="shared" si="53"/>
        <v>0</v>
      </c>
      <c r="AJ24" s="129">
        <f t="shared" si="54"/>
        <v>0</v>
      </c>
      <c r="AK24" s="129">
        <f t="shared" si="55"/>
        <v>0</v>
      </c>
      <c r="AL24" s="129">
        <f t="shared" si="56"/>
        <v>0</v>
      </c>
      <c r="AM24" s="129">
        <f t="shared" si="57"/>
        <v>0</v>
      </c>
      <c r="AN24" s="127">
        <f t="shared" si="58"/>
        <v>0</v>
      </c>
      <c r="AO24" s="127">
        <f t="shared" si="59"/>
        <v>0</v>
      </c>
      <c r="AP24" s="127">
        <f t="shared" si="60"/>
        <v>0</v>
      </c>
      <c r="AQ24" s="127">
        <f t="shared" si="61"/>
        <v>0</v>
      </c>
      <c r="AR24" s="127">
        <f t="shared" si="62"/>
        <v>0</v>
      </c>
      <c r="AS24" s="127">
        <f t="shared" si="63"/>
        <v>0</v>
      </c>
      <c r="AT24" s="127">
        <f t="shared" si="64"/>
        <v>0</v>
      </c>
      <c r="AU24" s="127">
        <f t="shared" si="65"/>
        <v>0</v>
      </c>
      <c r="AV24" s="127">
        <f t="shared" si="66"/>
        <v>0</v>
      </c>
    </row>
    <row r="25" spans="1:48" x14ac:dyDescent="0.15">
      <c r="A25" s="29" t="s">
        <v>13</v>
      </c>
      <c r="B25" s="30">
        <f>IF(Data!D20=1, MAX(Data!AA20, Inputs!$E$25) + INDEX(Inputs!$D$38:$D$42, MATCH( Data!AD20, Inputs!$B$38:$B$42, 0), 0), MAX(Data!AA20, Inputs!$E$26) +  INDEX(Inputs!$D$38:$D$42, MATCH( Data!AD20, Inputs!$B$38:$B$42, 0), 0))</f>
        <v>0.359288</v>
      </c>
      <c r="C25" s="141">
        <f>(100*Data!R20)</f>
        <v>1300</v>
      </c>
      <c r="D25" s="141">
        <f>ROUND(Data!Q20*C25, 0)</f>
        <v>942500</v>
      </c>
      <c r="E25" s="141">
        <f>(100*Data!T20)</f>
        <v>0</v>
      </c>
      <c r="F25" s="141">
        <f>E25*Data!S20</f>
        <v>0</v>
      </c>
      <c r="G25" s="142">
        <f>ROUND(Inputs!$E$21*Data!W20*B25, 0)</f>
        <v>3246465</v>
      </c>
      <c r="H25" s="143">
        <f>IF(G25=0, 0,IF(Inputs!$E$30="Yes", IF(Data!D20=1, MAX(Outputs!D25+Outputs!F25+Outputs!G25, Data!AE20), Outputs!D25+Outputs!F25+Outputs!G25), Outputs!D25+Outputs!F25+Outputs!G25))</f>
        <v>4188965</v>
      </c>
      <c r="I25" s="143">
        <f>INDEX('FY 22 OFA Shell'!$AQ$27:$AQ$195,MATCH(Outputs!A25,'FY 22 OFA Shell'!$I$27:$I$195,0))</f>
        <v>4188965</v>
      </c>
      <c r="J25" s="129">
        <f>H25-Data!AT20</f>
        <v>229501.60300000012</v>
      </c>
      <c r="K25" s="127">
        <f>((H25)/(Data!AT20)) - 1</f>
        <v>5.7962804549194447E-2</v>
      </c>
      <c r="L25" s="127">
        <f t="shared" si="46"/>
        <v>0</v>
      </c>
      <c r="M25" s="143">
        <f>(IF(Inputs!$E$30="Yes",INDEX(Data!AT:AT,MATCH(Outputs!A25,Data!A:A,0)),INDEX(Data!AS:AS,MATCH(Outputs!A25,Data!A:A,0))))</f>
        <v>3959463.3969999999</v>
      </c>
      <c r="N25" s="143">
        <f>IF(Inputs!$E$30="Yes",INDEX(Data!BN:BN,MATCH(Outputs!$A25,Data!$A:$A,0)),INDEX(Data!BE:BE,MATCH(Outputs!$A25,Data!$A:$A,0)))</f>
        <v>3972366.7939999998</v>
      </c>
      <c r="O25" s="143">
        <f>IF(Inputs!$E$30="Yes",INDEX(Data!BO:BO,MATCH(Outputs!$A25,Data!$A:$A,0)),INDEX(Data!BF:BF,MATCH(Outputs!$A25,Data!$A:$A,0)))</f>
        <v>3985270.1909999996</v>
      </c>
      <c r="P25" s="143">
        <f>IF(Inputs!$E$30="Yes",INDEX(Data!BP:BP,MATCH(Outputs!$A25,Data!$A:$A,0)),INDEX(Data!BG:BG,MATCH(Outputs!$A25,Data!$A:$A,0)))</f>
        <v>3998173.5879999995</v>
      </c>
      <c r="Q25" s="143">
        <f>IF(Inputs!$E$30="Yes",INDEX(Data!BQ:BQ,MATCH(Outputs!$A25,Data!$A:$A,0)),INDEX(Data!BH:BH,MATCH(Outputs!$A25,Data!$A:$A,0)))</f>
        <v>4011076.9849999994</v>
      </c>
      <c r="R25" s="143">
        <f>IF(Inputs!$E$30="Yes",INDEX(Data!BR:BR,MATCH(Outputs!$A25,Data!$A:$A,0)),INDEX(Data!BI:BI,MATCH(Outputs!$A25,Data!$A:$A,0)))</f>
        <v>4023980.3819999993</v>
      </c>
      <c r="S25" s="143">
        <f>IF(Inputs!$E$30="Yes",INDEX(Data!BS:BS,MATCH(Outputs!$A25,Data!$A:$A,0)),INDEX(Data!BJ:BJ,MATCH(Outputs!$A25,Data!$A:$A,0)))</f>
        <v>4188965</v>
      </c>
      <c r="T25" s="143">
        <f>IF(Inputs!$E$30="Yes",INDEX(Data!BT:BT,MATCH(Outputs!$A25,Data!$A:$A,0)),INDEX(Data!BK:BK,MATCH(Outputs!$A25,Data!$A:$A,0)))</f>
        <v>4188965</v>
      </c>
      <c r="U25" s="143">
        <f>IF(Inputs!$E$30="Yes",INDEX(Data!BU:BU,MATCH(Outputs!$A25,Data!$A:$A,0)),INDEX(Data!BL:BL,MATCH(Outputs!$A25,Data!$A:$A,0)))</f>
        <v>4188965</v>
      </c>
      <c r="V25" s="143">
        <f>INDEX('FY 22 OFA Shell'!$AX$27:$AX$195,MATCH(Outputs!A25,'FY 22 OFA Shell'!$I$27:$I$195,0))</f>
        <v>3959463.3969999999</v>
      </c>
      <c r="W25" s="143">
        <f>INDEX('FY 23 OFA Shell'!$AX$27:$AX$195,MATCH(Outputs!A25,'FY 23 OFA Shell'!$I$27:$I$195,0))</f>
        <v>3972366.7939999998</v>
      </c>
      <c r="X25" s="143">
        <f>INDEX('FY 23 OFA Shell'!BK$27:BK$195,MATCH(Outputs!$A25,'FY 23 OFA Shell'!$I$27:$I$195,0))</f>
        <v>3985270.1909999996</v>
      </c>
      <c r="Y25" s="143">
        <f>INDEX('FY 23 OFA Shell'!BL$27:BL$195,MATCH(Outputs!$A25,'FY 23 OFA Shell'!$I$27:$I$195,0))</f>
        <v>3998173.5879999995</v>
      </c>
      <c r="Z25" s="143">
        <f>INDEX('FY 23 OFA Shell'!BM$27:BM$195,MATCH(Outputs!$A25,'FY 23 OFA Shell'!$I$27:$I$195,0))</f>
        <v>4011076.9849999994</v>
      </c>
      <c r="AA25" s="143">
        <f>INDEX('FY 23 OFA Shell'!BN$27:BN$195,MATCH(Outputs!$A25,'FY 23 OFA Shell'!$I$27:$I$195,0))</f>
        <v>4023980.3819999993</v>
      </c>
      <c r="AB25" s="143">
        <f>INDEX('FY 23 OFA Shell'!BO$27:BO$195,MATCH(Outputs!$A25,'FY 23 OFA Shell'!$I$27:$I$195,0))</f>
        <v>4188965</v>
      </c>
      <c r="AC25" s="143">
        <f>INDEX('FY 23 OFA Shell'!BP$27:BP$195,MATCH(Outputs!$A25,'FY 23 OFA Shell'!$I$27:$I$195,0))</f>
        <v>4188965</v>
      </c>
      <c r="AD25" s="143">
        <f>INDEX('FY 23 OFA Shell'!BQ$27:BQ$195,MATCH(Outputs!$A25,'FY 23 OFA Shell'!$I$27:$I$195,0))</f>
        <v>4188965</v>
      </c>
      <c r="AE25" s="129">
        <f t="shared" si="49"/>
        <v>0</v>
      </c>
      <c r="AF25" s="129">
        <f t="shared" si="50"/>
        <v>0</v>
      </c>
      <c r="AG25" s="129">
        <f t="shared" si="51"/>
        <v>0</v>
      </c>
      <c r="AH25" s="129">
        <f t="shared" si="52"/>
        <v>0</v>
      </c>
      <c r="AI25" s="129">
        <f t="shared" si="53"/>
        <v>0</v>
      </c>
      <c r="AJ25" s="129">
        <f t="shared" si="54"/>
        <v>0</v>
      </c>
      <c r="AK25" s="129">
        <f t="shared" si="55"/>
        <v>0</v>
      </c>
      <c r="AL25" s="129">
        <f t="shared" si="56"/>
        <v>0</v>
      </c>
      <c r="AM25" s="129">
        <f t="shared" si="57"/>
        <v>0</v>
      </c>
      <c r="AN25" s="127">
        <f t="shared" si="58"/>
        <v>0</v>
      </c>
      <c r="AO25" s="127">
        <f t="shared" si="59"/>
        <v>0</v>
      </c>
      <c r="AP25" s="127">
        <f t="shared" si="60"/>
        <v>0</v>
      </c>
      <c r="AQ25" s="127">
        <f t="shared" si="61"/>
        <v>0</v>
      </c>
      <c r="AR25" s="127">
        <f t="shared" si="62"/>
        <v>0</v>
      </c>
      <c r="AS25" s="127">
        <f t="shared" si="63"/>
        <v>0</v>
      </c>
      <c r="AT25" s="127">
        <f t="shared" si="64"/>
        <v>0</v>
      </c>
      <c r="AU25" s="127">
        <f t="shared" si="65"/>
        <v>0</v>
      </c>
      <c r="AV25" s="127">
        <f t="shared" si="66"/>
        <v>0</v>
      </c>
    </row>
    <row r="26" spans="1:48" x14ac:dyDescent="0.15">
      <c r="A26" s="29" t="s">
        <v>15</v>
      </c>
      <c r="B26" s="30">
        <f>IF(Data!D21=1, MAX(Data!AA21, Inputs!$E$25) + INDEX(Inputs!$D$38:$D$42, MATCH( Data!AD21, Inputs!$B$38:$B$42, 0), 0), MAX(Data!AA21, Inputs!$E$26) +  INDEX(Inputs!$D$38:$D$42, MATCH( Data!AD21, Inputs!$B$38:$B$42, 0), 0))</f>
        <v>0.16744600000000001</v>
      </c>
      <c r="C26" s="141">
        <f>(100*Data!R21)</f>
        <v>0</v>
      </c>
      <c r="D26" s="141">
        <f>ROUND(Data!Q21*C26, 0)</f>
        <v>0</v>
      </c>
      <c r="E26" s="141">
        <f>(100*Data!T21)</f>
        <v>0</v>
      </c>
      <c r="F26" s="141">
        <f>E26*Data!S21</f>
        <v>0</v>
      </c>
      <c r="G26" s="142">
        <f>ROUND(Inputs!$E$21*Data!W21*B26, 0)</f>
        <v>5662251</v>
      </c>
      <c r="H26" s="143">
        <f>IF(G26=0, 0,IF(Inputs!$E$30="Yes", IF(Data!D21=1, MAX(Outputs!D26+Outputs!F26+Outputs!G26, Data!AE21), Outputs!D26+Outputs!F26+Outputs!G26), Outputs!D26+Outputs!F26+Outputs!G26))</f>
        <v>5662251</v>
      </c>
      <c r="I26" s="143">
        <f>INDEX('FY 22 OFA Shell'!$AQ$27:$AQ$195,MATCH(Outputs!A26,'FY 22 OFA Shell'!$I$27:$I$195,0))</f>
        <v>5662251</v>
      </c>
      <c r="J26" s="129">
        <f>H26-Data!AT21</f>
        <v>-208349</v>
      </c>
      <c r="K26" s="127">
        <f>((H26)/(Data!AT21)) - 1</f>
        <v>-3.5490239498518039E-2</v>
      </c>
      <c r="L26" s="127">
        <f t="shared" si="46"/>
        <v>0</v>
      </c>
      <c r="M26" s="143">
        <f>(IF(Inputs!$E$30="Yes",INDEX(Data!AT:AT,MATCH(Outputs!A26,Data!A:A,0)),INDEX(Data!AS:AS,MATCH(Outputs!A26,Data!A:A,0))))</f>
        <v>5870600</v>
      </c>
      <c r="N26" s="143">
        <f>IF(Inputs!$E$30="Yes",INDEX(Data!BN:BN,MATCH(Outputs!$A26,Data!$A:$A,0)),INDEX(Data!BE:BE,MATCH(Outputs!$A26,Data!$A:$A,0)))</f>
        <v>5870600</v>
      </c>
      <c r="O26" s="143">
        <f>IF(Inputs!$E$30="Yes",INDEX(Data!BO:BO,MATCH(Outputs!$A26,Data!$A:$A,0)),INDEX(Data!BF:BF,MATCH(Outputs!$A26,Data!$A:$A,0)))</f>
        <v>5824496.6986999996</v>
      </c>
      <c r="P26" s="143">
        <f>IF(Inputs!$E$30="Yes",INDEX(Data!BP:BP,MATCH(Outputs!$A26,Data!$A:$A,0)),INDEX(Data!BG:BG,MATCH(Outputs!$A26,Data!$A:$A,0)))</f>
        <v>5778393.3973999992</v>
      </c>
      <c r="Q26" s="143">
        <f>IF(Inputs!$E$30="Yes",INDEX(Data!BQ:BQ,MATCH(Outputs!$A26,Data!$A:$A,0)),INDEX(Data!BH:BH,MATCH(Outputs!$A26,Data!$A:$A,0)))</f>
        <v>5732290.0960999988</v>
      </c>
      <c r="R26" s="143">
        <f>IF(Inputs!$E$30="Yes",INDEX(Data!BR:BR,MATCH(Outputs!$A26,Data!$A:$A,0)),INDEX(Data!BI:BI,MATCH(Outputs!$A26,Data!$A:$A,0)))</f>
        <v>5686186.7947999984</v>
      </c>
      <c r="S26" s="143">
        <f>IF(Inputs!$E$30="Yes",INDEX(Data!BS:BS,MATCH(Outputs!$A26,Data!$A:$A,0)),INDEX(Data!BJ:BJ,MATCH(Outputs!$A26,Data!$A:$A,0)))</f>
        <v>5640083.493499998</v>
      </c>
      <c r="T26" s="143">
        <f>IF(Inputs!$E$30="Yes",INDEX(Data!BT:BT,MATCH(Outputs!$A26,Data!$A:$A,0)),INDEX(Data!BK:BK,MATCH(Outputs!$A26,Data!$A:$A,0)))</f>
        <v>5593980.1921999976</v>
      </c>
      <c r="U26" s="143">
        <f>IF(Inputs!$E$30="Yes",INDEX(Data!BU:BU,MATCH(Outputs!$A26,Data!$A:$A,0)),INDEX(Data!BL:BL,MATCH(Outputs!$A26,Data!$A:$A,0)))</f>
        <v>5662251</v>
      </c>
      <c r="V26" s="143">
        <f>INDEX('FY 22 OFA Shell'!$AX$27:$AX$195,MATCH(Outputs!A26,'FY 22 OFA Shell'!$I$27:$I$195,0))</f>
        <v>5870600</v>
      </c>
      <c r="W26" s="143">
        <f>INDEX('FY 23 OFA Shell'!$AX$27:$AX$195,MATCH(Outputs!A26,'FY 23 OFA Shell'!$I$27:$I$195,0))</f>
        <v>5870600</v>
      </c>
      <c r="X26" s="143">
        <f>INDEX('FY 23 OFA Shell'!BK$27:BK$195,MATCH(Outputs!$A26,'FY 23 OFA Shell'!$I$27:$I$195,0))</f>
        <v>5824496.6986999996</v>
      </c>
      <c r="Y26" s="143">
        <f>INDEX('FY 23 OFA Shell'!BL$27:BL$195,MATCH(Outputs!$A26,'FY 23 OFA Shell'!$I$27:$I$195,0))</f>
        <v>5778393.3973999992</v>
      </c>
      <c r="Z26" s="143">
        <f>INDEX('FY 23 OFA Shell'!BM$27:BM$195,MATCH(Outputs!$A26,'FY 23 OFA Shell'!$I$27:$I$195,0))</f>
        <v>5732290.0960999988</v>
      </c>
      <c r="AA26" s="143">
        <f>INDEX('FY 23 OFA Shell'!BN$27:BN$195,MATCH(Outputs!$A26,'FY 23 OFA Shell'!$I$27:$I$195,0))</f>
        <v>5686186.7947999984</v>
      </c>
      <c r="AB26" s="143">
        <f>INDEX('FY 23 OFA Shell'!BO$27:BO$195,MATCH(Outputs!$A26,'FY 23 OFA Shell'!$I$27:$I$195,0))</f>
        <v>5640083.493499998</v>
      </c>
      <c r="AC26" s="143">
        <f>INDEX('FY 23 OFA Shell'!BP$27:BP$195,MATCH(Outputs!$A26,'FY 23 OFA Shell'!$I$27:$I$195,0))</f>
        <v>5593980.1921999976</v>
      </c>
      <c r="AD26" s="143">
        <f>INDEX('FY 23 OFA Shell'!BQ$27:BQ$195,MATCH(Outputs!$A26,'FY 23 OFA Shell'!$I$27:$I$195,0))</f>
        <v>5662251</v>
      </c>
      <c r="AE26" s="129">
        <f t="shared" si="49"/>
        <v>0</v>
      </c>
      <c r="AF26" s="129">
        <f t="shared" si="50"/>
        <v>0</v>
      </c>
      <c r="AG26" s="129">
        <f t="shared" si="51"/>
        <v>0</v>
      </c>
      <c r="AH26" s="129">
        <f t="shared" si="52"/>
        <v>0</v>
      </c>
      <c r="AI26" s="129">
        <f t="shared" si="53"/>
        <v>0</v>
      </c>
      <c r="AJ26" s="129">
        <f t="shared" si="54"/>
        <v>0</v>
      </c>
      <c r="AK26" s="129">
        <f t="shared" si="55"/>
        <v>0</v>
      </c>
      <c r="AL26" s="129">
        <f t="shared" si="56"/>
        <v>0</v>
      </c>
      <c r="AM26" s="129">
        <f t="shared" si="57"/>
        <v>0</v>
      </c>
      <c r="AN26" s="127">
        <f t="shared" si="58"/>
        <v>0</v>
      </c>
      <c r="AO26" s="127">
        <f t="shared" si="59"/>
        <v>0</v>
      </c>
      <c r="AP26" s="127">
        <f t="shared" si="60"/>
        <v>0</v>
      </c>
      <c r="AQ26" s="127">
        <f t="shared" si="61"/>
        <v>0</v>
      </c>
      <c r="AR26" s="127">
        <f t="shared" si="62"/>
        <v>0</v>
      </c>
      <c r="AS26" s="127">
        <f t="shared" si="63"/>
        <v>0</v>
      </c>
      <c r="AT26" s="127">
        <f t="shared" si="64"/>
        <v>0</v>
      </c>
      <c r="AU26" s="127">
        <f t="shared" si="65"/>
        <v>0</v>
      </c>
      <c r="AV26" s="127">
        <f t="shared" si="66"/>
        <v>0</v>
      </c>
    </row>
    <row r="27" spans="1:48" x14ac:dyDescent="0.15">
      <c r="A27" s="29" t="s">
        <v>16</v>
      </c>
      <c r="B27" s="30">
        <f>IF(Data!D22=1, MAX(Data!AA22, Inputs!$E$25) + INDEX(Inputs!$D$38:$D$42, MATCH( Data!AD22, Inputs!$B$38:$B$42, 0), 0), MAX(Data!AA22, Inputs!$E$26) +  INDEX(Inputs!$D$38:$D$42, MATCH( Data!AD22, Inputs!$B$38:$B$42, 0), 0))</f>
        <v>0.15720500000000001</v>
      </c>
      <c r="C27" s="141">
        <f>(100*Data!R22)</f>
        <v>600</v>
      </c>
      <c r="D27" s="141">
        <f>ROUND(Data!Q22*C27, 0)</f>
        <v>234000</v>
      </c>
      <c r="E27" s="141">
        <f>(100*Data!T22)</f>
        <v>0</v>
      </c>
      <c r="F27" s="141">
        <f>E27*Data!S22</f>
        <v>0</v>
      </c>
      <c r="G27" s="142">
        <f>ROUND(Inputs!$E$21*Data!W22*B27, 0)</f>
        <v>1419155</v>
      </c>
      <c r="H27" s="143">
        <f>IF(G27=0, 0,IF(Inputs!$E$30="Yes", IF(Data!D22=1, MAX(Outputs!D27+Outputs!F27+Outputs!G27, Data!AE22), Outputs!D27+Outputs!F27+Outputs!G27), Outputs!D27+Outputs!F27+Outputs!G27))</f>
        <v>1653155</v>
      </c>
      <c r="I27" s="143">
        <f>INDEX('FY 22 OFA Shell'!$AQ$27:$AQ$195,MATCH(Outputs!A27,'FY 22 OFA Shell'!$I$27:$I$195,0))</f>
        <v>1653155</v>
      </c>
      <c r="J27" s="129">
        <f>H27-Data!AT22</f>
        <v>-111419</v>
      </c>
      <c r="K27" s="127">
        <f>((H27)/(Data!AT22)) - 1</f>
        <v>-6.3142152156837827E-2</v>
      </c>
      <c r="L27" s="127">
        <f t="shared" si="46"/>
        <v>0</v>
      </c>
      <c r="M27" s="143">
        <f>(IF(Inputs!$E$30="Yes",INDEX(Data!AT:AT,MATCH(Outputs!A27,Data!A:A,0)),INDEX(Data!AS:AS,MATCH(Outputs!A27,Data!A:A,0))))</f>
        <v>1764574</v>
      </c>
      <c r="N27" s="143">
        <f>IF(Inputs!$E$30="Yes",INDEX(Data!BN:BN,MATCH(Outputs!$A27,Data!$A:$A,0)),INDEX(Data!BE:BE,MATCH(Outputs!$A27,Data!$A:$A,0)))</f>
        <v>1764574</v>
      </c>
      <c r="O27" s="143">
        <f>IF(Inputs!$E$30="Yes",INDEX(Data!BO:BO,MATCH(Outputs!$A27,Data!$A:$A,0)),INDEX(Data!BF:BF,MATCH(Outputs!$A27,Data!$A:$A,0)))</f>
        <v>1735664.4018000001</v>
      </c>
      <c r="P27" s="143">
        <f>IF(Inputs!$E$30="Yes",INDEX(Data!BP:BP,MATCH(Outputs!$A27,Data!$A:$A,0)),INDEX(Data!BG:BG,MATCH(Outputs!$A27,Data!$A:$A,0)))</f>
        <v>1706754.8036000002</v>
      </c>
      <c r="Q27" s="143">
        <f>IF(Inputs!$E$30="Yes",INDEX(Data!BQ:BQ,MATCH(Outputs!$A27,Data!$A:$A,0)),INDEX(Data!BH:BH,MATCH(Outputs!$A27,Data!$A:$A,0)))</f>
        <v>1677845.2054000003</v>
      </c>
      <c r="R27" s="143">
        <f>IF(Inputs!$E$30="Yes",INDEX(Data!BR:BR,MATCH(Outputs!$A27,Data!$A:$A,0)),INDEX(Data!BI:BI,MATCH(Outputs!$A27,Data!$A:$A,0)))</f>
        <v>1648935.6072000004</v>
      </c>
      <c r="S27" s="143">
        <f>IF(Inputs!$E$30="Yes",INDEX(Data!BS:BS,MATCH(Outputs!$A27,Data!$A:$A,0)),INDEX(Data!BJ:BJ,MATCH(Outputs!$A27,Data!$A:$A,0)))</f>
        <v>1620026.0090000005</v>
      </c>
      <c r="T27" s="143">
        <f>IF(Inputs!$E$30="Yes",INDEX(Data!BT:BT,MATCH(Outputs!$A27,Data!$A:$A,0)),INDEX(Data!BK:BK,MATCH(Outputs!$A27,Data!$A:$A,0)))</f>
        <v>1591116.4108000007</v>
      </c>
      <c r="U27" s="143">
        <f>IF(Inputs!$E$30="Yes",INDEX(Data!BU:BU,MATCH(Outputs!$A27,Data!$A:$A,0)),INDEX(Data!BL:BL,MATCH(Outputs!$A27,Data!$A:$A,0)))</f>
        <v>1653155</v>
      </c>
      <c r="V27" s="143">
        <f>INDEX('FY 22 OFA Shell'!$AX$27:$AX$195,MATCH(Outputs!A27,'FY 22 OFA Shell'!$I$27:$I$195,0))</f>
        <v>1764574</v>
      </c>
      <c r="W27" s="143">
        <f>INDEX('FY 23 OFA Shell'!$AX$27:$AX$195,MATCH(Outputs!A27,'FY 23 OFA Shell'!$I$27:$I$195,0))</f>
        <v>1764574</v>
      </c>
      <c r="X27" s="143">
        <f>INDEX('FY 23 OFA Shell'!BK$27:BK$195,MATCH(Outputs!$A27,'FY 23 OFA Shell'!$I$27:$I$195,0))</f>
        <v>1735664.4018000001</v>
      </c>
      <c r="Y27" s="143">
        <f>INDEX('FY 23 OFA Shell'!BL$27:BL$195,MATCH(Outputs!$A27,'FY 23 OFA Shell'!$I$27:$I$195,0))</f>
        <v>1706754.8036000002</v>
      </c>
      <c r="Z27" s="143">
        <f>INDEX('FY 23 OFA Shell'!BM$27:BM$195,MATCH(Outputs!$A27,'FY 23 OFA Shell'!$I$27:$I$195,0))</f>
        <v>1677845.2054000003</v>
      </c>
      <c r="AA27" s="143">
        <f>INDEX('FY 23 OFA Shell'!BN$27:BN$195,MATCH(Outputs!$A27,'FY 23 OFA Shell'!$I$27:$I$195,0))</f>
        <v>1648935.6072000004</v>
      </c>
      <c r="AB27" s="143">
        <f>INDEX('FY 23 OFA Shell'!BO$27:BO$195,MATCH(Outputs!$A27,'FY 23 OFA Shell'!$I$27:$I$195,0))</f>
        <v>1620026.0090000005</v>
      </c>
      <c r="AC27" s="143">
        <f>INDEX('FY 23 OFA Shell'!BP$27:BP$195,MATCH(Outputs!$A27,'FY 23 OFA Shell'!$I$27:$I$195,0))</f>
        <v>1591116.4108000007</v>
      </c>
      <c r="AD27" s="143">
        <f>INDEX('FY 23 OFA Shell'!BQ$27:BQ$195,MATCH(Outputs!$A27,'FY 23 OFA Shell'!$I$27:$I$195,0))</f>
        <v>1653155</v>
      </c>
      <c r="AE27" s="129">
        <f t="shared" si="49"/>
        <v>0</v>
      </c>
      <c r="AF27" s="129">
        <f t="shared" si="50"/>
        <v>0</v>
      </c>
      <c r="AG27" s="129">
        <f t="shared" si="51"/>
        <v>0</v>
      </c>
      <c r="AH27" s="129">
        <f t="shared" si="52"/>
        <v>0</v>
      </c>
      <c r="AI27" s="129">
        <f t="shared" si="53"/>
        <v>0</v>
      </c>
      <c r="AJ27" s="129">
        <f t="shared" si="54"/>
        <v>0</v>
      </c>
      <c r="AK27" s="129">
        <f t="shared" si="55"/>
        <v>0</v>
      </c>
      <c r="AL27" s="129">
        <f t="shared" si="56"/>
        <v>0</v>
      </c>
      <c r="AM27" s="129">
        <f t="shared" si="57"/>
        <v>0</v>
      </c>
      <c r="AN27" s="127">
        <f t="shared" si="58"/>
        <v>0</v>
      </c>
      <c r="AO27" s="127">
        <f t="shared" si="59"/>
        <v>0</v>
      </c>
      <c r="AP27" s="127">
        <f t="shared" si="60"/>
        <v>0</v>
      </c>
      <c r="AQ27" s="127">
        <f t="shared" si="61"/>
        <v>0</v>
      </c>
      <c r="AR27" s="127">
        <f t="shared" si="62"/>
        <v>0</v>
      </c>
      <c r="AS27" s="127">
        <f t="shared" si="63"/>
        <v>0</v>
      </c>
      <c r="AT27" s="127">
        <f t="shared" si="64"/>
        <v>0</v>
      </c>
      <c r="AU27" s="127">
        <f t="shared" si="65"/>
        <v>0</v>
      </c>
      <c r="AV27" s="127">
        <f t="shared" si="66"/>
        <v>0</v>
      </c>
    </row>
    <row r="28" spans="1:48" x14ac:dyDescent="0.15">
      <c r="A28" s="29" t="s">
        <v>17</v>
      </c>
      <c r="B28" s="30">
        <f>IF(Data!D23=1, MAX(Data!AA23, Inputs!$E$25) + INDEX(Inputs!$D$38:$D$42, MATCH( Data!AD23, Inputs!$B$38:$B$42, 0), 0), MAX(Data!AA23, Inputs!$E$26) +  INDEX(Inputs!$D$38:$D$42, MATCH( Data!AD23, Inputs!$B$38:$B$42, 0), 0))</f>
        <v>0.19427700000000001</v>
      </c>
      <c r="C28" s="141">
        <f>(100*Data!R23)</f>
        <v>0</v>
      </c>
      <c r="D28" s="141">
        <f>ROUND(Data!Q23*C28, 0)</f>
        <v>0</v>
      </c>
      <c r="E28" s="141">
        <f>(100*Data!T23)</f>
        <v>0</v>
      </c>
      <c r="F28" s="141">
        <f>E28*Data!S23</f>
        <v>0</v>
      </c>
      <c r="G28" s="142">
        <f>ROUND(Inputs!$E$21*Data!W23*B28, 0)</f>
        <v>7611670</v>
      </c>
      <c r="H28" s="143">
        <f>IF(G28=0, 0,IF(Inputs!$E$30="Yes", IF(Data!D23=1, MAX(Outputs!D28+Outputs!F28+Outputs!G28, Data!AE23), Outputs!D28+Outputs!F28+Outputs!G28), Outputs!D28+Outputs!F28+Outputs!G28))</f>
        <v>7611670</v>
      </c>
      <c r="I28" s="143">
        <f>INDEX('FY 22 OFA Shell'!$AQ$27:$AQ$195,MATCH(Outputs!A28,'FY 22 OFA Shell'!$I$27:$I$195,0))</f>
        <v>7611670</v>
      </c>
      <c r="J28" s="129">
        <f>H28-Data!AT23</f>
        <v>-269059</v>
      </c>
      <c r="K28" s="127">
        <f>((H28)/(Data!AT23)) - 1</f>
        <v>-3.4141384635863026E-2</v>
      </c>
      <c r="L28" s="127">
        <f t="shared" si="46"/>
        <v>0</v>
      </c>
      <c r="M28" s="143">
        <f>(IF(Inputs!$E$30="Yes",INDEX(Data!AT:AT,MATCH(Outputs!A28,Data!A:A,0)),INDEX(Data!AS:AS,MATCH(Outputs!A28,Data!A:A,0))))</f>
        <v>7880729</v>
      </c>
      <c r="N28" s="143">
        <f>IF(Inputs!$E$30="Yes",INDEX(Data!BN:BN,MATCH(Outputs!$A28,Data!$A:$A,0)),INDEX(Data!BE:BE,MATCH(Outputs!$A28,Data!$A:$A,0)))</f>
        <v>7880729</v>
      </c>
      <c r="O28" s="143">
        <f>IF(Inputs!$E$30="Yes",INDEX(Data!BO:BO,MATCH(Outputs!$A28,Data!$A:$A,0)),INDEX(Data!BF:BF,MATCH(Outputs!$A28,Data!$A:$A,0)))</f>
        <v>7841073.0354000004</v>
      </c>
      <c r="P28" s="143">
        <f>IF(Inputs!$E$30="Yes",INDEX(Data!BP:BP,MATCH(Outputs!$A28,Data!$A:$A,0)),INDEX(Data!BG:BG,MATCH(Outputs!$A28,Data!$A:$A,0)))</f>
        <v>7801417.0708000008</v>
      </c>
      <c r="Q28" s="143">
        <f>IF(Inputs!$E$30="Yes",INDEX(Data!BQ:BQ,MATCH(Outputs!$A28,Data!$A:$A,0)),INDEX(Data!BH:BH,MATCH(Outputs!$A28,Data!$A:$A,0)))</f>
        <v>7761761.1062000012</v>
      </c>
      <c r="R28" s="143">
        <f>IF(Inputs!$E$30="Yes",INDEX(Data!BR:BR,MATCH(Outputs!$A28,Data!$A:$A,0)),INDEX(Data!BI:BI,MATCH(Outputs!$A28,Data!$A:$A,0)))</f>
        <v>7722105.1416000016</v>
      </c>
      <c r="S28" s="143">
        <f>IF(Inputs!$E$30="Yes",INDEX(Data!BS:BS,MATCH(Outputs!$A28,Data!$A:$A,0)),INDEX(Data!BJ:BJ,MATCH(Outputs!$A28,Data!$A:$A,0)))</f>
        <v>7682449.177000002</v>
      </c>
      <c r="T28" s="143">
        <f>IF(Inputs!$E$30="Yes",INDEX(Data!BT:BT,MATCH(Outputs!$A28,Data!$A:$A,0)),INDEX(Data!BK:BK,MATCH(Outputs!$A28,Data!$A:$A,0)))</f>
        <v>7642793.2124000024</v>
      </c>
      <c r="U28" s="143">
        <f>IF(Inputs!$E$30="Yes",INDEX(Data!BU:BU,MATCH(Outputs!$A28,Data!$A:$A,0)),INDEX(Data!BL:BL,MATCH(Outputs!$A28,Data!$A:$A,0)))</f>
        <v>7611670</v>
      </c>
      <c r="V28" s="143">
        <f>INDEX('FY 22 OFA Shell'!$AX$27:$AX$195,MATCH(Outputs!A28,'FY 22 OFA Shell'!$I$27:$I$195,0))</f>
        <v>7880729</v>
      </c>
      <c r="W28" s="143">
        <f>INDEX('FY 23 OFA Shell'!$AX$27:$AX$195,MATCH(Outputs!A28,'FY 23 OFA Shell'!$I$27:$I$195,0))</f>
        <v>7880729</v>
      </c>
      <c r="X28" s="143">
        <f>INDEX('FY 23 OFA Shell'!BK$27:BK$195,MATCH(Outputs!$A28,'FY 23 OFA Shell'!$I$27:$I$195,0))</f>
        <v>7841073.0354000004</v>
      </c>
      <c r="Y28" s="143">
        <f>INDEX('FY 23 OFA Shell'!BL$27:BL$195,MATCH(Outputs!$A28,'FY 23 OFA Shell'!$I$27:$I$195,0))</f>
        <v>7801417.0708000008</v>
      </c>
      <c r="Z28" s="143">
        <f>INDEX('FY 23 OFA Shell'!BM$27:BM$195,MATCH(Outputs!$A28,'FY 23 OFA Shell'!$I$27:$I$195,0))</f>
        <v>7761761.1062000012</v>
      </c>
      <c r="AA28" s="143">
        <f>INDEX('FY 23 OFA Shell'!BN$27:BN$195,MATCH(Outputs!$A28,'FY 23 OFA Shell'!$I$27:$I$195,0))</f>
        <v>7722105.1416000016</v>
      </c>
      <c r="AB28" s="143">
        <f>INDEX('FY 23 OFA Shell'!BO$27:BO$195,MATCH(Outputs!$A28,'FY 23 OFA Shell'!$I$27:$I$195,0))</f>
        <v>7682449.177000002</v>
      </c>
      <c r="AC28" s="143">
        <f>INDEX('FY 23 OFA Shell'!BP$27:BP$195,MATCH(Outputs!$A28,'FY 23 OFA Shell'!$I$27:$I$195,0))</f>
        <v>7642793.2124000024</v>
      </c>
      <c r="AD28" s="143">
        <f>INDEX('FY 23 OFA Shell'!BQ$27:BQ$195,MATCH(Outputs!$A28,'FY 23 OFA Shell'!$I$27:$I$195,0))</f>
        <v>7611670</v>
      </c>
      <c r="AE28" s="129">
        <f t="shared" si="49"/>
        <v>0</v>
      </c>
      <c r="AF28" s="129">
        <f t="shared" si="50"/>
        <v>0</v>
      </c>
      <c r="AG28" s="129">
        <f t="shared" si="51"/>
        <v>0</v>
      </c>
      <c r="AH28" s="129">
        <f t="shared" si="52"/>
        <v>0</v>
      </c>
      <c r="AI28" s="129">
        <f t="shared" si="53"/>
        <v>0</v>
      </c>
      <c r="AJ28" s="129">
        <f t="shared" si="54"/>
        <v>0</v>
      </c>
      <c r="AK28" s="129">
        <f t="shared" si="55"/>
        <v>0</v>
      </c>
      <c r="AL28" s="129">
        <f t="shared" si="56"/>
        <v>0</v>
      </c>
      <c r="AM28" s="129">
        <f t="shared" si="57"/>
        <v>0</v>
      </c>
      <c r="AN28" s="127">
        <f t="shared" si="58"/>
        <v>0</v>
      </c>
      <c r="AO28" s="127">
        <f t="shared" si="59"/>
        <v>0</v>
      </c>
      <c r="AP28" s="127">
        <f t="shared" si="60"/>
        <v>0</v>
      </c>
      <c r="AQ28" s="127">
        <f t="shared" si="61"/>
        <v>0</v>
      </c>
      <c r="AR28" s="127">
        <f t="shared" si="62"/>
        <v>0</v>
      </c>
      <c r="AS28" s="127">
        <f t="shared" si="63"/>
        <v>0</v>
      </c>
      <c r="AT28" s="127">
        <f t="shared" si="64"/>
        <v>0</v>
      </c>
      <c r="AU28" s="127">
        <f t="shared" si="65"/>
        <v>0</v>
      </c>
      <c r="AV28" s="127">
        <f t="shared" si="66"/>
        <v>0</v>
      </c>
    </row>
    <row r="29" spans="1:48" x14ac:dyDescent="0.15">
      <c r="A29" s="29" t="s">
        <v>18</v>
      </c>
      <c r="B29" s="30">
        <f>IF(Data!D24=1, MAX(Data!AA24, Inputs!$E$25) + INDEX(Inputs!$D$38:$D$42, MATCH( Data!AD24, Inputs!$B$38:$B$42, 0), 0), MAX(Data!AA24, Inputs!$E$26) +  INDEX(Inputs!$D$38:$D$42, MATCH( Data!AD24, Inputs!$B$38:$B$42, 0), 0))</f>
        <v>0.21557100000000001</v>
      </c>
      <c r="C29" s="141">
        <f>(100*Data!R24)</f>
        <v>1300</v>
      </c>
      <c r="D29" s="141">
        <f>ROUND(Data!Q24*C29, 0)</f>
        <v>471900</v>
      </c>
      <c r="E29" s="141">
        <f>(100*Data!T24)</f>
        <v>0</v>
      </c>
      <c r="F29" s="141">
        <f>E29*Data!S24</f>
        <v>0</v>
      </c>
      <c r="G29" s="142">
        <f>ROUND(Inputs!$E$21*Data!W24*B29, 0)</f>
        <v>978602</v>
      </c>
      <c r="H29" s="143">
        <f>IF(G29=0, 0,IF(Inputs!$E$30="Yes", IF(Data!D24=1, MAX(Outputs!D29+Outputs!F29+Outputs!G29, Data!AE24), Outputs!D29+Outputs!F29+Outputs!G29), Outputs!D29+Outputs!F29+Outputs!G29))</f>
        <v>1450502</v>
      </c>
      <c r="I29" s="143">
        <f>INDEX('FY 22 OFA Shell'!$AQ$27:$AQ$195,MATCH(Outputs!A29,'FY 22 OFA Shell'!$I$27:$I$195,0))</f>
        <v>1450502</v>
      </c>
      <c r="J29" s="129">
        <f>H29-Data!AT24</f>
        <v>303675.6176</v>
      </c>
      <c r="K29" s="127">
        <f>((H29)/(Data!AT24)) - 1</f>
        <v>0.26479650473726313</v>
      </c>
      <c r="L29" s="127">
        <f t="shared" si="46"/>
        <v>0</v>
      </c>
      <c r="M29" s="143">
        <f>(IF(Inputs!$E$30="Yes",INDEX(Data!AT:AT,MATCH(Outputs!A29,Data!A:A,0)),INDEX(Data!AS:AS,MATCH(Outputs!A29,Data!A:A,0))))</f>
        <v>1146826.3824</v>
      </c>
      <c r="N29" s="143">
        <f>IF(Inputs!$E$30="Yes",INDEX(Data!BN:BN,MATCH(Outputs!$A29,Data!$A:$A,0)),INDEX(Data!BE:BE,MATCH(Outputs!$A29,Data!$A:$A,0)))</f>
        <v>1165125.7648</v>
      </c>
      <c r="O29" s="143">
        <f>IF(Inputs!$E$30="Yes",INDEX(Data!BO:BO,MATCH(Outputs!$A29,Data!$A:$A,0)),INDEX(Data!BF:BF,MATCH(Outputs!$A29,Data!$A:$A,0)))</f>
        <v>1183425.1472</v>
      </c>
      <c r="P29" s="143">
        <f>IF(Inputs!$E$30="Yes",INDEX(Data!BP:BP,MATCH(Outputs!$A29,Data!$A:$A,0)),INDEX(Data!BG:BG,MATCH(Outputs!$A29,Data!$A:$A,0)))</f>
        <v>1201724.5296</v>
      </c>
      <c r="Q29" s="143">
        <f>IF(Inputs!$E$30="Yes",INDEX(Data!BQ:BQ,MATCH(Outputs!$A29,Data!$A:$A,0)),INDEX(Data!BH:BH,MATCH(Outputs!$A29,Data!$A:$A,0)))</f>
        <v>1220023.912</v>
      </c>
      <c r="R29" s="143">
        <f>IF(Inputs!$E$30="Yes",INDEX(Data!BR:BR,MATCH(Outputs!$A29,Data!$A:$A,0)),INDEX(Data!BI:BI,MATCH(Outputs!$A29,Data!$A:$A,0)))</f>
        <v>1238323.2944</v>
      </c>
      <c r="S29" s="143">
        <f>IF(Inputs!$E$30="Yes",INDEX(Data!BS:BS,MATCH(Outputs!$A29,Data!$A:$A,0)),INDEX(Data!BJ:BJ,MATCH(Outputs!$A29,Data!$A:$A,0)))</f>
        <v>1450502</v>
      </c>
      <c r="T29" s="143">
        <f>IF(Inputs!$E$30="Yes",INDEX(Data!BT:BT,MATCH(Outputs!$A29,Data!$A:$A,0)),INDEX(Data!BK:BK,MATCH(Outputs!$A29,Data!$A:$A,0)))</f>
        <v>1450502</v>
      </c>
      <c r="U29" s="143">
        <f>IF(Inputs!$E$30="Yes",INDEX(Data!BU:BU,MATCH(Outputs!$A29,Data!$A:$A,0)),INDEX(Data!BL:BL,MATCH(Outputs!$A29,Data!$A:$A,0)))</f>
        <v>1450502</v>
      </c>
      <c r="V29" s="143">
        <f>INDEX('FY 22 OFA Shell'!$AX$27:$AX$195,MATCH(Outputs!A29,'FY 22 OFA Shell'!$I$27:$I$195,0))</f>
        <v>1146826.3824</v>
      </c>
      <c r="W29" s="143">
        <f>INDEX('FY 23 OFA Shell'!$AX$27:$AX$195,MATCH(Outputs!A29,'FY 23 OFA Shell'!$I$27:$I$195,0))</f>
        <v>1165125.7648</v>
      </c>
      <c r="X29" s="143">
        <f>INDEX('FY 23 OFA Shell'!BK$27:BK$195,MATCH(Outputs!$A29,'FY 23 OFA Shell'!$I$27:$I$195,0))</f>
        <v>1183425.1472</v>
      </c>
      <c r="Y29" s="143">
        <f>INDEX('FY 23 OFA Shell'!BL$27:BL$195,MATCH(Outputs!$A29,'FY 23 OFA Shell'!$I$27:$I$195,0))</f>
        <v>1201724.5296</v>
      </c>
      <c r="Z29" s="143">
        <f>INDEX('FY 23 OFA Shell'!BM$27:BM$195,MATCH(Outputs!$A29,'FY 23 OFA Shell'!$I$27:$I$195,0))</f>
        <v>1220023.912</v>
      </c>
      <c r="AA29" s="143">
        <f>INDEX('FY 23 OFA Shell'!BN$27:BN$195,MATCH(Outputs!$A29,'FY 23 OFA Shell'!$I$27:$I$195,0))</f>
        <v>1238323.2944</v>
      </c>
      <c r="AB29" s="143">
        <f>INDEX('FY 23 OFA Shell'!BO$27:BO$195,MATCH(Outputs!$A29,'FY 23 OFA Shell'!$I$27:$I$195,0))</f>
        <v>1450502</v>
      </c>
      <c r="AC29" s="143">
        <f>INDEX('FY 23 OFA Shell'!BP$27:BP$195,MATCH(Outputs!$A29,'FY 23 OFA Shell'!$I$27:$I$195,0))</f>
        <v>1450502</v>
      </c>
      <c r="AD29" s="143">
        <f>INDEX('FY 23 OFA Shell'!BQ$27:BQ$195,MATCH(Outputs!$A29,'FY 23 OFA Shell'!$I$27:$I$195,0))</f>
        <v>1450502</v>
      </c>
      <c r="AE29" s="129">
        <f t="shared" si="49"/>
        <v>0</v>
      </c>
      <c r="AF29" s="129">
        <f t="shared" si="50"/>
        <v>0</v>
      </c>
      <c r="AG29" s="129">
        <f t="shared" si="51"/>
        <v>0</v>
      </c>
      <c r="AH29" s="129">
        <f t="shared" si="52"/>
        <v>0</v>
      </c>
      <c r="AI29" s="129">
        <f t="shared" si="53"/>
        <v>0</v>
      </c>
      <c r="AJ29" s="129">
        <f t="shared" si="54"/>
        <v>0</v>
      </c>
      <c r="AK29" s="129">
        <f t="shared" si="55"/>
        <v>0</v>
      </c>
      <c r="AL29" s="129">
        <f t="shared" si="56"/>
        <v>0</v>
      </c>
      <c r="AM29" s="129">
        <f t="shared" si="57"/>
        <v>0</v>
      </c>
      <c r="AN29" s="127">
        <f t="shared" si="58"/>
        <v>0</v>
      </c>
      <c r="AO29" s="127">
        <f t="shared" si="59"/>
        <v>0</v>
      </c>
      <c r="AP29" s="127">
        <f t="shared" si="60"/>
        <v>0</v>
      </c>
      <c r="AQ29" s="127">
        <f t="shared" si="61"/>
        <v>0</v>
      </c>
      <c r="AR29" s="127">
        <f t="shared" si="62"/>
        <v>0</v>
      </c>
      <c r="AS29" s="127">
        <f t="shared" si="63"/>
        <v>0</v>
      </c>
      <c r="AT29" s="127">
        <f t="shared" si="64"/>
        <v>0</v>
      </c>
      <c r="AU29" s="127">
        <f t="shared" si="65"/>
        <v>0</v>
      </c>
      <c r="AV29" s="127">
        <f t="shared" si="66"/>
        <v>0</v>
      </c>
    </row>
    <row r="30" spans="1:48" x14ac:dyDescent="0.15">
      <c r="A30" s="29" t="s">
        <v>20</v>
      </c>
      <c r="B30" s="30">
        <f>IF(Data!D25=1, MAX(Data!AA25, Inputs!$E$25) + INDEX(Inputs!$D$38:$D$42, MATCH( Data!AD25, Inputs!$B$38:$B$42, 0), 0), MAX(Data!AA25, Inputs!$E$26) +  INDEX(Inputs!$D$38:$D$42, MATCH( Data!AD25, Inputs!$B$38:$B$42, 0), 0))</f>
        <v>0.245285</v>
      </c>
      <c r="C30" s="141">
        <f>(100*Data!R25)</f>
        <v>0</v>
      </c>
      <c r="D30" s="141">
        <f>ROUND(Data!Q25*C30, 0)</f>
        <v>0</v>
      </c>
      <c r="E30" s="141">
        <f>(100*Data!T25)</f>
        <v>0</v>
      </c>
      <c r="F30" s="141">
        <f>E30*Data!S25</f>
        <v>0</v>
      </c>
      <c r="G30" s="142">
        <f>ROUND(Inputs!$E$21*Data!W25*B30, 0)</f>
        <v>7697251</v>
      </c>
      <c r="H30" s="143">
        <f>IF(G30=0, 0,IF(Inputs!$E$30="Yes", IF(Data!D25=1, MAX(Outputs!D30+Outputs!F30+Outputs!G30, Data!AE25), Outputs!D30+Outputs!F30+Outputs!G30), Outputs!D30+Outputs!F30+Outputs!G30))</f>
        <v>7697251</v>
      </c>
      <c r="I30" s="143">
        <f>INDEX('FY 22 OFA Shell'!$AQ$27:$AQ$195,MATCH(Outputs!A30,'FY 22 OFA Shell'!$I$27:$I$195,0))</f>
        <v>7697251</v>
      </c>
      <c r="J30" s="129">
        <f>H30-Data!AT25</f>
        <v>832786.2675999999</v>
      </c>
      <c r="K30" s="127">
        <f>((H30)/(Data!AT25)) - 1</f>
        <v>0.12131845672821107</v>
      </c>
      <c r="L30" s="127">
        <f t="shared" si="46"/>
        <v>0</v>
      </c>
      <c r="M30" s="143">
        <f>(IF(Inputs!$E$30="Yes",INDEX(Data!AT:AT,MATCH(Outputs!A30,Data!A:A,0)),INDEX(Data!AS:AS,MATCH(Outputs!A30,Data!A:A,0))))</f>
        <v>6864464.7324000001</v>
      </c>
      <c r="N30" s="143">
        <f>IF(Inputs!$E$30="Yes",INDEX(Data!BN:BN,MATCH(Outputs!$A30,Data!$A:$A,0)),INDEX(Data!BE:BE,MATCH(Outputs!$A30,Data!$A:$A,0)))</f>
        <v>7028246.4648000002</v>
      </c>
      <c r="O30" s="143">
        <f>IF(Inputs!$E$30="Yes",INDEX(Data!BO:BO,MATCH(Outputs!$A30,Data!$A:$A,0)),INDEX(Data!BF:BF,MATCH(Outputs!$A30,Data!$A:$A,0)))</f>
        <v>7192028.1972000003</v>
      </c>
      <c r="P30" s="143">
        <f>IF(Inputs!$E$30="Yes",INDEX(Data!BP:BP,MATCH(Outputs!$A30,Data!$A:$A,0)),INDEX(Data!BG:BG,MATCH(Outputs!$A30,Data!$A:$A,0)))</f>
        <v>7355809.9296000004</v>
      </c>
      <c r="Q30" s="143">
        <f>IF(Inputs!$E$30="Yes",INDEX(Data!BQ:BQ,MATCH(Outputs!$A30,Data!$A:$A,0)),INDEX(Data!BH:BH,MATCH(Outputs!$A30,Data!$A:$A,0)))</f>
        <v>7519591.6620000005</v>
      </c>
      <c r="R30" s="143">
        <f>IF(Inputs!$E$30="Yes",INDEX(Data!BR:BR,MATCH(Outputs!$A30,Data!$A:$A,0)),INDEX(Data!BI:BI,MATCH(Outputs!$A30,Data!$A:$A,0)))</f>
        <v>7683373.3944000006</v>
      </c>
      <c r="S30" s="143">
        <f>IF(Inputs!$E$30="Yes",INDEX(Data!BS:BS,MATCH(Outputs!$A30,Data!$A:$A,0)),INDEX(Data!BJ:BJ,MATCH(Outputs!$A30,Data!$A:$A,0)))</f>
        <v>7697251</v>
      </c>
      <c r="T30" s="143">
        <f>IF(Inputs!$E$30="Yes",INDEX(Data!BT:BT,MATCH(Outputs!$A30,Data!$A:$A,0)),INDEX(Data!BK:BK,MATCH(Outputs!$A30,Data!$A:$A,0)))</f>
        <v>7697251</v>
      </c>
      <c r="U30" s="143">
        <f>IF(Inputs!$E$30="Yes",INDEX(Data!BU:BU,MATCH(Outputs!$A30,Data!$A:$A,0)),INDEX(Data!BL:BL,MATCH(Outputs!$A30,Data!$A:$A,0)))</f>
        <v>7697251</v>
      </c>
      <c r="V30" s="143">
        <f>INDEX('FY 22 OFA Shell'!$AX$27:$AX$195,MATCH(Outputs!A30,'FY 22 OFA Shell'!$I$27:$I$195,0))</f>
        <v>6864464.7324000001</v>
      </c>
      <c r="W30" s="143">
        <f>INDEX('FY 23 OFA Shell'!$AX$27:$AX$195,MATCH(Outputs!A30,'FY 23 OFA Shell'!$I$27:$I$195,0))</f>
        <v>7028246.4648000002</v>
      </c>
      <c r="X30" s="143">
        <f>INDEX('FY 23 OFA Shell'!BK$27:BK$195,MATCH(Outputs!$A30,'FY 23 OFA Shell'!$I$27:$I$195,0))</f>
        <v>7192028.1972000003</v>
      </c>
      <c r="Y30" s="143">
        <f>INDEX('FY 23 OFA Shell'!BL$27:BL$195,MATCH(Outputs!$A30,'FY 23 OFA Shell'!$I$27:$I$195,0))</f>
        <v>7355809.9296000004</v>
      </c>
      <c r="Z30" s="143">
        <f>INDEX('FY 23 OFA Shell'!BM$27:BM$195,MATCH(Outputs!$A30,'FY 23 OFA Shell'!$I$27:$I$195,0))</f>
        <v>7519591.6620000005</v>
      </c>
      <c r="AA30" s="143">
        <f>INDEX('FY 23 OFA Shell'!BN$27:BN$195,MATCH(Outputs!$A30,'FY 23 OFA Shell'!$I$27:$I$195,0))</f>
        <v>7683373.3944000006</v>
      </c>
      <c r="AB30" s="143">
        <f>INDEX('FY 23 OFA Shell'!BO$27:BO$195,MATCH(Outputs!$A30,'FY 23 OFA Shell'!$I$27:$I$195,0))</f>
        <v>7697251</v>
      </c>
      <c r="AC30" s="143">
        <f>INDEX('FY 23 OFA Shell'!BP$27:BP$195,MATCH(Outputs!$A30,'FY 23 OFA Shell'!$I$27:$I$195,0))</f>
        <v>7697251</v>
      </c>
      <c r="AD30" s="143">
        <f>INDEX('FY 23 OFA Shell'!BQ$27:BQ$195,MATCH(Outputs!$A30,'FY 23 OFA Shell'!$I$27:$I$195,0))</f>
        <v>7697251</v>
      </c>
      <c r="AE30" s="129">
        <f t="shared" si="49"/>
        <v>0</v>
      </c>
      <c r="AF30" s="129">
        <f t="shared" si="50"/>
        <v>0</v>
      </c>
      <c r="AG30" s="129">
        <f t="shared" si="51"/>
        <v>0</v>
      </c>
      <c r="AH30" s="129">
        <f t="shared" si="52"/>
        <v>0</v>
      </c>
      <c r="AI30" s="129">
        <f t="shared" si="53"/>
        <v>0</v>
      </c>
      <c r="AJ30" s="129">
        <f t="shared" si="54"/>
        <v>0</v>
      </c>
      <c r="AK30" s="129">
        <f t="shared" si="55"/>
        <v>0</v>
      </c>
      <c r="AL30" s="129">
        <f t="shared" si="56"/>
        <v>0</v>
      </c>
      <c r="AM30" s="129">
        <f t="shared" si="57"/>
        <v>0</v>
      </c>
      <c r="AN30" s="127">
        <f t="shared" si="58"/>
        <v>0</v>
      </c>
      <c r="AO30" s="127">
        <f t="shared" si="59"/>
        <v>0</v>
      </c>
      <c r="AP30" s="127">
        <f t="shared" si="60"/>
        <v>0</v>
      </c>
      <c r="AQ30" s="127">
        <f t="shared" si="61"/>
        <v>0</v>
      </c>
      <c r="AR30" s="127">
        <f t="shared" si="62"/>
        <v>0</v>
      </c>
      <c r="AS30" s="127">
        <f t="shared" si="63"/>
        <v>0</v>
      </c>
      <c r="AT30" s="127">
        <f t="shared" si="64"/>
        <v>0</v>
      </c>
      <c r="AU30" s="127">
        <f t="shared" si="65"/>
        <v>0</v>
      </c>
      <c r="AV30" s="127">
        <f t="shared" si="66"/>
        <v>0</v>
      </c>
    </row>
    <row r="31" spans="1:48" x14ac:dyDescent="0.15">
      <c r="A31" s="29" t="s">
        <v>21</v>
      </c>
      <c r="B31" s="30">
        <f>IF(Data!D26=1, MAX(Data!AA26, Inputs!$E$25) + INDEX(Inputs!$D$38:$D$42, MATCH( Data!AD26, Inputs!$B$38:$B$42, 0), 0), MAX(Data!AA26, Inputs!$E$26) +  INDEX(Inputs!$D$38:$D$42, MATCH( Data!AD26, Inputs!$B$38:$B$42, 0), 0))</f>
        <v>0.270121</v>
      </c>
      <c r="C31" s="141">
        <f>(100*Data!R26)</f>
        <v>0</v>
      </c>
      <c r="D31" s="141">
        <f>ROUND(Data!Q26*C31, 0)</f>
        <v>0</v>
      </c>
      <c r="E31" s="141">
        <f>(100*Data!T26)</f>
        <v>0</v>
      </c>
      <c r="F31" s="141">
        <f>E31*Data!S26</f>
        <v>0</v>
      </c>
      <c r="G31" s="142">
        <f>ROUND(Inputs!$E$21*Data!W26*B31, 0)</f>
        <v>2323713</v>
      </c>
      <c r="H31" s="143">
        <f>IF(G31=0, 0,IF(Inputs!$E$30="Yes", IF(Data!D26=1, MAX(Outputs!D31+Outputs!F31+Outputs!G31, Data!AE26), Outputs!D31+Outputs!F31+Outputs!G31), Outputs!D31+Outputs!F31+Outputs!G31))</f>
        <v>2323713</v>
      </c>
      <c r="I31" s="143">
        <f>INDEX('FY 22 OFA Shell'!$AQ$27:$AQ$195,MATCH(Outputs!A31,'FY 22 OFA Shell'!$I$27:$I$195,0))</f>
        <v>2323713</v>
      </c>
      <c r="J31" s="129">
        <f>H31-Data!AT26</f>
        <v>-359503</v>
      </c>
      <c r="K31" s="127">
        <f>((H31)/(Data!AT26)) - 1</f>
        <v>-0.13398213188949382</v>
      </c>
      <c r="L31" s="127">
        <f t="shared" si="46"/>
        <v>0</v>
      </c>
      <c r="M31" s="143">
        <f>(IF(Inputs!$E$30="Yes",INDEX(Data!AT:AT,MATCH(Outputs!A31,Data!A:A,0)),INDEX(Data!AS:AS,MATCH(Outputs!A31,Data!A:A,0))))</f>
        <v>2683216</v>
      </c>
      <c r="N31" s="143">
        <f>IF(Inputs!$E$30="Yes",INDEX(Data!BN:BN,MATCH(Outputs!$A31,Data!$A:$A,0)),INDEX(Data!BE:BE,MATCH(Outputs!$A31,Data!$A:$A,0)))</f>
        <v>2683216</v>
      </c>
      <c r="O31" s="143">
        <f>IF(Inputs!$E$30="Yes",INDEX(Data!BO:BO,MATCH(Outputs!$A31,Data!$A:$A,0)),INDEX(Data!BF:BF,MATCH(Outputs!$A31,Data!$A:$A,0)))</f>
        <v>2628268.2379000001</v>
      </c>
      <c r="P31" s="143">
        <f>IF(Inputs!$E$30="Yes",INDEX(Data!BP:BP,MATCH(Outputs!$A31,Data!$A:$A,0)),INDEX(Data!BG:BG,MATCH(Outputs!$A31,Data!$A:$A,0)))</f>
        <v>2573320.4758000001</v>
      </c>
      <c r="Q31" s="143">
        <f>IF(Inputs!$E$30="Yes",INDEX(Data!BQ:BQ,MATCH(Outputs!$A31,Data!$A:$A,0)),INDEX(Data!BH:BH,MATCH(Outputs!$A31,Data!$A:$A,0)))</f>
        <v>2518372.7137000002</v>
      </c>
      <c r="R31" s="143">
        <f>IF(Inputs!$E$30="Yes",INDEX(Data!BR:BR,MATCH(Outputs!$A31,Data!$A:$A,0)),INDEX(Data!BI:BI,MATCH(Outputs!$A31,Data!$A:$A,0)))</f>
        <v>2463424.9516000003</v>
      </c>
      <c r="S31" s="143">
        <f>IF(Inputs!$E$30="Yes",INDEX(Data!BS:BS,MATCH(Outputs!$A31,Data!$A:$A,0)),INDEX(Data!BJ:BJ,MATCH(Outputs!$A31,Data!$A:$A,0)))</f>
        <v>2408477.1895000003</v>
      </c>
      <c r="T31" s="143">
        <f>IF(Inputs!$E$30="Yes",INDEX(Data!BT:BT,MATCH(Outputs!$A31,Data!$A:$A,0)),INDEX(Data!BK:BK,MATCH(Outputs!$A31,Data!$A:$A,0)))</f>
        <v>2353529.4274000004</v>
      </c>
      <c r="U31" s="143">
        <f>IF(Inputs!$E$30="Yes",INDEX(Data!BU:BU,MATCH(Outputs!$A31,Data!$A:$A,0)),INDEX(Data!BL:BL,MATCH(Outputs!$A31,Data!$A:$A,0)))</f>
        <v>2323713</v>
      </c>
      <c r="V31" s="143">
        <f>INDEX('FY 22 OFA Shell'!$AX$27:$AX$195,MATCH(Outputs!A31,'FY 22 OFA Shell'!$I$27:$I$195,0))</f>
        <v>2683216</v>
      </c>
      <c r="W31" s="143">
        <f>INDEX('FY 23 OFA Shell'!$AX$27:$AX$195,MATCH(Outputs!A31,'FY 23 OFA Shell'!$I$27:$I$195,0))</f>
        <v>2683216</v>
      </c>
      <c r="X31" s="143">
        <f>INDEX('FY 23 OFA Shell'!BK$27:BK$195,MATCH(Outputs!$A31,'FY 23 OFA Shell'!$I$27:$I$195,0))</f>
        <v>2628268.2379000001</v>
      </c>
      <c r="Y31" s="143">
        <f>INDEX('FY 23 OFA Shell'!BL$27:BL$195,MATCH(Outputs!$A31,'FY 23 OFA Shell'!$I$27:$I$195,0))</f>
        <v>2573320.4758000001</v>
      </c>
      <c r="Z31" s="143">
        <f>INDEX('FY 23 OFA Shell'!BM$27:BM$195,MATCH(Outputs!$A31,'FY 23 OFA Shell'!$I$27:$I$195,0))</f>
        <v>2518372.7137000002</v>
      </c>
      <c r="AA31" s="143">
        <f>INDEX('FY 23 OFA Shell'!BN$27:BN$195,MATCH(Outputs!$A31,'FY 23 OFA Shell'!$I$27:$I$195,0))</f>
        <v>2463424.9516000003</v>
      </c>
      <c r="AB31" s="143">
        <f>INDEX('FY 23 OFA Shell'!BO$27:BO$195,MATCH(Outputs!$A31,'FY 23 OFA Shell'!$I$27:$I$195,0))</f>
        <v>2408477.1895000003</v>
      </c>
      <c r="AC31" s="143">
        <f>INDEX('FY 23 OFA Shell'!BP$27:BP$195,MATCH(Outputs!$A31,'FY 23 OFA Shell'!$I$27:$I$195,0))</f>
        <v>2353529.4274000004</v>
      </c>
      <c r="AD31" s="143">
        <f>INDEX('FY 23 OFA Shell'!BQ$27:BQ$195,MATCH(Outputs!$A31,'FY 23 OFA Shell'!$I$27:$I$195,0))</f>
        <v>2323713</v>
      </c>
      <c r="AE31" s="129">
        <f t="shared" si="49"/>
        <v>0</v>
      </c>
      <c r="AF31" s="129">
        <f t="shared" si="50"/>
        <v>0</v>
      </c>
      <c r="AG31" s="129">
        <f t="shared" si="51"/>
        <v>0</v>
      </c>
      <c r="AH31" s="129">
        <f t="shared" si="52"/>
        <v>0</v>
      </c>
      <c r="AI31" s="129">
        <f t="shared" si="53"/>
        <v>0</v>
      </c>
      <c r="AJ31" s="129">
        <f t="shared" si="54"/>
        <v>0</v>
      </c>
      <c r="AK31" s="129">
        <f t="shared" si="55"/>
        <v>0</v>
      </c>
      <c r="AL31" s="129">
        <f t="shared" si="56"/>
        <v>0</v>
      </c>
      <c r="AM31" s="129">
        <f t="shared" si="57"/>
        <v>0</v>
      </c>
      <c r="AN31" s="127">
        <f t="shared" si="58"/>
        <v>0</v>
      </c>
      <c r="AO31" s="127">
        <f t="shared" si="59"/>
        <v>0</v>
      </c>
      <c r="AP31" s="127">
        <f t="shared" si="60"/>
        <v>0</v>
      </c>
      <c r="AQ31" s="127">
        <f t="shared" si="61"/>
        <v>0</v>
      </c>
      <c r="AR31" s="127">
        <f t="shared" si="62"/>
        <v>0</v>
      </c>
      <c r="AS31" s="127">
        <f t="shared" si="63"/>
        <v>0</v>
      </c>
      <c r="AT31" s="127">
        <f t="shared" si="64"/>
        <v>0</v>
      </c>
      <c r="AU31" s="127">
        <f t="shared" si="65"/>
        <v>0</v>
      </c>
      <c r="AV31" s="127">
        <f t="shared" si="66"/>
        <v>0</v>
      </c>
    </row>
    <row r="32" spans="1:48" x14ac:dyDescent="0.15">
      <c r="A32" s="29" t="s">
        <v>22</v>
      </c>
      <c r="B32" s="30">
        <f>IF(Data!D27=1, MAX(Data!AA27, Inputs!$E$25) + INDEX(Inputs!$D$38:$D$42, MATCH( Data!AD27, Inputs!$B$38:$B$42, 0), 0), MAX(Data!AA27, Inputs!$E$26) +  INDEX(Inputs!$D$38:$D$42, MATCH( Data!AD27, Inputs!$B$38:$B$42, 0), 0))</f>
        <v>0.296402</v>
      </c>
      <c r="C32" s="141">
        <f>(100*Data!R27)</f>
        <v>0</v>
      </c>
      <c r="D32" s="141">
        <f>ROUND(Data!Q27*C32, 0)</f>
        <v>0</v>
      </c>
      <c r="E32" s="141">
        <f>(100*Data!T27)</f>
        <v>400</v>
      </c>
      <c r="F32" s="141">
        <f>E32*Data!S27</f>
        <v>25200</v>
      </c>
      <c r="G32" s="142">
        <f>ROUND(Inputs!$E$21*Data!W27*B32, 0)</f>
        <v>987609</v>
      </c>
      <c r="H32" s="143">
        <f>IF(G32=0, 0,IF(Inputs!$E$30="Yes", IF(Data!D27=1, MAX(Outputs!D32+Outputs!F32+Outputs!G32, Data!AE27), Outputs!D32+Outputs!F32+Outputs!G32), Outputs!D32+Outputs!F32+Outputs!G32))</f>
        <v>1012809</v>
      </c>
      <c r="I32" s="143">
        <f>INDEX('FY 22 OFA Shell'!$AQ$27:$AQ$195,MATCH(Outputs!A32,'FY 22 OFA Shell'!$I$27:$I$195,0))</f>
        <v>1012809</v>
      </c>
      <c r="J32" s="129">
        <f>H32-Data!AT27</f>
        <v>-177286</v>
      </c>
      <c r="K32" s="127">
        <f>((H32)/(Data!AT27)) - 1</f>
        <v>-0.14896793953423881</v>
      </c>
      <c r="L32" s="127">
        <f t="shared" si="46"/>
        <v>0</v>
      </c>
      <c r="M32" s="143">
        <f>(IF(Inputs!$E$30="Yes",INDEX(Data!AT:AT,MATCH(Outputs!A32,Data!A:A,0)),INDEX(Data!AS:AS,MATCH(Outputs!A32,Data!A:A,0))))</f>
        <v>1190095</v>
      </c>
      <c r="N32" s="143">
        <f>IF(Inputs!$E$30="Yes",INDEX(Data!BN:BN,MATCH(Outputs!$A32,Data!$A:$A,0)),INDEX(Data!BE:BE,MATCH(Outputs!$A32,Data!$A:$A,0)))</f>
        <v>1190095</v>
      </c>
      <c r="O32" s="143">
        <f>IF(Inputs!$E$30="Yes",INDEX(Data!BO:BO,MATCH(Outputs!$A32,Data!$A:$A,0)),INDEX(Data!BF:BF,MATCH(Outputs!$A32,Data!$A:$A,0)))</f>
        <v>1172516.9506999999</v>
      </c>
      <c r="P32" s="143">
        <f>IF(Inputs!$E$30="Yes",INDEX(Data!BP:BP,MATCH(Outputs!$A32,Data!$A:$A,0)),INDEX(Data!BG:BG,MATCH(Outputs!$A32,Data!$A:$A,0)))</f>
        <v>1154938.9013999999</v>
      </c>
      <c r="Q32" s="143">
        <f>IF(Inputs!$E$30="Yes",INDEX(Data!BQ:BQ,MATCH(Outputs!$A32,Data!$A:$A,0)),INDEX(Data!BH:BH,MATCH(Outputs!$A32,Data!$A:$A,0)))</f>
        <v>1137360.8520999998</v>
      </c>
      <c r="R32" s="143">
        <f>IF(Inputs!$E$30="Yes",INDEX(Data!BR:BR,MATCH(Outputs!$A32,Data!$A:$A,0)),INDEX(Data!BI:BI,MATCH(Outputs!$A32,Data!$A:$A,0)))</f>
        <v>1119782.8027999997</v>
      </c>
      <c r="S32" s="143">
        <f>IF(Inputs!$E$30="Yes",INDEX(Data!BS:BS,MATCH(Outputs!$A32,Data!$A:$A,0)),INDEX(Data!BJ:BJ,MATCH(Outputs!$A32,Data!$A:$A,0)))</f>
        <v>1102204.7534999996</v>
      </c>
      <c r="T32" s="143">
        <f>IF(Inputs!$E$30="Yes",INDEX(Data!BT:BT,MATCH(Outputs!$A32,Data!$A:$A,0)),INDEX(Data!BK:BK,MATCH(Outputs!$A32,Data!$A:$A,0)))</f>
        <v>1084626.7041999996</v>
      </c>
      <c r="U32" s="143">
        <f>IF(Inputs!$E$30="Yes",INDEX(Data!BU:BU,MATCH(Outputs!$A32,Data!$A:$A,0)),INDEX(Data!BL:BL,MATCH(Outputs!$A32,Data!$A:$A,0)))</f>
        <v>1012809</v>
      </c>
      <c r="V32" s="143">
        <f>INDEX('FY 22 OFA Shell'!$AX$27:$AX$195,MATCH(Outputs!A32,'FY 22 OFA Shell'!$I$27:$I$195,0))</f>
        <v>1190095</v>
      </c>
      <c r="W32" s="143">
        <f>INDEX('FY 23 OFA Shell'!$AX$27:$AX$195,MATCH(Outputs!A32,'FY 23 OFA Shell'!$I$27:$I$195,0))</f>
        <v>1190095</v>
      </c>
      <c r="X32" s="143">
        <f>INDEX('FY 23 OFA Shell'!BK$27:BK$195,MATCH(Outputs!$A32,'FY 23 OFA Shell'!$I$27:$I$195,0))</f>
        <v>1172516.9506999999</v>
      </c>
      <c r="Y32" s="143">
        <f>INDEX('FY 23 OFA Shell'!BL$27:BL$195,MATCH(Outputs!$A32,'FY 23 OFA Shell'!$I$27:$I$195,0))</f>
        <v>1154938.9013999999</v>
      </c>
      <c r="Z32" s="143">
        <f>INDEX('FY 23 OFA Shell'!BM$27:BM$195,MATCH(Outputs!$A32,'FY 23 OFA Shell'!$I$27:$I$195,0))</f>
        <v>1137360.8520999998</v>
      </c>
      <c r="AA32" s="143">
        <f>INDEX('FY 23 OFA Shell'!BN$27:BN$195,MATCH(Outputs!$A32,'FY 23 OFA Shell'!$I$27:$I$195,0))</f>
        <v>1119782.8027999997</v>
      </c>
      <c r="AB32" s="143">
        <f>INDEX('FY 23 OFA Shell'!BO$27:BO$195,MATCH(Outputs!$A32,'FY 23 OFA Shell'!$I$27:$I$195,0))</f>
        <v>1102204.7534999996</v>
      </c>
      <c r="AC32" s="143">
        <f>INDEX('FY 23 OFA Shell'!BP$27:BP$195,MATCH(Outputs!$A32,'FY 23 OFA Shell'!$I$27:$I$195,0))</f>
        <v>1084626.7041999996</v>
      </c>
      <c r="AD32" s="143">
        <f>INDEX('FY 23 OFA Shell'!BQ$27:BQ$195,MATCH(Outputs!$A32,'FY 23 OFA Shell'!$I$27:$I$195,0))</f>
        <v>1012809</v>
      </c>
      <c r="AE32" s="129">
        <f t="shared" si="49"/>
        <v>0</v>
      </c>
      <c r="AF32" s="129">
        <f t="shared" si="50"/>
        <v>0</v>
      </c>
      <c r="AG32" s="129">
        <f t="shared" si="51"/>
        <v>0</v>
      </c>
      <c r="AH32" s="129">
        <f t="shared" si="52"/>
        <v>0</v>
      </c>
      <c r="AI32" s="129">
        <f t="shared" si="53"/>
        <v>0</v>
      </c>
      <c r="AJ32" s="129">
        <f t="shared" si="54"/>
        <v>0</v>
      </c>
      <c r="AK32" s="129">
        <f t="shared" si="55"/>
        <v>0</v>
      </c>
      <c r="AL32" s="129">
        <f t="shared" si="56"/>
        <v>0</v>
      </c>
      <c r="AM32" s="129">
        <f t="shared" si="57"/>
        <v>0</v>
      </c>
      <c r="AN32" s="127">
        <f t="shared" si="58"/>
        <v>0</v>
      </c>
      <c r="AO32" s="127">
        <f t="shared" si="59"/>
        <v>0</v>
      </c>
      <c r="AP32" s="127">
        <f t="shared" si="60"/>
        <v>0</v>
      </c>
      <c r="AQ32" s="127">
        <f t="shared" si="61"/>
        <v>0</v>
      </c>
      <c r="AR32" s="127">
        <f t="shared" si="62"/>
        <v>0</v>
      </c>
      <c r="AS32" s="127">
        <f t="shared" si="63"/>
        <v>0</v>
      </c>
      <c r="AT32" s="127">
        <f t="shared" si="64"/>
        <v>0</v>
      </c>
      <c r="AU32" s="127">
        <f t="shared" si="65"/>
        <v>0</v>
      </c>
      <c r="AV32" s="127">
        <f t="shared" si="66"/>
        <v>0</v>
      </c>
    </row>
    <row r="33" spans="1:48" x14ac:dyDescent="0.15">
      <c r="A33" s="29" t="s">
        <v>23</v>
      </c>
      <c r="B33" s="30">
        <f>IF(Data!D28=1, MAX(Data!AA28, Inputs!$E$25) + INDEX(Inputs!$D$38:$D$42, MATCH( Data!AD28, Inputs!$B$38:$B$42, 0), 0), MAX(Data!AA28, Inputs!$E$26) +  INDEX(Inputs!$D$38:$D$42, MATCH( Data!AD28, Inputs!$B$38:$B$42, 0), 0))</f>
        <v>0.10338</v>
      </c>
      <c r="C33" s="141">
        <f>(100*Data!R28)</f>
        <v>0</v>
      </c>
      <c r="D33" s="141">
        <f>ROUND(Data!Q28*C33, 0)</f>
        <v>0</v>
      </c>
      <c r="E33" s="141">
        <f>(100*Data!T28)</f>
        <v>0</v>
      </c>
      <c r="F33" s="141">
        <f>E33*Data!S28</f>
        <v>0</v>
      </c>
      <c r="G33" s="142">
        <f>ROUND(Inputs!$E$21*Data!W28*B33, 0)</f>
        <v>3509465</v>
      </c>
      <c r="H33" s="143">
        <f>IF(G33=0, 0,IF(Inputs!$E$30="Yes", IF(Data!D28=1, MAX(Outputs!D33+Outputs!F33+Outputs!G33, Data!AE28), Outputs!D33+Outputs!F33+Outputs!G33), Outputs!D33+Outputs!F33+Outputs!G33))</f>
        <v>3509465</v>
      </c>
      <c r="I33" s="143">
        <f>INDEX('FY 22 OFA Shell'!$AQ$27:$AQ$195,MATCH(Outputs!A33,'FY 22 OFA Shell'!$I$27:$I$195,0))</f>
        <v>3509465</v>
      </c>
      <c r="J33" s="129">
        <f>H33-Data!AT28</f>
        <v>752052.02779999981</v>
      </c>
      <c r="K33" s="127">
        <f>((H33)/(Data!AT28)) - 1</f>
        <v>0.27273826422887093</v>
      </c>
      <c r="L33" s="127">
        <f t="shared" si="46"/>
        <v>0</v>
      </c>
      <c r="M33" s="143">
        <f>(IF(Inputs!$E$30="Yes",INDEX(Data!AT:AT,MATCH(Outputs!A33,Data!A:A,0)),INDEX(Data!AS:AS,MATCH(Outputs!A33,Data!A:A,0))))</f>
        <v>2757412.9722000002</v>
      </c>
      <c r="N33" s="143">
        <f>IF(Inputs!$E$30="Yes",INDEX(Data!BN:BN,MATCH(Outputs!$A33,Data!$A:$A,0)),INDEX(Data!BE:BE,MATCH(Outputs!$A33,Data!$A:$A,0)))</f>
        <v>2895738.9444000004</v>
      </c>
      <c r="O33" s="143">
        <f>IF(Inputs!$E$30="Yes",INDEX(Data!BO:BO,MATCH(Outputs!$A33,Data!$A:$A,0)),INDEX(Data!BF:BF,MATCH(Outputs!$A33,Data!$A:$A,0)))</f>
        <v>3034064.9166000006</v>
      </c>
      <c r="P33" s="143">
        <f>IF(Inputs!$E$30="Yes",INDEX(Data!BP:BP,MATCH(Outputs!$A33,Data!$A:$A,0)),INDEX(Data!BG:BG,MATCH(Outputs!$A33,Data!$A:$A,0)))</f>
        <v>3172390.8888000008</v>
      </c>
      <c r="Q33" s="143">
        <f>IF(Inputs!$E$30="Yes",INDEX(Data!BQ:BQ,MATCH(Outputs!$A33,Data!$A:$A,0)),INDEX(Data!BH:BH,MATCH(Outputs!$A33,Data!$A:$A,0)))</f>
        <v>3310716.861000001</v>
      </c>
      <c r="R33" s="143">
        <f>IF(Inputs!$E$30="Yes",INDEX(Data!BR:BR,MATCH(Outputs!$A33,Data!$A:$A,0)),INDEX(Data!BI:BI,MATCH(Outputs!$A33,Data!$A:$A,0)))</f>
        <v>3449042.8332000012</v>
      </c>
      <c r="S33" s="143">
        <f>IF(Inputs!$E$30="Yes",INDEX(Data!BS:BS,MATCH(Outputs!$A33,Data!$A:$A,0)),INDEX(Data!BJ:BJ,MATCH(Outputs!$A33,Data!$A:$A,0)))</f>
        <v>3509465</v>
      </c>
      <c r="T33" s="143">
        <f>IF(Inputs!$E$30="Yes",INDEX(Data!BT:BT,MATCH(Outputs!$A33,Data!$A:$A,0)),INDEX(Data!BK:BK,MATCH(Outputs!$A33,Data!$A:$A,0)))</f>
        <v>3509465</v>
      </c>
      <c r="U33" s="143">
        <f>IF(Inputs!$E$30="Yes",INDEX(Data!BU:BU,MATCH(Outputs!$A33,Data!$A:$A,0)),INDEX(Data!BL:BL,MATCH(Outputs!$A33,Data!$A:$A,0)))</f>
        <v>3509465</v>
      </c>
      <c r="V33" s="143">
        <f>INDEX('FY 22 OFA Shell'!$AX$27:$AX$195,MATCH(Outputs!A33,'FY 22 OFA Shell'!$I$27:$I$195,0))</f>
        <v>2757412.9722000002</v>
      </c>
      <c r="W33" s="143">
        <f>INDEX('FY 23 OFA Shell'!$AX$27:$AX$195,MATCH(Outputs!A33,'FY 23 OFA Shell'!$I$27:$I$195,0))</f>
        <v>2895738.9444000004</v>
      </c>
      <c r="X33" s="143">
        <f>INDEX('FY 23 OFA Shell'!BK$27:BK$195,MATCH(Outputs!$A33,'FY 23 OFA Shell'!$I$27:$I$195,0))</f>
        <v>3034064.9166000006</v>
      </c>
      <c r="Y33" s="143">
        <f>INDEX('FY 23 OFA Shell'!BL$27:BL$195,MATCH(Outputs!$A33,'FY 23 OFA Shell'!$I$27:$I$195,0))</f>
        <v>3172390.8888000008</v>
      </c>
      <c r="Z33" s="143">
        <f>INDEX('FY 23 OFA Shell'!BM$27:BM$195,MATCH(Outputs!$A33,'FY 23 OFA Shell'!$I$27:$I$195,0))</f>
        <v>3310716.861000001</v>
      </c>
      <c r="AA33" s="143">
        <f>INDEX('FY 23 OFA Shell'!BN$27:BN$195,MATCH(Outputs!$A33,'FY 23 OFA Shell'!$I$27:$I$195,0))</f>
        <v>3449042.8332000012</v>
      </c>
      <c r="AB33" s="143">
        <f>INDEX('FY 23 OFA Shell'!BO$27:BO$195,MATCH(Outputs!$A33,'FY 23 OFA Shell'!$I$27:$I$195,0))</f>
        <v>3509465</v>
      </c>
      <c r="AC33" s="143">
        <f>INDEX('FY 23 OFA Shell'!BP$27:BP$195,MATCH(Outputs!$A33,'FY 23 OFA Shell'!$I$27:$I$195,0))</f>
        <v>3509465</v>
      </c>
      <c r="AD33" s="143">
        <f>INDEX('FY 23 OFA Shell'!BQ$27:BQ$195,MATCH(Outputs!$A33,'FY 23 OFA Shell'!$I$27:$I$195,0))</f>
        <v>3509465</v>
      </c>
      <c r="AE33" s="129">
        <f t="shared" si="49"/>
        <v>0</v>
      </c>
      <c r="AF33" s="129">
        <f t="shared" si="50"/>
        <v>0</v>
      </c>
      <c r="AG33" s="129">
        <f t="shared" si="51"/>
        <v>0</v>
      </c>
      <c r="AH33" s="129">
        <f t="shared" si="52"/>
        <v>0</v>
      </c>
      <c r="AI33" s="129">
        <f t="shared" si="53"/>
        <v>0</v>
      </c>
      <c r="AJ33" s="129">
        <f t="shared" si="54"/>
        <v>0</v>
      </c>
      <c r="AK33" s="129">
        <f t="shared" si="55"/>
        <v>0</v>
      </c>
      <c r="AL33" s="129">
        <f t="shared" si="56"/>
        <v>0</v>
      </c>
      <c r="AM33" s="129">
        <f t="shared" si="57"/>
        <v>0</v>
      </c>
      <c r="AN33" s="127">
        <f t="shared" si="58"/>
        <v>0</v>
      </c>
      <c r="AO33" s="127">
        <f t="shared" si="59"/>
        <v>0</v>
      </c>
      <c r="AP33" s="127">
        <f t="shared" si="60"/>
        <v>0</v>
      </c>
      <c r="AQ33" s="127">
        <f t="shared" si="61"/>
        <v>0</v>
      </c>
      <c r="AR33" s="127">
        <f t="shared" si="62"/>
        <v>0</v>
      </c>
      <c r="AS33" s="127">
        <f t="shared" si="63"/>
        <v>0</v>
      </c>
      <c r="AT33" s="127">
        <f t="shared" si="64"/>
        <v>0</v>
      </c>
      <c r="AU33" s="127">
        <f t="shared" si="65"/>
        <v>0</v>
      </c>
      <c r="AV33" s="127">
        <f t="shared" si="66"/>
        <v>0</v>
      </c>
    </row>
    <row r="34" spans="1:48" x14ac:dyDescent="0.15">
      <c r="A34" s="29" t="s">
        <v>25</v>
      </c>
      <c r="B34" s="30">
        <f>IF(Data!D29=1, MAX(Data!AA29, Inputs!$E$25) + INDEX(Inputs!$D$38:$D$42, MATCH( Data!AD29, Inputs!$B$38:$B$42, 0), 0), MAX(Data!AA29, Inputs!$E$26) +  INDEX(Inputs!$D$38:$D$42, MATCH( Data!AD29, Inputs!$B$38:$B$42, 0), 0))</f>
        <v>0.69878499999999999</v>
      </c>
      <c r="C34" s="141">
        <f>(100*Data!R29)</f>
        <v>0</v>
      </c>
      <c r="D34" s="141">
        <f>ROUND(Data!Q29*C34, 0)</f>
        <v>0</v>
      </c>
      <c r="E34" s="141">
        <f>(100*Data!T29)</f>
        <v>0</v>
      </c>
      <c r="F34" s="141">
        <f>E34*Data!S29</f>
        <v>0</v>
      </c>
      <c r="G34" s="142">
        <f>ROUND(Inputs!$E$21*Data!W29*B34, 0)</f>
        <v>195458672</v>
      </c>
      <c r="H34" s="143">
        <f>IF(G34=0, 0,IF(Inputs!$E$30="Yes", IF(Data!D29=1, MAX(Outputs!D34+Outputs!F34+Outputs!G34, Data!AE29), Outputs!D34+Outputs!F34+Outputs!G34), Outputs!D34+Outputs!F34+Outputs!G34))</f>
        <v>195458672</v>
      </c>
      <c r="I34" s="143">
        <f>INDEX('FY 22 OFA Shell'!$AQ$27:$AQ$195,MATCH(Outputs!A34,'FY 22 OFA Shell'!$I$27:$I$195,0))</f>
        <v>195458672</v>
      </c>
      <c r="J34" s="129">
        <f>H34-Data!AT29</f>
        <v>6514234.1387999952</v>
      </c>
      <c r="K34" s="127">
        <f>((H34)/(Data!AT29)) - 1</f>
        <v>3.4476982823836266E-2</v>
      </c>
      <c r="L34" s="127">
        <f t="shared" si="46"/>
        <v>0</v>
      </c>
      <c r="M34" s="143">
        <f>(IF(Inputs!$E$30="Yes",INDEX(Data!AT:AT,MATCH(Outputs!A34,Data!A:A,0)),INDEX(Data!AS:AS,MATCH(Outputs!A34,Data!A:A,0))))</f>
        <v>188944437.8612</v>
      </c>
      <c r="N34" s="143">
        <f>IF(Inputs!$E$30="Yes",INDEX(Data!BN:BN,MATCH(Outputs!$A34,Data!$A:$A,0)),INDEX(Data!BE:BE,MATCH(Outputs!$A34,Data!$A:$A,0)))</f>
        <v>190474497.72240001</v>
      </c>
      <c r="O34" s="143">
        <f>IF(Inputs!$E$30="Yes",INDEX(Data!BO:BO,MATCH(Outputs!$A34,Data!$A:$A,0)),INDEX(Data!BF:BF,MATCH(Outputs!$A34,Data!$A:$A,0)))</f>
        <v>192004557.58360001</v>
      </c>
      <c r="P34" s="143">
        <f>IF(Inputs!$E$30="Yes",INDEX(Data!BP:BP,MATCH(Outputs!$A34,Data!$A:$A,0)),INDEX(Data!BG:BG,MATCH(Outputs!$A34,Data!$A:$A,0)))</f>
        <v>193534617.44480002</v>
      </c>
      <c r="Q34" s="143">
        <f>IF(Inputs!$E$30="Yes",INDEX(Data!BQ:BQ,MATCH(Outputs!$A34,Data!$A:$A,0)),INDEX(Data!BH:BH,MATCH(Outputs!$A34,Data!$A:$A,0)))</f>
        <v>195064677.30600002</v>
      </c>
      <c r="R34" s="143">
        <f>IF(Inputs!$E$30="Yes",INDEX(Data!BR:BR,MATCH(Outputs!$A34,Data!$A:$A,0)),INDEX(Data!BI:BI,MATCH(Outputs!$A34,Data!$A:$A,0)))</f>
        <v>196594737.16720003</v>
      </c>
      <c r="S34" s="143">
        <f>IF(Inputs!$E$30="Yes",INDEX(Data!BS:BS,MATCH(Outputs!$A34,Data!$A:$A,0)),INDEX(Data!BJ:BJ,MATCH(Outputs!$A34,Data!$A:$A,0)))</f>
        <v>195458672</v>
      </c>
      <c r="T34" s="143">
        <f>IF(Inputs!$E$30="Yes",INDEX(Data!BT:BT,MATCH(Outputs!$A34,Data!$A:$A,0)),INDEX(Data!BK:BK,MATCH(Outputs!$A34,Data!$A:$A,0)))</f>
        <v>195458672</v>
      </c>
      <c r="U34" s="143">
        <f>IF(Inputs!$E$30="Yes",INDEX(Data!BU:BU,MATCH(Outputs!$A34,Data!$A:$A,0)),INDEX(Data!BL:BL,MATCH(Outputs!$A34,Data!$A:$A,0)))</f>
        <v>195458672</v>
      </c>
      <c r="V34" s="143">
        <f>INDEX('FY 22 OFA Shell'!$AX$27:$AX$195,MATCH(Outputs!A34,'FY 22 OFA Shell'!$I$27:$I$195,0))</f>
        <v>188944437.8612</v>
      </c>
      <c r="W34" s="143">
        <f>INDEX('FY 23 OFA Shell'!$AX$27:$AX$195,MATCH(Outputs!A34,'FY 23 OFA Shell'!$I$27:$I$195,0))</f>
        <v>190474497.72240001</v>
      </c>
      <c r="X34" s="143">
        <f>INDEX('FY 23 OFA Shell'!BK$27:BK$195,MATCH(Outputs!$A34,'FY 23 OFA Shell'!$I$27:$I$195,0))</f>
        <v>192004557.58360001</v>
      </c>
      <c r="Y34" s="143">
        <f>INDEX('FY 23 OFA Shell'!BL$27:BL$195,MATCH(Outputs!$A34,'FY 23 OFA Shell'!$I$27:$I$195,0))</f>
        <v>193534617.44480002</v>
      </c>
      <c r="Z34" s="143">
        <f>INDEX('FY 23 OFA Shell'!BM$27:BM$195,MATCH(Outputs!$A34,'FY 23 OFA Shell'!$I$27:$I$195,0))</f>
        <v>195064677.30600002</v>
      </c>
      <c r="AA34" s="143">
        <f>INDEX('FY 23 OFA Shell'!BN$27:BN$195,MATCH(Outputs!$A34,'FY 23 OFA Shell'!$I$27:$I$195,0))</f>
        <v>196594737.16720003</v>
      </c>
      <c r="AB34" s="143">
        <f>INDEX('FY 23 OFA Shell'!BO$27:BO$195,MATCH(Outputs!$A34,'FY 23 OFA Shell'!$I$27:$I$195,0))</f>
        <v>195458672</v>
      </c>
      <c r="AC34" s="143">
        <f>INDEX('FY 23 OFA Shell'!BP$27:BP$195,MATCH(Outputs!$A34,'FY 23 OFA Shell'!$I$27:$I$195,0))</f>
        <v>195458672</v>
      </c>
      <c r="AD34" s="143">
        <f>INDEX('FY 23 OFA Shell'!BQ$27:BQ$195,MATCH(Outputs!$A34,'FY 23 OFA Shell'!$I$27:$I$195,0))</f>
        <v>195458672</v>
      </c>
      <c r="AE34" s="129">
        <f t="shared" si="49"/>
        <v>0</v>
      </c>
      <c r="AF34" s="129">
        <f t="shared" si="50"/>
        <v>0</v>
      </c>
      <c r="AG34" s="129">
        <f t="shared" si="51"/>
        <v>0</v>
      </c>
      <c r="AH34" s="129">
        <f t="shared" si="52"/>
        <v>0</v>
      </c>
      <c r="AI34" s="129">
        <f t="shared" si="53"/>
        <v>0</v>
      </c>
      <c r="AJ34" s="129">
        <f t="shared" si="54"/>
        <v>0</v>
      </c>
      <c r="AK34" s="129">
        <f t="shared" si="55"/>
        <v>0</v>
      </c>
      <c r="AL34" s="129">
        <f t="shared" si="56"/>
        <v>0</v>
      </c>
      <c r="AM34" s="129">
        <f t="shared" si="57"/>
        <v>0</v>
      </c>
      <c r="AN34" s="127">
        <f t="shared" si="58"/>
        <v>0</v>
      </c>
      <c r="AO34" s="127">
        <f t="shared" si="59"/>
        <v>0</v>
      </c>
      <c r="AP34" s="127">
        <f t="shared" si="60"/>
        <v>0</v>
      </c>
      <c r="AQ34" s="127">
        <f t="shared" si="61"/>
        <v>0</v>
      </c>
      <c r="AR34" s="127">
        <f t="shared" si="62"/>
        <v>0</v>
      </c>
      <c r="AS34" s="127">
        <f t="shared" si="63"/>
        <v>0</v>
      </c>
      <c r="AT34" s="127">
        <f t="shared" si="64"/>
        <v>0</v>
      </c>
      <c r="AU34" s="127">
        <f t="shared" si="65"/>
        <v>0</v>
      </c>
      <c r="AV34" s="127">
        <f t="shared" si="66"/>
        <v>0</v>
      </c>
    </row>
    <row r="35" spans="1:48" x14ac:dyDescent="0.15">
      <c r="A35" s="29" t="s">
        <v>26</v>
      </c>
      <c r="B35" s="30">
        <f>IF(Data!D30=1, MAX(Data!AA30, Inputs!$E$25) + INDEX(Inputs!$D$38:$D$42, MATCH( Data!AD30, Inputs!$B$38:$B$42, 0), 0), MAX(Data!AA30, Inputs!$E$26) +  INDEX(Inputs!$D$38:$D$42, MATCH( Data!AD30, Inputs!$B$38:$B$42, 0), 0))</f>
        <v>0.01</v>
      </c>
      <c r="C35" s="141">
        <f>(100*Data!R30)</f>
        <v>1300</v>
      </c>
      <c r="D35" s="141">
        <f>ROUND(Data!Q30*C35, 0)</f>
        <v>145600</v>
      </c>
      <c r="E35" s="141">
        <f>(100*Data!T30)</f>
        <v>0</v>
      </c>
      <c r="F35" s="141">
        <f>E35*Data!S30</f>
        <v>0</v>
      </c>
      <c r="G35" s="142">
        <f>ROUND(Inputs!$E$21*Data!W30*B35, 0)</f>
        <v>13288</v>
      </c>
      <c r="H35" s="143">
        <f>IF(G35=0, 0,IF(Inputs!$E$30="Yes", IF(Data!D30=1, MAX(Outputs!D35+Outputs!F35+Outputs!G35, Data!AE30), Outputs!D35+Outputs!F35+Outputs!G35), Outputs!D35+Outputs!F35+Outputs!G35))</f>
        <v>158888</v>
      </c>
      <c r="I35" s="143">
        <f>INDEX('FY 22 OFA Shell'!$AQ$27:$AQ$195,MATCH(Outputs!A35,'FY 22 OFA Shell'!$I$27:$I$195,0))</f>
        <v>158888</v>
      </c>
      <c r="J35" s="129">
        <f>H35-Data!AT30</f>
        <v>120839.8316</v>
      </c>
      <c r="K35" s="127">
        <f>((H35)/(Data!AT30)) - 1</f>
        <v>3.1759697426065845</v>
      </c>
      <c r="L35" s="127">
        <f t="shared" si="46"/>
        <v>0</v>
      </c>
      <c r="M35" s="143">
        <f>(IF(Inputs!$E$30="Yes",INDEX(Data!AT:AT,MATCH(Outputs!A35,Data!A:A,0)),INDEX(Data!AS:AS,MATCH(Outputs!A35,Data!A:A,0))))</f>
        <v>38048.168400000002</v>
      </c>
      <c r="N35" s="143">
        <f>IF(Inputs!$E$30="Yes",INDEX(Data!BN:BN,MATCH(Outputs!$A35,Data!$A:$A,0)),INDEX(Data!BE:BE,MATCH(Outputs!$A35,Data!$A:$A,0)))</f>
        <v>52532.336800000005</v>
      </c>
      <c r="O35" s="143">
        <f>IF(Inputs!$E$30="Yes",INDEX(Data!BO:BO,MATCH(Outputs!$A35,Data!$A:$A,0)),INDEX(Data!BF:BF,MATCH(Outputs!$A35,Data!$A:$A,0)))</f>
        <v>67016.5052</v>
      </c>
      <c r="P35" s="143">
        <f>IF(Inputs!$E$30="Yes",INDEX(Data!BP:BP,MATCH(Outputs!$A35,Data!$A:$A,0)),INDEX(Data!BG:BG,MATCH(Outputs!$A35,Data!$A:$A,0)))</f>
        <v>81500.673599999995</v>
      </c>
      <c r="Q35" s="143">
        <f>IF(Inputs!$E$30="Yes",INDEX(Data!BQ:BQ,MATCH(Outputs!$A35,Data!$A:$A,0)),INDEX(Data!BH:BH,MATCH(Outputs!$A35,Data!$A:$A,0)))</f>
        <v>95984.84199999999</v>
      </c>
      <c r="R35" s="143">
        <f>IF(Inputs!$E$30="Yes",INDEX(Data!BR:BR,MATCH(Outputs!$A35,Data!$A:$A,0)),INDEX(Data!BI:BI,MATCH(Outputs!$A35,Data!$A:$A,0)))</f>
        <v>110469.01039999998</v>
      </c>
      <c r="S35" s="143">
        <f>IF(Inputs!$E$30="Yes",INDEX(Data!BS:BS,MATCH(Outputs!$A35,Data!$A:$A,0)),INDEX(Data!BJ:BJ,MATCH(Outputs!$A35,Data!$A:$A,0)))</f>
        <v>158888</v>
      </c>
      <c r="T35" s="143">
        <f>IF(Inputs!$E$30="Yes",INDEX(Data!BT:BT,MATCH(Outputs!$A35,Data!$A:$A,0)),INDEX(Data!BK:BK,MATCH(Outputs!$A35,Data!$A:$A,0)))</f>
        <v>158888</v>
      </c>
      <c r="U35" s="143">
        <f>IF(Inputs!$E$30="Yes",INDEX(Data!BU:BU,MATCH(Outputs!$A35,Data!$A:$A,0)),INDEX(Data!BL:BL,MATCH(Outputs!$A35,Data!$A:$A,0)))</f>
        <v>158888</v>
      </c>
      <c r="V35" s="143">
        <f>INDEX('FY 22 OFA Shell'!$AX$27:$AX$195,MATCH(Outputs!A35,'FY 22 OFA Shell'!$I$27:$I$195,0))</f>
        <v>38048.168400000002</v>
      </c>
      <c r="W35" s="143">
        <f>INDEX('FY 23 OFA Shell'!$AX$27:$AX$195,MATCH(Outputs!A35,'FY 23 OFA Shell'!$I$27:$I$195,0))</f>
        <v>52532.336800000005</v>
      </c>
      <c r="X35" s="143">
        <f>INDEX('FY 23 OFA Shell'!BK$27:BK$195,MATCH(Outputs!$A35,'FY 23 OFA Shell'!$I$27:$I$195,0))</f>
        <v>67016.5052</v>
      </c>
      <c r="Y35" s="143">
        <f>INDEX('FY 23 OFA Shell'!BL$27:BL$195,MATCH(Outputs!$A35,'FY 23 OFA Shell'!$I$27:$I$195,0))</f>
        <v>81500.673599999995</v>
      </c>
      <c r="Z35" s="143">
        <f>INDEX('FY 23 OFA Shell'!BM$27:BM$195,MATCH(Outputs!$A35,'FY 23 OFA Shell'!$I$27:$I$195,0))</f>
        <v>95984.84199999999</v>
      </c>
      <c r="AA35" s="143">
        <f>INDEX('FY 23 OFA Shell'!BN$27:BN$195,MATCH(Outputs!$A35,'FY 23 OFA Shell'!$I$27:$I$195,0))</f>
        <v>110469.01039999998</v>
      </c>
      <c r="AB35" s="143">
        <f>INDEX('FY 23 OFA Shell'!BO$27:BO$195,MATCH(Outputs!$A35,'FY 23 OFA Shell'!$I$27:$I$195,0))</f>
        <v>158888</v>
      </c>
      <c r="AC35" s="143">
        <f>INDEX('FY 23 OFA Shell'!BP$27:BP$195,MATCH(Outputs!$A35,'FY 23 OFA Shell'!$I$27:$I$195,0))</f>
        <v>158888</v>
      </c>
      <c r="AD35" s="143">
        <f>INDEX('FY 23 OFA Shell'!BQ$27:BQ$195,MATCH(Outputs!$A35,'FY 23 OFA Shell'!$I$27:$I$195,0))</f>
        <v>158888</v>
      </c>
      <c r="AE35" s="129">
        <f t="shared" si="49"/>
        <v>0</v>
      </c>
      <c r="AF35" s="129">
        <f t="shared" si="50"/>
        <v>0</v>
      </c>
      <c r="AG35" s="129">
        <f t="shared" si="51"/>
        <v>0</v>
      </c>
      <c r="AH35" s="129">
        <f t="shared" si="52"/>
        <v>0</v>
      </c>
      <c r="AI35" s="129">
        <f t="shared" si="53"/>
        <v>0</v>
      </c>
      <c r="AJ35" s="129">
        <f t="shared" si="54"/>
        <v>0</v>
      </c>
      <c r="AK35" s="129">
        <f t="shared" si="55"/>
        <v>0</v>
      </c>
      <c r="AL35" s="129">
        <f t="shared" si="56"/>
        <v>0</v>
      </c>
      <c r="AM35" s="129">
        <f t="shared" si="57"/>
        <v>0</v>
      </c>
      <c r="AN35" s="127">
        <f t="shared" si="58"/>
        <v>0</v>
      </c>
      <c r="AO35" s="127">
        <f t="shared" si="59"/>
        <v>0</v>
      </c>
      <c r="AP35" s="127">
        <f t="shared" si="60"/>
        <v>0</v>
      </c>
      <c r="AQ35" s="127">
        <f t="shared" si="61"/>
        <v>0</v>
      </c>
      <c r="AR35" s="127">
        <f t="shared" si="62"/>
        <v>0</v>
      </c>
      <c r="AS35" s="127">
        <f t="shared" si="63"/>
        <v>0</v>
      </c>
      <c r="AT35" s="127">
        <f t="shared" si="64"/>
        <v>0</v>
      </c>
      <c r="AU35" s="127">
        <f t="shared" si="65"/>
        <v>0</v>
      </c>
      <c r="AV35" s="127">
        <f t="shared" si="66"/>
        <v>0</v>
      </c>
    </row>
    <row r="36" spans="1:48" x14ac:dyDescent="0.15">
      <c r="A36" s="29" t="s">
        <v>27</v>
      </c>
      <c r="B36" s="30">
        <f>IF(Data!D31=1, MAX(Data!AA31, Inputs!$E$25) + INDEX(Inputs!$D$38:$D$42, MATCH( Data!AD31, Inputs!$B$38:$B$42, 0), 0), MAX(Data!AA31, Inputs!$E$26) +  INDEX(Inputs!$D$38:$D$42, MATCH( Data!AD31, Inputs!$B$38:$B$42, 0), 0))</f>
        <v>0.47968699999999997</v>
      </c>
      <c r="C36" s="141">
        <f>(100*Data!R31)</f>
        <v>0</v>
      </c>
      <c r="D36" s="141">
        <f>ROUND(Data!Q31*C36, 0)</f>
        <v>0</v>
      </c>
      <c r="E36" s="141">
        <f>(100*Data!T31)</f>
        <v>0</v>
      </c>
      <c r="F36" s="141">
        <f>E36*Data!S31</f>
        <v>0</v>
      </c>
      <c r="G36" s="142">
        <f>ROUND(Inputs!$E$21*Data!W31*B36, 0)</f>
        <v>51585156</v>
      </c>
      <c r="H36" s="143">
        <f>IF(G36=0, 0,IF(Inputs!$E$30="Yes", IF(Data!D31=1, MAX(Outputs!D36+Outputs!F36+Outputs!G36, Data!AE31), Outputs!D36+Outputs!F36+Outputs!G36), Outputs!D36+Outputs!F36+Outputs!G36))</f>
        <v>51585156</v>
      </c>
      <c r="I36" s="143">
        <f>INDEX('FY 22 OFA Shell'!$AQ$27:$AQ$195,MATCH(Outputs!A36,'FY 22 OFA Shell'!$I$27:$I$195,0))</f>
        <v>51585156</v>
      </c>
      <c r="J36" s="129">
        <f>H36-Data!AT31</f>
        <v>3443014.2320000008</v>
      </c>
      <c r="K36" s="127">
        <f>((H36)/(Data!AT31)) - 1</f>
        <v>7.1517678806067631E-2</v>
      </c>
      <c r="L36" s="127">
        <f t="shared" si="46"/>
        <v>0</v>
      </c>
      <c r="M36" s="143">
        <f>(IF(Inputs!$E$30="Yes",INDEX(Data!AT:AT,MATCH(Outputs!A36,Data!A:A,0)),INDEX(Data!AS:AS,MATCH(Outputs!A36,Data!A:A,0))))</f>
        <v>48142141.767999999</v>
      </c>
      <c r="N36" s="143">
        <f>IF(Inputs!$E$30="Yes",INDEX(Data!BN:BN,MATCH(Outputs!$A36,Data!$A:$A,0)),INDEX(Data!BE:BE,MATCH(Outputs!$A36,Data!$A:$A,0)))</f>
        <v>48859717.535999998</v>
      </c>
      <c r="O36" s="143">
        <f>IF(Inputs!$E$30="Yes",INDEX(Data!BO:BO,MATCH(Outputs!$A36,Data!$A:$A,0)),INDEX(Data!BF:BF,MATCH(Outputs!$A36,Data!$A:$A,0)))</f>
        <v>49577293.303999998</v>
      </c>
      <c r="P36" s="143">
        <f>IF(Inputs!$E$30="Yes",INDEX(Data!BP:BP,MATCH(Outputs!$A36,Data!$A:$A,0)),INDEX(Data!BG:BG,MATCH(Outputs!$A36,Data!$A:$A,0)))</f>
        <v>50294869.071999997</v>
      </c>
      <c r="Q36" s="143">
        <f>IF(Inputs!$E$30="Yes",INDEX(Data!BQ:BQ,MATCH(Outputs!$A36,Data!$A:$A,0)),INDEX(Data!BH:BH,MATCH(Outputs!$A36,Data!$A:$A,0)))</f>
        <v>51012444.839999996</v>
      </c>
      <c r="R36" s="143">
        <f>IF(Inputs!$E$30="Yes",INDEX(Data!BR:BR,MATCH(Outputs!$A36,Data!$A:$A,0)),INDEX(Data!BI:BI,MATCH(Outputs!$A36,Data!$A:$A,0)))</f>
        <v>51730020.607999995</v>
      </c>
      <c r="S36" s="143">
        <f>IF(Inputs!$E$30="Yes",INDEX(Data!BS:BS,MATCH(Outputs!$A36,Data!$A:$A,0)),INDEX(Data!BJ:BJ,MATCH(Outputs!$A36,Data!$A:$A,0)))</f>
        <v>51585156</v>
      </c>
      <c r="T36" s="143">
        <f>IF(Inputs!$E$30="Yes",INDEX(Data!BT:BT,MATCH(Outputs!$A36,Data!$A:$A,0)),INDEX(Data!BK:BK,MATCH(Outputs!$A36,Data!$A:$A,0)))</f>
        <v>51585156</v>
      </c>
      <c r="U36" s="143">
        <f>IF(Inputs!$E$30="Yes",INDEX(Data!BU:BU,MATCH(Outputs!$A36,Data!$A:$A,0)),INDEX(Data!BL:BL,MATCH(Outputs!$A36,Data!$A:$A,0)))</f>
        <v>51585156</v>
      </c>
      <c r="V36" s="143">
        <f>INDEX('FY 22 OFA Shell'!$AX$27:$AX$195,MATCH(Outputs!A36,'FY 22 OFA Shell'!$I$27:$I$195,0))</f>
        <v>48142141.767999999</v>
      </c>
      <c r="W36" s="143">
        <f>INDEX('FY 23 OFA Shell'!$AX$27:$AX$195,MATCH(Outputs!A36,'FY 23 OFA Shell'!$I$27:$I$195,0))</f>
        <v>48859717.535999998</v>
      </c>
      <c r="X36" s="143">
        <f>INDEX('FY 23 OFA Shell'!BK$27:BK$195,MATCH(Outputs!$A36,'FY 23 OFA Shell'!$I$27:$I$195,0))</f>
        <v>49577293.303999998</v>
      </c>
      <c r="Y36" s="143">
        <f>INDEX('FY 23 OFA Shell'!BL$27:BL$195,MATCH(Outputs!$A36,'FY 23 OFA Shell'!$I$27:$I$195,0))</f>
        <v>50294869.071999997</v>
      </c>
      <c r="Z36" s="143">
        <f>INDEX('FY 23 OFA Shell'!BM$27:BM$195,MATCH(Outputs!$A36,'FY 23 OFA Shell'!$I$27:$I$195,0))</f>
        <v>51012444.839999996</v>
      </c>
      <c r="AA36" s="143">
        <f>INDEX('FY 23 OFA Shell'!BN$27:BN$195,MATCH(Outputs!$A36,'FY 23 OFA Shell'!$I$27:$I$195,0))</f>
        <v>51730020.607999995</v>
      </c>
      <c r="AB36" s="143">
        <f>INDEX('FY 23 OFA Shell'!BO$27:BO$195,MATCH(Outputs!$A36,'FY 23 OFA Shell'!$I$27:$I$195,0))</f>
        <v>51585156</v>
      </c>
      <c r="AC36" s="143">
        <f>INDEX('FY 23 OFA Shell'!BP$27:BP$195,MATCH(Outputs!$A36,'FY 23 OFA Shell'!$I$27:$I$195,0))</f>
        <v>51585156</v>
      </c>
      <c r="AD36" s="143">
        <f>INDEX('FY 23 OFA Shell'!BQ$27:BQ$195,MATCH(Outputs!$A36,'FY 23 OFA Shell'!$I$27:$I$195,0))</f>
        <v>51585156</v>
      </c>
      <c r="AE36" s="129">
        <f t="shared" si="49"/>
        <v>0</v>
      </c>
      <c r="AF36" s="129">
        <f t="shared" si="50"/>
        <v>0</v>
      </c>
      <c r="AG36" s="129">
        <f t="shared" si="51"/>
        <v>0</v>
      </c>
      <c r="AH36" s="129">
        <f t="shared" si="52"/>
        <v>0</v>
      </c>
      <c r="AI36" s="129">
        <f t="shared" si="53"/>
        <v>0</v>
      </c>
      <c r="AJ36" s="129">
        <f t="shared" si="54"/>
        <v>0</v>
      </c>
      <c r="AK36" s="129">
        <f t="shared" si="55"/>
        <v>0</v>
      </c>
      <c r="AL36" s="129">
        <f t="shared" si="56"/>
        <v>0</v>
      </c>
      <c r="AM36" s="129">
        <f t="shared" si="57"/>
        <v>0</v>
      </c>
      <c r="AN36" s="127">
        <f t="shared" si="58"/>
        <v>0</v>
      </c>
      <c r="AO36" s="127">
        <f t="shared" si="59"/>
        <v>0</v>
      </c>
      <c r="AP36" s="127">
        <f t="shared" si="60"/>
        <v>0</v>
      </c>
      <c r="AQ36" s="127">
        <f t="shared" si="61"/>
        <v>0</v>
      </c>
      <c r="AR36" s="127">
        <f t="shared" si="62"/>
        <v>0</v>
      </c>
      <c r="AS36" s="127">
        <f t="shared" si="63"/>
        <v>0</v>
      </c>
      <c r="AT36" s="127">
        <f t="shared" si="64"/>
        <v>0</v>
      </c>
      <c r="AU36" s="127">
        <f t="shared" si="65"/>
        <v>0</v>
      </c>
      <c r="AV36" s="127">
        <f t="shared" si="66"/>
        <v>0</v>
      </c>
    </row>
    <row r="37" spans="1:48" x14ac:dyDescent="0.15">
      <c r="A37" s="29" t="s">
        <v>28</v>
      </c>
      <c r="B37" s="30">
        <f>IF(Data!D32=1, MAX(Data!AA32, Inputs!$E$25) + INDEX(Inputs!$D$38:$D$42, MATCH( Data!AD32, Inputs!$B$38:$B$42, 0), 0), MAX(Data!AA32, Inputs!$E$26) +  INDEX(Inputs!$D$38:$D$42, MATCH( Data!AD32, Inputs!$B$38:$B$42, 0), 0))</f>
        <v>0.01</v>
      </c>
      <c r="C37" s="141">
        <f>(100*Data!R32)</f>
        <v>0</v>
      </c>
      <c r="D37" s="141">
        <f>ROUND(Data!Q32*C37, 0)</f>
        <v>0</v>
      </c>
      <c r="E37" s="141">
        <f>(100*Data!T32)</f>
        <v>0</v>
      </c>
      <c r="F37" s="141">
        <f>E37*Data!S32</f>
        <v>0</v>
      </c>
      <c r="G37" s="142">
        <f>ROUND(Inputs!$E$21*Data!W32*B37, 0)</f>
        <v>321144</v>
      </c>
      <c r="H37" s="143">
        <f>IF(G37=0, 0,IF(Inputs!$E$30="Yes", IF(Data!D32=1, MAX(Outputs!D37+Outputs!F37+Outputs!G37, Data!AE32), Outputs!D37+Outputs!F37+Outputs!G37), Outputs!D37+Outputs!F37+Outputs!G37))</f>
        <v>321144</v>
      </c>
      <c r="I37" s="143">
        <f>INDEX('FY 22 OFA Shell'!$AQ$27:$AQ$195,MATCH(Outputs!A37,'FY 22 OFA Shell'!$I$27:$I$195,0))</f>
        <v>321144</v>
      </c>
      <c r="J37" s="129">
        <f>H37-Data!AT32</f>
        <v>-641173</v>
      </c>
      <c r="K37" s="127">
        <f>((H37)/(Data!AT32)) - 1</f>
        <v>-0.6662804460484435</v>
      </c>
      <c r="L37" s="127">
        <f t="shared" si="46"/>
        <v>0</v>
      </c>
      <c r="M37" s="143">
        <f>(IF(Inputs!$E$30="Yes",INDEX(Data!AT:AT,MATCH(Outputs!A37,Data!A:A,0)),INDEX(Data!AS:AS,MATCH(Outputs!A37,Data!A:A,0))))</f>
        <v>962317</v>
      </c>
      <c r="N37" s="143">
        <f>IF(Inputs!$E$30="Yes",INDEX(Data!BN:BN,MATCH(Outputs!$A37,Data!$A:$A,0)),INDEX(Data!BE:BE,MATCH(Outputs!$A37,Data!$A:$A,0)))</f>
        <v>962317</v>
      </c>
      <c r="O37" s="143">
        <f>IF(Inputs!$E$30="Yes",INDEX(Data!BO:BO,MATCH(Outputs!$A37,Data!$A:$A,0)),INDEX(Data!BF:BF,MATCH(Outputs!$A37,Data!$A:$A,0)))</f>
        <v>870983.63130000001</v>
      </c>
      <c r="P37" s="143">
        <f>IF(Inputs!$E$30="Yes",INDEX(Data!BP:BP,MATCH(Outputs!$A37,Data!$A:$A,0)),INDEX(Data!BG:BG,MATCH(Outputs!$A37,Data!$A:$A,0)))</f>
        <v>779650.26260000002</v>
      </c>
      <c r="Q37" s="143">
        <f>IF(Inputs!$E$30="Yes",INDEX(Data!BQ:BQ,MATCH(Outputs!$A37,Data!$A:$A,0)),INDEX(Data!BH:BH,MATCH(Outputs!$A37,Data!$A:$A,0)))</f>
        <v>688316.89390000002</v>
      </c>
      <c r="R37" s="143">
        <f>IF(Inputs!$E$30="Yes",INDEX(Data!BR:BR,MATCH(Outputs!$A37,Data!$A:$A,0)),INDEX(Data!BI:BI,MATCH(Outputs!$A37,Data!$A:$A,0)))</f>
        <v>596983.52520000003</v>
      </c>
      <c r="S37" s="143">
        <f>IF(Inputs!$E$30="Yes",INDEX(Data!BS:BS,MATCH(Outputs!$A37,Data!$A:$A,0)),INDEX(Data!BJ:BJ,MATCH(Outputs!$A37,Data!$A:$A,0)))</f>
        <v>505650.15650000004</v>
      </c>
      <c r="T37" s="143">
        <f>IF(Inputs!$E$30="Yes",INDEX(Data!BT:BT,MATCH(Outputs!$A37,Data!$A:$A,0)),INDEX(Data!BK:BK,MATCH(Outputs!$A37,Data!$A:$A,0)))</f>
        <v>414316.78780000005</v>
      </c>
      <c r="U37" s="143">
        <f>IF(Inputs!$E$30="Yes",INDEX(Data!BU:BU,MATCH(Outputs!$A37,Data!$A:$A,0)),INDEX(Data!BL:BL,MATCH(Outputs!$A37,Data!$A:$A,0)))</f>
        <v>321144</v>
      </c>
      <c r="V37" s="143">
        <f>INDEX('FY 22 OFA Shell'!$AX$27:$AX$195,MATCH(Outputs!A37,'FY 22 OFA Shell'!$I$27:$I$195,0))</f>
        <v>962317</v>
      </c>
      <c r="W37" s="143">
        <f>INDEX('FY 23 OFA Shell'!$AX$27:$AX$195,MATCH(Outputs!A37,'FY 23 OFA Shell'!$I$27:$I$195,0))</f>
        <v>962317</v>
      </c>
      <c r="X37" s="143">
        <f>INDEX('FY 23 OFA Shell'!BK$27:BK$195,MATCH(Outputs!$A37,'FY 23 OFA Shell'!$I$27:$I$195,0))</f>
        <v>870983.63130000001</v>
      </c>
      <c r="Y37" s="143">
        <f>INDEX('FY 23 OFA Shell'!BL$27:BL$195,MATCH(Outputs!$A37,'FY 23 OFA Shell'!$I$27:$I$195,0))</f>
        <v>779650.26260000002</v>
      </c>
      <c r="Z37" s="143">
        <f>INDEX('FY 23 OFA Shell'!BM$27:BM$195,MATCH(Outputs!$A37,'FY 23 OFA Shell'!$I$27:$I$195,0))</f>
        <v>688316.89390000002</v>
      </c>
      <c r="AA37" s="143">
        <f>INDEX('FY 23 OFA Shell'!BN$27:BN$195,MATCH(Outputs!$A37,'FY 23 OFA Shell'!$I$27:$I$195,0))</f>
        <v>596983.52520000003</v>
      </c>
      <c r="AB37" s="143">
        <f>INDEX('FY 23 OFA Shell'!BO$27:BO$195,MATCH(Outputs!$A37,'FY 23 OFA Shell'!$I$27:$I$195,0))</f>
        <v>505650.15650000004</v>
      </c>
      <c r="AC37" s="143">
        <f>INDEX('FY 23 OFA Shell'!BP$27:BP$195,MATCH(Outputs!$A37,'FY 23 OFA Shell'!$I$27:$I$195,0))</f>
        <v>414316.78780000005</v>
      </c>
      <c r="AD37" s="143">
        <f>INDEX('FY 23 OFA Shell'!BQ$27:BQ$195,MATCH(Outputs!$A37,'FY 23 OFA Shell'!$I$27:$I$195,0))</f>
        <v>321144</v>
      </c>
      <c r="AE37" s="129">
        <f t="shared" si="49"/>
        <v>0</v>
      </c>
      <c r="AF37" s="129">
        <f t="shared" si="50"/>
        <v>0</v>
      </c>
      <c r="AG37" s="129">
        <f t="shared" si="51"/>
        <v>0</v>
      </c>
      <c r="AH37" s="129">
        <f t="shared" si="52"/>
        <v>0</v>
      </c>
      <c r="AI37" s="129">
        <f t="shared" si="53"/>
        <v>0</v>
      </c>
      <c r="AJ37" s="129">
        <f t="shared" si="54"/>
        <v>0</v>
      </c>
      <c r="AK37" s="129">
        <f t="shared" si="55"/>
        <v>0</v>
      </c>
      <c r="AL37" s="129">
        <f t="shared" si="56"/>
        <v>0</v>
      </c>
      <c r="AM37" s="129">
        <f t="shared" si="57"/>
        <v>0</v>
      </c>
      <c r="AN37" s="127">
        <f t="shared" si="58"/>
        <v>0</v>
      </c>
      <c r="AO37" s="127">
        <f t="shared" si="59"/>
        <v>0</v>
      </c>
      <c r="AP37" s="127">
        <f t="shared" si="60"/>
        <v>0</v>
      </c>
      <c r="AQ37" s="127">
        <f t="shared" si="61"/>
        <v>0</v>
      </c>
      <c r="AR37" s="127">
        <f t="shared" si="62"/>
        <v>0</v>
      </c>
      <c r="AS37" s="127">
        <f t="shared" si="63"/>
        <v>0</v>
      </c>
      <c r="AT37" s="127">
        <f t="shared" si="64"/>
        <v>0</v>
      </c>
      <c r="AU37" s="127">
        <f t="shared" si="65"/>
        <v>0</v>
      </c>
      <c r="AV37" s="127">
        <f t="shared" si="66"/>
        <v>0</v>
      </c>
    </row>
    <row r="38" spans="1:48" x14ac:dyDescent="0.15">
      <c r="A38" s="29" t="s">
        <v>29</v>
      </c>
      <c r="B38" s="30">
        <f>IF(Data!D33=1, MAX(Data!AA33, Inputs!$E$25) + INDEX(Inputs!$D$38:$D$42, MATCH( Data!AD33, Inputs!$B$38:$B$42, 0), 0), MAX(Data!AA33, Inputs!$E$26) +  INDEX(Inputs!$D$38:$D$42, MATCH( Data!AD33, Inputs!$B$38:$B$42, 0), 0))</f>
        <v>0.42213000000000001</v>
      </c>
      <c r="C38" s="141">
        <f>(100*Data!R33)</f>
        <v>0</v>
      </c>
      <c r="D38" s="141">
        <f>ROUND(Data!Q33*C38, 0)</f>
        <v>0</v>
      </c>
      <c r="E38" s="141">
        <f>(100*Data!T33)</f>
        <v>400</v>
      </c>
      <c r="F38" s="141">
        <f>E38*Data!S33</f>
        <v>80800</v>
      </c>
      <c r="G38" s="142">
        <f>ROUND(Inputs!$E$21*Data!W33*B38, 0)</f>
        <v>6186298</v>
      </c>
      <c r="H38" s="143">
        <f>IF(G38=0, 0,IF(Inputs!$E$30="Yes", IF(Data!D33=1, MAX(Outputs!D38+Outputs!F38+Outputs!G38, Data!AE33), Outputs!D38+Outputs!F38+Outputs!G38), Outputs!D38+Outputs!F38+Outputs!G38))</f>
        <v>6267098</v>
      </c>
      <c r="I38" s="143">
        <f>INDEX('FY 22 OFA Shell'!$AQ$27:$AQ$195,MATCH(Outputs!A38,'FY 22 OFA Shell'!$I$27:$I$195,0))</f>
        <v>6267098</v>
      </c>
      <c r="J38" s="129">
        <f>H38-Data!AT33</f>
        <v>-658997</v>
      </c>
      <c r="K38" s="127">
        <f>((H38)/(Data!AT33)) - 1</f>
        <v>-9.5146976759631463E-2</v>
      </c>
      <c r="L38" s="127">
        <f t="shared" si="46"/>
        <v>0</v>
      </c>
      <c r="M38" s="143">
        <f>(IF(Inputs!$E$30="Yes",INDEX(Data!AT:AT,MATCH(Outputs!A38,Data!A:A,0)),INDEX(Data!AS:AS,MATCH(Outputs!A38,Data!A:A,0))))</f>
        <v>6926095</v>
      </c>
      <c r="N38" s="143">
        <f>IF(Inputs!$E$30="Yes",INDEX(Data!BN:BN,MATCH(Outputs!$A38,Data!$A:$A,0)),INDEX(Data!BE:BE,MATCH(Outputs!$A38,Data!$A:$A,0)))</f>
        <v>6926095</v>
      </c>
      <c r="O38" s="143">
        <f>IF(Inputs!$E$30="Yes",INDEX(Data!BO:BO,MATCH(Outputs!$A38,Data!$A:$A,0)),INDEX(Data!BF:BF,MATCH(Outputs!$A38,Data!$A:$A,0)))</f>
        <v>6867095.6924999999</v>
      </c>
      <c r="P38" s="143">
        <f>IF(Inputs!$E$30="Yes",INDEX(Data!BP:BP,MATCH(Outputs!$A38,Data!$A:$A,0)),INDEX(Data!BG:BG,MATCH(Outputs!$A38,Data!$A:$A,0)))</f>
        <v>6808096.3849999998</v>
      </c>
      <c r="Q38" s="143">
        <f>IF(Inputs!$E$30="Yes",INDEX(Data!BQ:BQ,MATCH(Outputs!$A38,Data!$A:$A,0)),INDEX(Data!BH:BH,MATCH(Outputs!$A38,Data!$A:$A,0)))</f>
        <v>6749097.0774999997</v>
      </c>
      <c r="R38" s="143">
        <f>IF(Inputs!$E$30="Yes",INDEX(Data!BR:BR,MATCH(Outputs!$A38,Data!$A:$A,0)),INDEX(Data!BI:BI,MATCH(Outputs!$A38,Data!$A:$A,0)))</f>
        <v>6690097.7699999996</v>
      </c>
      <c r="S38" s="143">
        <f>IF(Inputs!$E$30="Yes",INDEX(Data!BS:BS,MATCH(Outputs!$A38,Data!$A:$A,0)),INDEX(Data!BJ:BJ,MATCH(Outputs!$A38,Data!$A:$A,0)))</f>
        <v>6631098.4624999994</v>
      </c>
      <c r="T38" s="143">
        <f>IF(Inputs!$E$30="Yes",INDEX(Data!BT:BT,MATCH(Outputs!$A38,Data!$A:$A,0)),INDEX(Data!BK:BK,MATCH(Outputs!$A38,Data!$A:$A,0)))</f>
        <v>6572099.1549999993</v>
      </c>
      <c r="U38" s="143">
        <f>IF(Inputs!$E$30="Yes",INDEX(Data!BU:BU,MATCH(Outputs!$A38,Data!$A:$A,0)),INDEX(Data!BL:BL,MATCH(Outputs!$A38,Data!$A:$A,0)))</f>
        <v>6267098</v>
      </c>
      <c r="V38" s="143">
        <f>INDEX('FY 22 OFA Shell'!$AX$27:$AX$195,MATCH(Outputs!A38,'FY 22 OFA Shell'!$I$27:$I$195,0))</f>
        <v>6926095</v>
      </c>
      <c r="W38" s="143">
        <f>INDEX('FY 23 OFA Shell'!$AX$27:$AX$195,MATCH(Outputs!A38,'FY 23 OFA Shell'!$I$27:$I$195,0))</f>
        <v>6926095</v>
      </c>
      <c r="X38" s="143">
        <f>INDEX('FY 23 OFA Shell'!BK$27:BK$195,MATCH(Outputs!$A38,'FY 23 OFA Shell'!$I$27:$I$195,0))</f>
        <v>6867095.6924999999</v>
      </c>
      <c r="Y38" s="143">
        <f>INDEX('FY 23 OFA Shell'!BL$27:BL$195,MATCH(Outputs!$A38,'FY 23 OFA Shell'!$I$27:$I$195,0))</f>
        <v>6808096.3849999998</v>
      </c>
      <c r="Z38" s="143">
        <f>INDEX('FY 23 OFA Shell'!BM$27:BM$195,MATCH(Outputs!$A38,'FY 23 OFA Shell'!$I$27:$I$195,0))</f>
        <v>6749097.0774999997</v>
      </c>
      <c r="AA38" s="143">
        <f>INDEX('FY 23 OFA Shell'!BN$27:BN$195,MATCH(Outputs!$A38,'FY 23 OFA Shell'!$I$27:$I$195,0))</f>
        <v>6690097.7699999996</v>
      </c>
      <c r="AB38" s="143">
        <f>INDEX('FY 23 OFA Shell'!BO$27:BO$195,MATCH(Outputs!$A38,'FY 23 OFA Shell'!$I$27:$I$195,0))</f>
        <v>6631098.4624999994</v>
      </c>
      <c r="AC38" s="143">
        <f>INDEX('FY 23 OFA Shell'!BP$27:BP$195,MATCH(Outputs!$A38,'FY 23 OFA Shell'!$I$27:$I$195,0))</f>
        <v>6572099.1549999993</v>
      </c>
      <c r="AD38" s="143">
        <f>INDEX('FY 23 OFA Shell'!BQ$27:BQ$195,MATCH(Outputs!$A38,'FY 23 OFA Shell'!$I$27:$I$195,0))</f>
        <v>6267098</v>
      </c>
      <c r="AE38" s="129">
        <f t="shared" si="49"/>
        <v>0</v>
      </c>
      <c r="AF38" s="129">
        <f t="shared" si="50"/>
        <v>0</v>
      </c>
      <c r="AG38" s="129">
        <f t="shared" si="51"/>
        <v>0</v>
      </c>
      <c r="AH38" s="129">
        <f t="shared" si="52"/>
        <v>0</v>
      </c>
      <c r="AI38" s="129">
        <f t="shared" si="53"/>
        <v>0</v>
      </c>
      <c r="AJ38" s="129">
        <f t="shared" si="54"/>
        <v>0</v>
      </c>
      <c r="AK38" s="129">
        <f t="shared" si="55"/>
        <v>0</v>
      </c>
      <c r="AL38" s="129">
        <f t="shared" si="56"/>
        <v>0</v>
      </c>
      <c r="AM38" s="129">
        <f t="shared" si="57"/>
        <v>0</v>
      </c>
      <c r="AN38" s="127">
        <f t="shared" si="58"/>
        <v>0</v>
      </c>
      <c r="AO38" s="127">
        <f t="shared" si="59"/>
        <v>0</v>
      </c>
      <c r="AP38" s="127">
        <f t="shared" si="60"/>
        <v>0</v>
      </c>
      <c r="AQ38" s="127">
        <f t="shared" si="61"/>
        <v>0</v>
      </c>
      <c r="AR38" s="127">
        <f t="shared" si="62"/>
        <v>0</v>
      </c>
      <c r="AS38" s="127">
        <f t="shared" si="63"/>
        <v>0</v>
      </c>
      <c r="AT38" s="127">
        <f t="shared" si="64"/>
        <v>0</v>
      </c>
      <c r="AU38" s="127">
        <f t="shared" si="65"/>
        <v>0</v>
      </c>
      <c r="AV38" s="127">
        <f t="shared" si="66"/>
        <v>0</v>
      </c>
    </row>
    <row r="39" spans="1:48" x14ac:dyDescent="0.15">
      <c r="A39" s="29" t="s">
        <v>30</v>
      </c>
      <c r="B39" s="30">
        <f>IF(Data!D34=1, MAX(Data!AA34, Inputs!$E$25) + INDEX(Inputs!$D$38:$D$42, MATCH( Data!AD34, Inputs!$B$38:$B$42, 0), 0), MAX(Data!AA34, Inputs!$E$26) +  INDEX(Inputs!$D$38:$D$42, MATCH( Data!AD34, Inputs!$B$38:$B$42, 0), 0))</f>
        <v>0.172874</v>
      </c>
      <c r="C39" s="141">
        <f>(100*Data!R34)</f>
        <v>1300</v>
      </c>
      <c r="D39" s="141">
        <f>ROUND(Data!Q34*C39, 0)</f>
        <v>1940900</v>
      </c>
      <c r="E39" s="141">
        <f>(100*Data!T34)</f>
        <v>0</v>
      </c>
      <c r="F39" s="141">
        <f>E39*Data!S34</f>
        <v>0</v>
      </c>
      <c r="G39" s="142">
        <f>ROUND(Inputs!$E$21*Data!W34*B39, 0)</f>
        <v>3090310</v>
      </c>
      <c r="H39" s="143">
        <f>IF(G39=0, 0,IF(Inputs!$E$30="Yes", IF(Data!D34=1, MAX(Outputs!D39+Outputs!F39+Outputs!G39, Data!AE34), Outputs!D39+Outputs!F39+Outputs!G39), Outputs!D39+Outputs!F39+Outputs!G39))</f>
        <v>5031210</v>
      </c>
      <c r="I39" s="143">
        <f>INDEX('FY 22 OFA Shell'!$AQ$27:$AQ$195,MATCH(Outputs!A39,'FY 22 OFA Shell'!$I$27:$I$195,0))</f>
        <v>5031210</v>
      </c>
      <c r="J39" s="129">
        <f>H39-Data!AT34</f>
        <v>1035941.7239999999</v>
      </c>
      <c r="K39" s="127">
        <f>((H39)/(Data!AT34)) - 1</f>
        <v>0.25929215572906883</v>
      </c>
      <c r="L39" s="127">
        <f t="shared" si="46"/>
        <v>0</v>
      </c>
      <c r="M39" s="143">
        <f>(IF(Inputs!$E$30="Yes",INDEX(Data!AT:AT,MATCH(Outputs!A39,Data!A:A,0)),INDEX(Data!AS:AS,MATCH(Outputs!A39,Data!A:A,0))))</f>
        <v>3995268.2760000001</v>
      </c>
      <c r="N39" s="143">
        <f>IF(Inputs!$E$30="Yes",INDEX(Data!BN:BN,MATCH(Outputs!$A39,Data!$A:$A,0)),INDEX(Data!BE:BE,MATCH(Outputs!$A39,Data!$A:$A,0)))</f>
        <v>4066888.5520000001</v>
      </c>
      <c r="O39" s="143">
        <f>IF(Inputs!$E$30="Yes",INDEX(Data!BO:BO,MATCH(Outputs!$A39,Data!$A:$A,0)),INDEX(Data!BF:BF,MATCH(Outputs!$A39,Data!$A:$A,0)))</f>
        <v>4138508.8280000002</v>
      </c>
      <c r="P39" s="143">
        <f>IF(Inputs!$E$30="Yes",INDEX(Data!BP:BP,MATCH(Outputs!$A39,Data!$A:$A,0)),INDEX(Data!BG:BG,MATCH(Outputs!$A39,Data!$A:$A,0)))</f>
        <v>4210129.1040000003</v>
      </c>
      <c r="Q39" s="143">
        <f>IF(Inputs!$E$30="Yes",INDEX(Data!BQ:BQ,MATCH(Outputs!$A39,Data!$A:$A,0)),INDEX(Data!BH:BH,MATCH(Outputs!$A39,Data!$A:$A,0)))</f>
        <v>4281749.38</v>
      </c>
      <c r="R39" s="143">
        <f>IF(Inputs!$E$30="Yes",INDEX(Data!BR:BR,MATCH(Outputs!$A39,Data!$A:$A,0)),INDEX(Data!BI:BI,MATCH(Outputs!$A39,Data!$A:$A,0)))</f>
        <v>4353369.6559999995</v>
      </c>
      <c r="S39" s="143">
        <f>IF(Inputs!$E$30="Yes",INDEX(Data!BS:BS,MATCH(Outputs!$A39,Data!$A:$A,0)),INDEX(Data!BJ:BJ,MATCH(Outputs!$A39,Data!$A:$A,0)))</f>
        <v>5031210</v>
      </c>
      <c r="T39" s="143">
        <f>IF(Inputs!$E$30="Yes",INDEX(Data!BT:BT,MATCH(Outputs!$A39,Data!$A:$A,0)),INDEX(Data!BK:BK,MATCH(Outputs!$A39,Data!$A:$A,0)))</f>
        <v>5031210</v>
      </c>
      <c r="U39" s="143">
        <f>IF(Inputs!$E$30="Yes",INDEX(Data!BU:BU,MATCH(Outputs!$A39,Data!$A:$A,0)),INDEX(Data!BL:BL,MATCH(Outputs!$A39,Data!$A:$A,0)))</f>
        <v>5031210</v>
      </c>
      <c r="V39" s="143">
        <f>INDEX('FY 22 OFA Shell'!$AX$27:$AX$195,MATCH(Outputs!A39,'FY 22 OFA Shell'!$I$27:$I$195,0))</f>
        <v>3995268.2760000001</v>
      </c>
      <c r="W39" s="143">
        <f>INDEX('FY 23 OFA Shell'!$AX$27:$AX$195,MATCH(Outputs!A39,'FY 23 OFA Shell'!$I$27:$I$195,0))</f>
        <v>4066888.5520000001</v>
      </c>
      <c r="X39" s="143">
        <f>INDEX('FY 23 OFA Shell'!BK$27:BK$195,MATCH(Outputs!$A39,'FY 23 OFA Shell'!$I$27:$I$195,0))</f>
        <v>4138508.8280000002</v>
      </c>
      <c r="Y39" s="143">
        <f>INDEX('FY 23 OFA Shell'!BL$27:BL$195,MATCH(Outputs!$A39,'FY 23 OFA Shell'!$I$27:$I$195,0))</f>
        <v>4210129.1040000003</v>
      </c>
      <c r="Z39" s="143">
        <f>INDEX('FY 23 OFA Shell'!BM$27:BM$195,MATCH(Outputs!$A39,'FY 23 OFA Shell'!$I$27:$I$195,0))</f>
        <v>4281749.38</v>
      </c>
      <c r="AA39" s="143">
        <f>INDEX('FY 23 OFA Shell'!BN$27:BN$195,MATCH(Outputs!$A39,'FY 23 OFA Shell'!$I$27:$I$195,0))</f>
        <v>4353369.6559999995</v>
      </c>
      <c r="AB39" s="143">
        <f>INDEX('FY 23 OFA Shell'!BO$27:BO$195,MATCH(Outputs!$A39,'FY 23 OFA Shell'!$I$27:$I$195,0))</f>
        <v>5031210</v>
      </c>
      <c r="AC39" s="143">
        <f>INDEX('FY 23 OFA Shell'!BP$27:BP$195,MATCH(Outputs!$A39,'FY 23 OFA Shell'!$I$27:$I$195,0))</f>
        <v>5031210</v>
      </c>
      <c r="AD39" s="143">
        <f>INDEX('FY 23 OFA Shell'!BQ$27:BQ$195,MATCH(Outputs!$A39,'FY 23 OFA Shell'!$I$27:$I$195,0))</f>
        <v>5031210</v>
      </c>
      <c r="AE39" s="129">
        <f t="shared" si="49"/>
        <v>0</v>
      </c>
      <c r="AF39" s="129">
        <f t="shared" si="50"/>
        <v>0</v>
      </c>
      <c r="AG39" s="129">
        <f t="shared" si="51"/>
        <v>0</v>
      </c>
      <c r="AH39" s="129">
        <f t="shared" si="52"/>
        <v>0</v>
      </c>
      <c r="AI39" s="129">
        <f t="shared" si="53"/>
        <v>0</v>
      </c>
      <c r="AJ39" s="129">
        <f t="shared" si="54"/>
        <v>0</v>
      </c>
      <c r="AK39" s="129">
        <f t="shared" si="55"/>
        <v>0</v>
      </c>
      <c r="AL39" s="129">
        <f t="shared" si="56"/>
        <v>0</v>
      </c>
      <c r="AM39" s="129">
        <f t="shared" si="57"/>
        <v>0</v>
      </c>
      <c r="AN39" s="127">
        <f t="shared" si="58"/>
        <v>0</v>
      </c>
      <c r="AO39" s="127">
        <f t="shared" si="59"/>
        <v>0</v>
      </c>
      <c r="AP39" s="127">
        <f t="shared" si="60"/>
        <v>0</v>
      </c>
      <c r="AQ39" s="127">
        <f t="shared" si="61"/>
        <v>0</v>
      </c>
      <c r="AR39" s="127">
        <f t="shared" si="62"/>
        <v>0</v>
      </c>
      <c r="AS39" s="127">
        <f t="shared" si="63"/>
        <v>0</v>
      </c>
      <c r="AT39" s="127">
        <f t="shared" si="64"/>
        <v>0</v>
      </c>
      <c r="AU39" s="127">
        <f t="shared" si="65"/>
        <v>0</v>
      </c>
      <c r="AV39" s="127">
        <f t="shared" si="66"/>
        <v>0</v>
      </c>
    </row>
    <row r="40" spans="1:48" x14ac:dyDescent="0.15">
      <c r="A40" s="29" t="s">
        <v>31</v>
      </c>
      <c r="B40" s="30">
        <f>IF(Data!D35=1, MAX(Data!AA35, Inputs!$E$25) + INDEX(Inputs!$D$38:$D$42, MATCH( Data!AD35, Inputs!$B$38:$B$42, 0), 0), MAX(Data!AA35, Inputs!$E$26) +  INDEX(Inputs!$D$38:$D$42, MATCH( Data!AD35, Inputs!$B$38:$B$42, 0), 0))</f>
        <v>3.8871999999999997E-2</v>
      </c>
      <c r="C40" s="141">
        <f>(100*Data!R35)</f>
        <v>400</v>
      </c>
      <c r="D40" s="141">
        <f>ROUND(Data!Q35*C40, 0)</f>
        <v>13600</v>
      </c>
      <c r="E40" s="141">
        <f>(100*Data!T35)</f>
        <v>0</v>
      </c>
      <c r="F40" s="141">
        <f>E40*Data!S35</f>
        <v>0</v>
      </c>
      <c r="G40" s="142">
        <f>ROUND(Inputs!$E$21*Data!W35*B40, 0)</f>
        <v>49728</v>
      </c>
      <c r="H40" s="143">
        <f>IF(G40=0, 0,IF(Inputs!$E$30="Yes", IF(Data!D35=1, MAX(Outputs!D40+Outputs!F40+Outputs!G40, Data!AE35), Outputs!D40+Outputs!F40+Outputs!G40), Outputs!D40+Outputs!F40+Outputs!G40))</f>
        <v>63328</v>
      </c>
      <c r="I40" s="143">
        <f>INDEX('FY 22 OFA Shell'!$AQ$27:$AQ$195,MATCH(Outputs!A40,'FY 22 OFA Shell'!$I$27:$I$195,0))</f>
        <v>63328</v>
      </c>
      <c r="J40" s="129">
        <f>H40-Data!AT35</f>
        <v>-62424</v>
      </c>
      <c r="K40" s="127">
        <f>((H40)/(Data!AT35)) - 1</f>
        <v>-0.49640562376741526</v>
      </c>
      <c r="L40" s="127">
        <f t="shared" si="46"/>
        <v>0</v>
      </c>
      <c r="M40" s="143">
        <f>(IF(Inputs!$E$30="Yes",INDEX(Data!AT:AT,MATCH(Outputs!A40,Data!A:A,0)),INDEX(Data!AS:AS,MATCH(Outputs!A40,Data!A:A,0))))</f>
        <v>125752</v>
      </c>
      <c r="N40" s="143">
        <f>IF(Inputs!$E$30="Yes",INDEX(Data!BN:BN,MATCH(Outputs!$A40,Data!$A:$A,0)),INDEX(Data!BE:BE,MATCH(Outputs!$A40,Data!$A:$A,0)))</f>
        <v>125752</v>
      </c>
      <c r="O40" s="143">
        <f>IF(Inputs!$E$30="Yes",INDEX(Data!BO:BO,MATCH(Outputs!$A40,Data!$A:$A,0)),INDEX(Data!BF:BF,MATCH(Outputs!$A40,Data!$A:$A,0)))</f>
        <v>116265.1296</v>
      </c>
      <c r="P40" s="143">
        <f>IF(Inputs!$E$30="Yes",INDEX(Data!BP:BP,MATCH(Outputs!$A40,Data!$A:$A,0)),INDEX(Data!BG:BG,MATCH(Outputs!$A40,Data!$A:$A,0)))</f>
        <v>106778.2592</v>
      </c>
      <c r="Q40" s="143">
        <f>IF(Inputs!$E$30="Yes",INDEX(Data!BQ:BQ,MATCH(Outputs!$A40,Data!$A:$A,0)),INDEX(Data!BH:BH,MATCH(Outputs!$A40,Data!$A:$A,0)))</f>
        <v>97291.388800000001</v>
      </c>
      <c r="R40" s="143">
        <f>IF(Inputs!$E$30="Yes",INDEX(Data!BR:BR,MATCH(Outputs!$A40,Data!$A:$A,0)),INDEX(Data!BI:BI,MATCH(Outputs!$A40,Data!$A:$A,0)))</f>
        <v>87804.518400000001</v>
      </c>
      <c r="S40" s="143">
        <f>IF(Inputs!$E$30="Yes",INDEX(Data!BS:BS,MATCH(Outputs!$A40,Data!$A:$A,0)),INDEX(Data!BJ:BJ,MATCH(Outputs!$A40,Data!$A:$A,0)))</f>
        <v>78317.648000000001</v>
      </c>
      <c r="T40" s="143">
        <f>IF(Inputs!$E$30="Yes",INDEX(Data!BT:BT,MATCH(Outputs!$A40,Data!$A:$A,0)),INDEX(Data!BK:BK,MATCH(Outputs!$A40,Data!$A:$A,0)))</f>
        <v>68830.777600000001</v>
      </c>
      <c r="U40" s="143">
        <f>IF(Inputs!$E$30="Yes",INDEX(Data!BU:BU,MATCH(Outputs!$A40,Data!$A:$A,0)),INDEX(Data!BL:BL,MATCH(Outputs!$A40,Data!$A:$A,0)))</f>
        <v>63328</v>
      </c>
      <c r="V40" s="143">
        <f>INDEX('FY 22 OFA Shell'!$AX$27:$AX$195,MATCH(Outputs!A40,'FY 22 OFA Shell'!$I$27:$I$195,0))</f>
        <v>125752</v>
      </c>
      <c r="W40" s="143">
        <f>INDEX('FY 23 OFA Shell'!$AX$27:$AX$195,MATCH(Outputs!A40,'FY 23 OFA Shell'!$I$27:$I$195,0))</f>
        <v>125752</v>
      </c>
      <c r="X40" s="143">
        <f>INDEX('FY 23 OFA Shell'!BK$27:BK$195,MATCH(Outputs!$A40,'FY 23 OFA Shell'!$I$27:$I$195,0))</f>
        <v>116265.1296</v>
      </c>
      <c r="Y40" s="143">
        <f>INDEX('FY 23 OFA Shell'!BL$27:BL$195,MATCH(Outputs!$A40,'FY 23 OFA Shell'!$I$27:$I$195,0))</f>
        <v>106778.2592</v>
      </c>
      <c r="Z40" s="143">
        <f>INDEX('FY 23 OFA Shell'!BM$27:BM$195,MATCH(Outputs!$A40,'FY 23 OFA Shell'!$I$27:$I$195,0))</f>
        <v>97291.388800000001</v>
      </c>
      <c r="AA40" s="143">
        <f>INDEX('FY 23 OFA Shell'!BN$27:BN$195,MATCH(Outputs!$A40,'FY 23 OFA Shell'!$I$27:$I$195,0))</f>
        <v>87804.518400000001</v>
      </c>
      <c r="AB40" s="143">
        <f>INDEX('FY 23 OFA Shell'!BO$27:BO$195,MATCH(Outputs!$A40,'FY 23 OFA Shell'!$I$27:$I$195,0))</f>
        <v>78317.648000000001</v>
      </c>
      <c r="AC40" s="143">
        <f>INDEX('FY 23 OFA Shell'!BP$27:BP$195,MATCH(Outputs!$A40,'FY 23 OFA Shell'!$I$27:$I$195,0))</f>
        <v>68830.777600000001</v>
      </c>
      <c r="AD40" s="143">
        <f>INDEX('FY 23 OFA Shell'!BQ$27:BQ$195,MATCH(Outputs!$A40,'FY 23 OFA Shell'!$I$27:$I$195,0))</f>
        <v>63328</v>
      </c>
      <c r="AE40" s="129">
        <f t="shared" si="49"/>
        <v>0</v>
      </c>
      <c r="AF40" s="129">
        <f t="shared" si="50"/>
        <v>0</v>
      </c>
      <c r="AG40" s="129">
        <f t="shared" si="51"/>
        <v>0</v>
      </c>
      <c r="AH40" s="129">
        <f t="shared" si="52"/>
        <v>0</v>
      </c>
      <c r="AI40" s="129">
        <f t="shared" si="53"/>
        <v>0</v>
      </c>
      <c r="AJ40" s="129">
        <f t="shared" si="54"/>
        <v>0</v>
      </c>
      <c r="AK40" s="129">
        <f t="shared" si="55"/>
        <v>0</v>
      </c>
      <c r="AL40" s="129">
        <f t="shared" si="56"/>
        <v>0</v>
      </c>
      <c r="AM40" s="129">
        <f t="shared" si="57"/>
        <v>0</v>
      </c>
      <c r="AN40" s="127">
        <f t="shared" si="58"/>
        <v>0</v>
      </c>
      <c r="AO40" s="127">
        <f t="shared" si="59"/>
        <v>0</v>
      </c>
      <c r="AP40" s="127">
        <f t="shared" si="60"/>
        <v>0</v>
      </c>
      <c r="AQ40" s="127">
        <f t="shared" si="61"/>
        <v>0</v>
      </c>
      <c r="AR40" s="127">
        <f t="shared" si="62"/>
        <v>0</v>
      </c>
      <c r="AS40" s="127">
        <f t="shared" si="63"/>
        <v>0</v>
      </c>
      <c r="AT40" s="127">
        <f t="shared" si="64"/>
        <v>0</v>
      </c>
      <c r="AU40" s="127">
        <f t="shared" si="65"/>
        <v>0</v>
      </c>
      <c r="AV40" s="127">
        <f t="shared" si="66"/>
        <v>0</v>
      </c>
    </row>
    <row r="41" spans="1:48" x14ac:dyDescent="0.15">
      <c r="A41" s="29" t="s">
        <v>33</v>
      </c>
      <c r="B41" s="30">
        <f>IF(Data!D36=1, MAX(Data!AA36, Inputs!$E$25) + INDEX(Inputs!$D$38:$D$42, MATCH( Data!AD36, Inputs!$B$38:$B$42, 0), 0), MAX(Data!AA36, Inputs!$E$26) +  INDEX(Inputs!$D$38:$D$42, MATCH( Data!AD36, Inputs!$B$38:$B$42, 0), 0))</f>
        <v>0.37407000000000001</v>
      </c>
      <c r="C41" s="141">
        <f>(100*Data!R36)</f>
        <v>0</v>
      </c>
      <c r="D41" s="141">
        <f>ROUND(Data!Q36*C41, 0)</f>
        <v>0</v>
      </c>
      <c r="E41" s="141">
        <f>(100*Data!T36)</f>
        <v>400</v>
      </c>
      <c r="F41" s="141">
        <f>E41*Data!S36</f>
        <v>58800</v>
      </c>
      <c r="G41" s="142">
        <f>ROUND(Inputs!$E$21*Data!W36*B41, 0)</f>
        <v>2745129</v>
      </c>
      <c r="H41" s="143">
        <f>IF(G41=0, 0,IF(Inputs!$E$30="Yes", IF(Data!D36=1, MAX(Outputs!D41+Outputs!F41+Outputs!G41, Data!AE36), Outputs!D41+Outputs!F41+Outputs!G41), Outputs!D41+Outputs!F41+Outputs!G41))</f>
        <v>2803929</v>
      </c>
      <c r="I41" s="143">
        <f>INDEX('FY 22 OFA Shell'!$AQ$27:$AQ$195,MATCH(Outputs!A41,'FY 22 OFA Shell'!$I$27:$I$195,0))</f>
        <v>2803929</v>
      </c>
      <c r="J41" s="129">
        <f>H41-Data!AT36</f>
        <v>-1200906</v>
      </c>
      <c r="K41" s="127">
        <f>((H41)/(Data!AT36)) - 1</f>
        <v>-0.29986403934244477</v>
      </c>
      <c r="L41" s="127">
        <f t="shared" si="46"/>
        <v>0</v>
      </c>
      <c r="M41" s="143">
        <f>(IF(Inputs!$E$30="Yes",INDEX(Data!AT:AT,MATCH(Outputs!A41,Data!A:A,0)),INDEX(Data!AS:AS,MATCH(Outputs!A41,Data!A:A,0))))</f>
        <v>4004835</v>
      </c>
      <c r="N41" s="143">
        <f>IF(Inputs!$E$30="Yes",INDEX(Data!BN:BN,MATCH(Outputs!$A41,Data!$A:$A,0)),INDEX(Data!BE:BE,MATCH(Outputs!$A41,Data!$A:$A,0)))</f>
        <v>4004835</v>
      </c>
      <c r="O41" s="143">
        <f>IF(Inputs!$E$30="Yes",INDEX(Data!BO:BO,MATCH(Outputs!$A41,Data!$A:$A,0)),INDEX(Data!BF:BF,MATCH(Outputs!$A41,Data!$A:$A,0)))</f>
        <v>3849757.1392999999</v>
      </c>
      <c r="P41" s="143">
        <f>IF(Inputs!$E$30="Yes",INDEX(Data!BP:BP,MATCH(Outputs!$A41,Data!$A:$A,0)),INDEX(Data!BG:BG,MATCH(Outputs!$A41,Data!$A:$A,0)))</f>
        <v>3694679.2785999998</v>
      </c>
      <c r="Q41" s="143">
        <f>IF(Inputs!$E$30="Yes",INDEX(Data!BQ:BQ,MATCH(Outputs!$A41,Data!$A:$A,0)),INDEX(Data!BH:BH,MATCH(Outputs!$A41,Data!$A:$A,0)))</f>
        <v>3539601.4178999998</v>
      </c>
      <c r="R41" s="143">
        <f>IF(Inputs!$E$30="Yes",INDEX(Data!BR:BR,MATCH(Outputs!$A41,Data!$A:$A,0)),INDEX(Data!BI:BI,MATCH(Outputs!$A41,Data!$A:$A,0)))</f>
        <v>3384523.5571999997</v>
      </c>
      <c r="S41" s="143">
        <f>IF(Inputs!$E$30="Yes",INDEX(Data!BS:BS,MATCH(Outputs!$A41,Data!$A:$A,0)),INDEX(Data!BJ:BJ,MATCH(Outputs!$A41,Data!$A:$A,0)))</f>
        <v>3229445.6964999996</v>
      </c>
      <c r="T41" s="143">
        <f>IF(Inputs!$E$30="Yes",INDEX(Data!BT:BT,MATCH(Outputs!$A41,Data!$A:$A,0)),INDEX(Data!BK:BK,MATCH(Outputs!$A41,Data!$A:$A,0)))</f>
        <v>3074367.8357999995</v>
      </c>
      <c r="U41" s="143">
        <f>IF(Inputs!$E$30="Yes",INDEX(Data!BU:BU,MATCH(Outputs!$A41,Data!$A:$A,0)),INDEX(Data!BL:BL,MATCH(Outputs!$A41,Data!$A:$A,0)))</f>
        <v>2803929</v>
      </c>
      <c r="V41" s="143">
        <f>INDEX('FY 22 OFA Shell'!$AX$27:$AX$195,MATCH(Outputs!A41,'FY 22 OFA Shell'!$I$27:$I$195,0))</f>
        <v>4004835</v>
      </c>
      <c r="W41" s="143">
        <f>INDEX('FY 23 OFA Shell'!$AX$27:$AX$195,MATCH(Outputs!A41,'FY 23 OFA Shell'!$I$27:$I$195,0))</f>
        <v>4004835</v>
      </c>
      <c r="X41" s="143">
        <f>INDEX('FY 23 OFA Shell'!BK$27:BK$195,MATCH(Outputs!$A41,'FY 23 OFA Shell'!$I$27:$I$195,0))</f>
        <v>3849757.1392999999</v>
      </c>
      <c r="Y41" s="143">
        <f>INDEX('FY 23 OFA Shell'!BL$27:BL$195,MATCH(Outputs!$A41,'FY 23 OFA Shell'!$I$27:$I$195,0))</f>
        <v>3694679.2785999998</v>
      </c>
      <c r="Z41" s="143">
        <f>INDEX('FY 23 OFA Shell'!BM$27:BM$195,MATCH(Outputs!$A41,'FY 23 OFA Shell'!$I$27:$I$195,0))</f>
        <v>3539601.4178999998</v>
      </c>
      <c r="AA41" s="143">
        <f>INDEX('FY 23 OFA Shell'!BN$27:BN$195,MATCH(Outputs!$A41,'FY 23 OFA Shell'!$I$27:$I$195,0))</f>
        <v>3384523.5571999997</v>
      </c>
      <c r="AB41" s="143">
        <f>INDEX('FY 23 OFA Shell'!BO$27:BO$195,MATCH(Outputs!$A41,'FY 23 OFA Shell'!$I$27:$I$195,0))</f>
        <v>3229445.6964999996</v>
      </c>
      <c r="AC41" s="143">
        <f>INDEX('FY 23 OFA Shell'!BP$27:BP$195,MATCH(Outputs!$A41,'FY 23 OFA Shell'!$I$27:$I$195,0))</f>
        <v>3074367.8357999995</v>
      </c>
      <c r="AD41" s="143">
        <f>INDEX('FY 23 OFA Shell'!BQ$27:BQ$195,MATCH(Outputs!$A41,'FY 23 OFA Shell'!$I$27:$I$195,0))</f>
        <v>2803929</v>
      </c>
      <c r="AE41" s="129">
        <f t="shared" si="49"/>
        <v>0</v>
      </c>
      <c r="AF41" s="129">
        <f t="shared" si="50"/>
        <v>0</v>
      </c>
      <c r="AG41" s="129">
        <f t="shared" si="51"/>
        <v>0</v>
      </c>
      <c r="AH41" s="129">
        <f t="shared" si="52"/>
        <v>0</v>
      </c>
      <c r="AI41" s="129">
        <f t="shared" si="53"/>
        <v>0</v>
      </c>
      <c r="AJ41" s="129">
        <f t="shared" si="54"/>
        <v>0</v>
      </c>
      <c r="AK41" s="129">
        <f t="shared" si="55"/>
        <v>0</v>
      </c>
      <c r="AL41" s="129">
        <f t="shared" si="56"/>
        <v>0</v>
      </c>
      <c r="AM41" s="129">
        <f t="shared" si="57"/>
        <v>0</v>
      </c>
      <c r="AN41" s="127">
        <f t="shared" si="58"/>
        <v>0</v>
      </c>
      <c r="AO41" s="127">
        <f t="shared" si="59"/>
        <v>0</v>
      </c>
      <c r="AP41" s="127">
        <f t="shared" si="60"/>
        <v>0</v>
      </c>
      <c r="AQ41" s="127">
        <f t="shared" si="61"/>
        <v>0</v>
      </c>
      <c r="AR41" s="127">
        <f t="shared" si="62"/>
        <v>0</v>
      </c>
      <c r="AS41" s="127">
        <f t="shared" si="63"/>
        <v>0</v>
      </c>
      <c r="AT41" s="127">
        <f t="shared" si="64"/>
        <v>0</v>
      </c>
      <c r="AU41" s="127">
        <f t="shared" si="65"/>
        <v>0</v>
      </c>
      <c r="AV41" s="127">
        <f t="shared" si="66"/>
        <v>0</v>
      </c>
    </row>
    <row r="42" spans="1:48" x14ac:dyDescent="0.15">
      <c r="A42" s="29" t="s">
        <v>34</v>
      </c>
      <c r="B42" s="30">
        <f>IF(Data!D37=1, MAX(Data!AA37, Inputs!$E$25) + INDEX(Inputs!$D$38:$D$42, MATCH( Data!AD37, Inputs!$B$38:$B$42, 0), 0), MAX(Data!AA37, Inputs!$E$26) +  INDEX(Inputs!$D$38:$D$42, MATCH( Data!AD37, Inputs!$B$38:$B$42, 0), 0))</f>
        <v>0.230849</v>
      </c>
      <c r="C42" s="141">
        <f>(100*Data!R37)</f>
        <v>0</v>
      </c>
      <c r="D42" s="141">
        <f>ROUND(Data!Q37*C42, 0)</f>
        <v>0</v>
      </c>
      <c r="E42" s="141">
        <f>(100*Data!T37)</f>
        <v>0</v>
      </c>
      <c r="F42" s="141">
        <f>E42*Data!S37</f>
        <v>0</v>
      </c>
      <c r="G42" s="142">
        <f>ROUND(Inputs!$E$21*Data!W37*B42, 0)</f>
        <v>4119066</v>
      </c>
      <c r="H42" s="143">
        <f>IF(G42=0, 0,IF(Inputs!$E$30="Yes", IF(Data!D37=1, MAX(Outputs!D42+Outputs!F42+Outputs!G42, Data!AE37), Outputs!D42+Outputs!F42+Outputs!G42), Outputs!D42+Outputs!F42+Outputs!G42))</f>
        <v>4119066</v>
      </c>
      <c r="I42" s="143">
        <f>INDEX('FY 22 OFA Shell'!$AQ$27:$AQ$195,MATCH(Outputs!A42,'FY 22 OFA Shell'!$I$27:$I$195,0))</f>
        <v>4119066</v>
      </c>
      <c r="J42" s="129">
        <f>H42-Data!AT37</f>
        <v>619621.30439999979</v>
      </c>
      <c r="K42" s="127">
        <f>((H42)/(Data!AT37)) - 1</f>
        <v>0.17706275089275625</v>
      </c>
      <c r="L42" s="127">
        <f t="shared" si="46"/>
        <v>0</v>
      </c>
      <c r="M42" s="143">
        <f>(IF(Inputs!$E$30="Yes",INDEX(Data!AT:AT,MATCH(Outputs!A42,Data!A:A,0)),INDEX(Data!AS:AS,MATCH(Outputs!A42,Data!A:A,0))))</f>
        <v>3499444.6956000002</v>
      </c>
      <c r="N42" s="143">
        <f>IF(Inputs!$E$30="Yes",INDEX(Data!BN:BN,MATCH(Outputs!$A42,Data!$A:$A,0)),INDEX(Data!BE:BE,MATCH(Outputs!$A42,Data!$A:$A,0)))</f>
        <v>3575681.3912000004</v>
      </c>
      <c r="O42" s="143">
        <f>IF(Inputs!$E$30="Yes",INDEX(Data!BO:BO,MATCH(Outputs!$A42,Data!$A:$A,0)),INDEX(Data!BF:BF,MATCH(Outputs!$A42,Data!$A:$A,0)))</f>
        <v>3651918.0868000006</v>
      </c>
      <c r="P42" s="143">
        <f>IF(Inputs!$E$30="Yes",INDEX(Data!BP:BP,MATCH(Outputs!$A42,Data!$A:$A,0)),INDEX(Data!BG:BG,MATCH(Outputs!$A42,Data!$A:$A,0)))</f>
        <v>3728154.7824000008</v>
      </c>
      <c r="Q42" s="143">
        <f>IF(Inputs!$E$30="Yes",INDEX(Data!BQ:BQ,MATCH(Outputs!$A42,Data!$A:$A,0)),INDEX(Data!BH:BH,MATCH(Outputs!$A42,Data!$A:$A,0)))</f>
        <v>3804391.4780000011</v>
      </c>
      <c r="R42" s="143">
        <f>IF(Inputs!$E$30="Yes",INDEX(Data!BR:BR,MATCH(Outputs!$A42,Data!$A:$A,0)),INDEX(Data!BI:BI,MATCH(Outputs!$A42,Data!$A:$A,0)))</f>
        <v>3880628.1736000013</v>
      </c>
      <c r="S42" s="143">
        <f>IF(Inputs!$E$30="Yes",INDEX(Data!BS:BS,MATCH(Outputs!$A42,Data!$A:$A,0)),INDEX(Data!BJ:BJ,MATCH(Outputs!$A42,Data!$A:$A,0)))</f>
        <v>4119066</v>
      </c>
      <c r="T42" s="143">
        <f>IF(Inputs!$E$30="Yes",INDEX(Data!BT:BT,MATCH(Outputs!$A42,Data!$A:$A,0)),INDEX(Data!BK:BK,MATCH(Outputs!$A42,Data!$A:$A,0)))</f>
        <v>4119066</v>
      </c>
      <c r="U42" s="143">
        <f>IF(Inputs!$E$30="Yes",INDEX(Data!BU:BU,MATCH(Outputs!$A42,Data!$A:$A,0)),INDEX(Data!BL:BL,MATCH(Outputs!$A42,Data!$A:$A,0)))</f>
        <v>4119066</v>
      </c>
      <c r="V42" s="143">
        <f>INDEX('FY 22 OFA Shell'!$AX$27:$AX$195,MATCH(Outputs!A42,'FY 22 OFA Shell'!$I$27:$I$195,0))</f>
        <v>3499444.6956000002</v>
      </c>
      <c r="W42" s="143">
        <f>INDEX('FY 23 OFA Shell'!$AX$27:$AX$195,MATCH(Outputs!A42,'FY 23 OFA Shell'!$I$27:$I$195,0))</f>
        <v>3575681.3912000004</v>
      </c>
      <c r="X42" s="143">
        <f>INDEX('FY 23 OFA Shell'!BK$27:BK$195,MATCH(Outputs!$A42,'FY 23 OFA Shell'!$I$27:$I$195,0))</f>
        <v>3651918.0868000006</v>
      </c>
      <c r="Y42" s="143">
        <f>INDEX('FY 23 OFA Shell'!BL$27:BL$195,MATCH(Outputs!$A42,'FY 23 OFA Shell'!$I$27:$I$195,0))</f>
        <v>3728154.7824000008</v>
      </c>
      <c r="Z42" s="143">
        <f>INDEX('FY 23 OFA Shell'!BM$27:BM$195,MATCH(Outputs!$A42,'FY 23 OFA Shell'!$I$27:$I$195,0))</f>
        <v>3804391.4780000011</v>
      </c>
      <c r="AA42" s="143">
        <f>INDEX('FY 23 OFA Shell'!BN$27:BN$195,MATCH(Outputs!$A42,'FY 23 OFA Shell'!$I$27:$I$195,0))</f>
        <v>3880628.1736000013</v>
      </c>
      <c r="AB42" s="143">
        <f>INDEX('FY 23 OFA Shell'!BO$27:BO$195,MATCH(Outputs!$A42,'FY 23 OFA Shell'!$I$27:$I$195,0))</f>
        <v>4119066</v>
      </c>
      <c r="AC42" s="143">
        <f>INDEX('FY 23 OFA Shell'!BP$27:BP$195,MATCH(Outputs!$A42,'FY 23 OFA Shell'!$I$27:$I$195,0))</f>
        <v>4119066</v>
      </c>
      <c r="AD42" s="143">
        <f>INDEX('FY 23 OFA Shell'!BQ$27:BQ$195,MATCH(Outputs!$A42,'FY 23 OFA Shell'!$I$27:$I$195,0))</f>
        <v>4119066</v>
      </c>
      <c r="AE42" s="129">
        <f t="shared" si="49"/>
        <v>0</v>
      </c>
      <c r="AF42" s="129">
        <f t="shared" si="50"/>
        <v>0</v>
      </c>
      <c r="AG42" s="129">
        <f t="shared" si="51"/>
        <v>0</v>
      </c>
      <c r="AH42" s="129">
        <f t="shared" si="52"/>
        <v>0</v>
      </c>
      <c r="AI42" s="129">
        <f t="shared" si="53"/>
        <v>0</v>
      </c>
      <c r="AJ42" s="129">
        <f t="shared" si="54"/>
        <v>0</v>
      </c>
      <c r="AK42" s="129">
        <f t="shared" si="55"/>
        <v>0</v>
      </c>
      <c r="AL42" s="129">
        <f t="shared" si="56"/>
        <v>0</v>
      </c>
      <c r="AM42" s="129">
        <f t="shared" si="57"/>
        <v>0</v>
      </c>
      <c r="AN42" s="127">
        <f t="shared" si="58"/>
        <v>0</v>
      </c>
      <c r="AO42" s="127">
        <f t="shared" si="59"/>
        <v>0</v>
      </c>
      <c r="AP42" s="127">
        <f t="shared" si="60"/>
        <v>0</v>
      </c>
      <c r="AQ42" s="127">
        <f t="shared" si="61"/>
        <v>0</v>
      </c>
      <c r="AR42" s="127">
        <f t="shared" si="62"/>
        <v>0</v>
      </c>
      <c r="AS42" s="127">
        <f t="shared" si="63"/>
        <v>0</v>
      </c>
      <c r="AT42" s="127">
        <f t="shared" si="64"/>
        <v>0</v>
      </c>
      <c r="AU42" s="127">
        <f t="shared" si="65"/>
        <v>0</v>
      </c>
      <c r="AV42" s="127">
        <f t="shared" si="66"/>
        <v>0</v>
      </c>
    </row>
    <row r="43" spans="1:48" x14ac:dyDescent="0.15">
      <c r="A43" s="29" t="s">
        <v>35</v>
      </c>
      <c r="B43" s="30">
        <f>IF(Data!D38=1, MAX(Data!AA38, Inputs!$E$25) + INDEX(Inputs!$D$38:$D$42, MATCH( Data!AD38, Inputs!$B$38:$B$42, 0), 0), MAX(Data!AA38, Inputs!$E$26) +  INDEX(Inputs!$D$38:$D$42, MATCH( Data!AD38, Inputs!$B$38:$B$42, 0), 0))</f>
        <v>0.36745699999999998</v>
      </c>
      <c r="C43" s="141">
        <f>(100*Data!R38)</f>
        <v>600</v>
      </c>
      <c r="D43" s="141">
        <f>ROUND(Data!Q38*C43, 0)</f>
        <v>63000</v>
      </c>
      <c r="E43" s="141">
        <f>(100*Data!T38)</f>
        <v>0</v>
      </c>
      <c r="F43" s="141">
        <f>E43*Data!S38</f>
        <v>0</v>
      </c>
      <c r="G43" s="142">
        <f>ROUND(Inputs!$E$21*Data!W38*B43, 0)</f>
        <v>1143350</v>
      </c>
      <c r="H43" s="143">
        <f>IF(G43=0, 0,IF(Inputs!$E$30="Yes", IF(Data!D38=1, MAX(Outputs!D43+Outputs!F43+Outputs!G43, Data!AE38), Outputs!D43+Outputs!F43+Outputs!G43), Outputs!D43+Outputs!F43+Outputs!G43))</f>
        <v>1206350</v>
      </c>
      <c r="I43" s="143">
        <f>INDEX('FY 22 OFA Shell'!$AQ$27:$AQ$195,MATCH(Outputs!A43,'FY 22 OFA Shell'!$I$27:$I$195,0))</f>
        <v>1206350</v>
      </c>
      <c r="J43" s="129">
        <f>H43-Data!AT38</f>
        <v>-445797</v>
      </c>
      <c r="K43" s="127">
        <f>((H43)/(Data!AT38)) - 1</f>
        <v>-0.26982889537069044</v>
      </c>
      <c r="L43" s="127">
        <f t="shared" si="46"/>
        <v>0</v>
      </c>
      <c r="M43" s="143">
        <f>(IF(Inputs!$E$30="Yes",INDEX(Data!AT:AT,MATCH(Outputs!A43,Data!A:A,0)),INDEX(Data!AS:AS,MATCH(Outputs!A43,Data!A:A,0))))</f>
        <v>1652147</v>
      </c>
      <c r="N43" s="143">
        <f>IF(Inputs!$E$30="Yes",INDEX(Data!BN:BN,MATCH(Outputs!$A43,Data!$A:$A,0)),INDEX(Data!BE:BE,MATCH(Outputs!$A43,Data!$A:$A,0)))</f>
        <v>1652147</v>
      </c>
      <c r="O43" s="143">
        <f>IF(Inputs!$E$30="Yes",INDEX(Data!BO:BO,MATCH(Outputs!$A43,Data!$A:$A,0)),INDEX(Data!BF:BF,MATCH(Outputs!$A43,Data!$A:$A,0)))</f>
        <v>1597948.5214</v>
      </c>
      <c r="P43" s="143">
        <f>IF(Inputs!$E$30="Yes",INDEX(Data!BP:BP,MATCH(Outputs!$A43,Data!$A:$A,0)),INDEX(Data!BG:BG,MATCH(Outputs!$A43,Data!$A:$A,0)))</f>
        <v>1543750.0427999999</v>
      </c>
      <c r="Q43" s="143">
        <f>IF(Inputs!$E$30="Yes",INDEX(Data!BQ:BQ,MATCH(Outputs!$A43,Data!$A:$A,0)),INDEX(Data!BH:BH,MATCH(Outputs!$A43,Data!$A:$A,0)))</f>
        <v>1489551.5641999999</v>
      </c>
      <c r="R43" s="143">
        <f>IF(Inputs!$E$30="Yes",INDEX(Data!BR:BR,MATCH(Outputs!$A43,Data!$A:$A,0)),INDEX(Data!BI:BI,MATCH(Outputs!$A43,Data!$A:$A,0)))</f>
        <v>1435353.0855999999</v>
      </c>
      <c r="S43" s="143">
        <f>IF(Inputs!$E$30="Yes",INDEX(Data!BS:BS,MATCH(Outputs!$A43,Data!$A:$A,0)),INDEX(Data!BJ:BJ,MATCH(Outputs!$A43,Data!$A:$A,0)))</f>
        <v>1381154.6069999998</v>
      </c>
      <c r="T43" s="143">
        <f>IF(Inputs!$E$30="Yes",INDEX(Data!BT:BT,MATCH(Outputs!$A43,Data!$A:$A,0)),INDEX(Data!BK:BK,MATCH(Outputs!$A43,Data!$A:$A,0)))</f>
        <v>1326956.1283999998</v>
      </c>
      <c r="U43" s="143">
        <f>IF(Inputs!$E$30="Yes",INDEX(Data!BU:BU,MATCH(Outputs!$A43,Data!$A:$A,0)),INDEX(Data!BL:BL,MATCH(Outputs!$A43,Data!$A:$A,0)))</f>
        <v>1206350</v>
      </c>
      <c r="V43" s="143">
        <f>INDEX('FY 22 OFA Shell'!$AX$27:$AX$195,MATCH(Outputs!A43,'FY 22 OFA Shell'!$I$27:$I$195,0))</f>
        <v>1652147</v>
      </c>
      <c r="W43" s="143">
        <f>INDEX('FY 23 OFA Shell'!$AX$27:$AX$195,MATCH(Outputs!A43,'FY 23 OFA Shell'!$I$27:$I$195,0))</f>
        <v>1652147</v>
      </c>
      <c r="X43" s="143">
        <f>INDEX('FY 23 OFA Shell'!BK$27:BK$195,MATCH(Outputs!$A43,'FY 23 OFA Shell'!$I$27:$I$195,0))</f>
        <v>1597948.5214</v>
      </c>
      <c r="Y43" s="143">
        <f>INDEX('FY 23 OFA Shell'!BL$27:BL$195,MATCH(Outputs!$A43,'FY 23 OFA Shell'!$I$27:$I$195,0))</f>
        <v>1543750.0427999999</v>
      </c>
      <c r="Z43" s="143">
        <f>INDEX('FY 23 OFA Shell'!BM$27:BM$195,MATCH(Outputs!$A43,'FY 23 OFA Shell'!$I$27:$I$195,0))</f>
        <v>1489551.5641999999</v>
      </c>
      <c r="AA43" s="143">
        <f>INDEX('FY 23 OFA Shell'!BN$27:BN$195,MATCH(Outputs!$A43,'FY 23 OFA Shell'!$I$27:$I$195,0))</f>
        <v>1435353.0855999999</v>
      </c>
      <c r="AB43" s="143">
        <f>INDEX('FY 23 OFA Shell'!BO$27:BO$195,MATCH(Outputs!$A43,'FY 23 OFA Shell'!$I$27:$I$195,0))</f>
        <v>1381154.6069999998</v>
      </c>
      <c r="AC43" s="143">
        <f>INDEX('FY 23 OFA Shell'!BP$27:BP$195,MATCH(Outputs!$A43,'FY 23 OFA Shell'!$I$27:$I$195,0))</f>
        <v>1326956.1283999998</v>
      </c>
      <c r="AD43" s="143">
        <f>INDEX('FY 23 OFA Shell'!BQ$27:BQ$195,MATCH(Outputs!$A43,'FY 23 OFA Shell'!$I$27:$I$195,0))</f>
        <v>1206350</v>
      </c>
      <c r="AE43" s="129">
        <f t="shared" si="49"/>
        <v>0</v>
      </c>
      <c r="AF43" s="129">
        <f t="shared" si="50"/>
        <v>0</v>
      </c>
      <c r="AG43" s="129">
        <f t="shared" si="51"/>
        <v>0</v>
      </c>
      <c r="AH43" s="129">
        <f t="shared" si="52"/>
        <v>0</v>
      </c>
      <c r="AI43" s="129">
        <f t="shared" si="53"/>
        <v>0</v>
      </c>
      <c r="AJ43" s="129">
        <f t="shared" si="54"/>
        <v>0</v>
      </c>
      <c r="AK43" s="129">
        <f t="shared" si="55"/>
        <v>0</v>
      </c>
      <c r="AL43" s="129">
        <f t="shared" si="56"/>
        <v>0</v>
      </c>
      <c r="AM43" s="129">
        <f t="shared" si="57"/>
        <v>0</v>
      </c>
      <c r="AN43" s="127">
        <f t="shared" si="58"/>
        <v>0</v>
      </c>
      <c r="AO43" s="127">
        <f t="shared" si="59"/>
        <v>0</v>
      </c>
      <c r="AP43" s="127">
        <f t="shared" si="60"/>
        <v>0</v>
      </c>
      <c r="AQ43" s="127">
        <f t="shared" si="61"/>
        <v>0</v>
      </c>
      <c r="AR43" s="127">
        <f t="shared" si="62"/>
        <v>0</v>
      </c>
      <c r="AS43" s="127">
        <f t="shared" si="63"/>
        <v>0</v>
      </c>
      <c r="AT43" s="127">
        <f t="shared" si="64"/>
        <v>0</v>
      </c>
      <c r="AU43" s="127">
        <f t="shared" si="65"/>
        <v>0</v>
      </c>
      <c r="AV43" s="127">
        <f t="shared" si="66"/>
        <v>0</v>
      </c>
    </row>
    <row r="44" spans="1:48" x14ac:dyDescent="0.15">
      <c r="A44" s="29" t="s">
        <v>36</v>
      </c>
      <c r="B44" s="30">
        <f>IF(Data!D39=1, MAX(Data!AA39, Inputs!$E$25) + INDEX(Inputs!$D$38:$D$42, MATCH( Data!AD39, Inputs!$B$38:$B$42, 0), 0), MAX(Data!AA39, Inputs!$E$26) +  INDEX(Inputs!$D$38:$D$42, MATCH( Data!AD39, Inputs!$B$38:$B$42, 0), 0))</f>
        <v>0.206487</v>
      </c>
      <c r="C44" s="141">
        <f>(100*Data!R39)</f>
        <v>0</v>
      </c>
      <c r="D44" s="141">
        <f>ROUND(Data!Q39*C44, 0)</f>
        <v>0</v>
      </c>
      <c r="E44" s="141">
        <f>(100*Data!T39)</f>
        <v>0</v>
      </c>
      <c r="F44" s="141">
        <f>E44*Data!S39</f>
        <v>0</v>
      </c>
      <c r="G44" s="142">
        <f>ROUND(Inputs!$E$21*Data!W39*B44, 0)</f>
        <v>10194737</v>
      </c>
      <c r="H44" s="143">
        <f>IF(G44=0, 0,IF(Inputs!$E$30="Yes", IF(Data!D39=1, MAX(Outputs!D44+Outputs!F44+Outputs!G44, Data!AE39), Outputs!D44+Outputs!F44+Outputs!G44), Outputs!D44+Outputs!F44+Outputs!G44))</f>
        <v>10194737</v>
      </c>
      <c r="I44" s="143">
        <f>INDEX('FY 22 OFA Shell'!$AQ$27:$AQ$195,MATCH(Outputs!A44,'FY 22 OFA Shell'!$I$27:$I$195,0))</f>
        <v>10194737</v>
      </c>
      <c r="J44" s="129">
        <f>H44-Data!AT39</f>
        <v>774514.52480000071</v>
      </c>
      <c r="K44" s="127">
        <f>((H44)/(Data!AT39)) - 1</f>
        <v>8.2218283786716695E-2</v>
      </c>
      <c r="L44" s="127">
        <f t="shared" si="46"/>
        <v>0</v>
      </c>
      <c r="M44" s="143">
        <f>(IF(Inputs!$E$30="Yes",INDEX(Data!AT:AT,MATCH(Outputs!A44,Data!A:A,0)),INDEX(Data!AS:AS,MATCH(Outputs!A44,Data!A:A,0))))</f>
        <v>9420222.4751999993</v>
      </c>
      <c r="N44" s="143">
        <f>IF(Inputs!$E$30="Yes",INDEX(Data!BN:BN,MATCH(Outputs!$A44,Data!$A:$A,0)),INDEX(Data!BE:BE,MATCH(Outputs!$A44,Data!$A:$A,0)))</f>
        <v>9501032.9503999986</v>
      </c>
      <c r="O44" s="143">
        <f>IF(Inputs!$E$30="Yes",INDEX(Data!BO:BO,MATCH(Outputs!$A44,Data!$A:$A,0)),INDEX(Data!BF:BF,MATCH(Outputs!$A44,Data!$A:$A,0)))</f>
        <v>9581843.4255999979</v>
      </c>
      <c r="P44" s="143">
        <f>IF(Inputs!$E$30="Yes",INDEX(Data!BP:BP,MATCH(Outputs!$A44,Data!$A:$A,0)),INDEX(Data!BG:BG,MATCH(Outputs!$A44,Data!$A:$A,0)))</f>
        <v>9662653.9007999972</v>
      </c>
      <c r="Q44" s="143">
        <f>IF(Inputs!$E$30="Yes",INDEX(Data!BQ:BQ,MATCH(Outputs!$A44,Data!$A:$A,0)),INDEX(Data!BH:BH,MATCH(Outputs!$A44,Data!$A:$A,0)))</f>
        <v>9743464.3759999964</v>
      </c>
      <c r="R44" s="143">
        <f>IF(Inputs!$E$30="Yes",INDEX(Data!BR:BR,MATCH(Outputs!$A44,Data!$A:$A,0)),INDEX(Data!BI:BI,MATCH(Outputs!$A44,Data!$A:$A,0)))</f>
        <v>9824274.8511999957</v>
      </c>
      <c r="S44" s="143">
        <f>IF(Inputs!$E$30="Yes",INDEX(Data!BS:BS,MATCH(Outputs!$A44,Data!$A:$A,0)),INDEX(Data!BJ:BJ,MATCH(Outputs!$A44,Data!$A:$A,0)))</f>
        <v>10194737</v>
      </c>
      <c r="T44" s="143">
        <f>IF(Inputs!$E$30="Yes",INDEX(Data!BT:BT,MATCH(Outputs!$A44,Data!$A:$A,0)),INDEX(Data!BK:BK,MATCH(Outputs!$A44,Data!$A:$A,0)))</f>
        <v>10194737</v>
      </c>
      <c r="U44" s="143">
        <f>IF(Inputs!$E$30="Yes",INDEX(Data!BU:BU,MATCH(Outputs!$A44,Data!$A:$A,0)),INDEX(Data!BL:BL,MATCH(Outputs!$A44,Data!$A:$A,0)))</f>
        <v>10194737</v>
      </c>
      <c r="V44" s="143">
        <f>INDEX('FY 22 OFA Shell'!$AX$27:$AX$195,MATCH(Outputs!A44,'FY 22 OFA Shell'!$I$27:$I$195,0))</f>
        <v>9420222.4751999993</v>
      </c>
      <c r="W44" s="143">
        <f>INDEX('FY 23 OFA Shell'!$AX$27:$AX$195,MATCH(Outputs!A44,'FY 23 OFA Shell'!$I$27:$I$195,0))</f>
        <v>9501032.9503999986</v>
      </c>
      <c r="X44" s="143">
        <f>INDEX('FY 23 OFA Shell'!BK$27:BK$195,MATCH(Outputs!$A44,'FY 23 OFA Shell'!$I$27:$I$195,0))</f>
        <v>9581843.4255999979</v>
      </c>
      <c r="Y44" s="143">
        <f>INDEX('FY 23 OFA Shell'!BL$27:BL$195,MATCH(Outputs!$A44,'FY 23 OFA Shell'!$I$27:$I$195,0))</f>
        <v>9662653.9007999972</v>
      </c>
      <c r="Z44" s="143">
        <f>INDEX('FY 23 OFA Shell'!BM$27:BM$195,MATCH(Outputs!$A44,'FY 23 OFA Shell'!$I$27:$I$195,0))</f>
        <v>9743464.3759999964</v>
      </c>
      <c r="AA44" s="143">
        <f>INDEX('FY 23 OFA Shell'!BN$27:BN$195,MATCH(Outputs!$A44,'FY 23 OFA Shell'!$I$27:$I$195,0))</f>
        <v>9824274.8511999957</v>
      </c>
      <c r="AB44" s="143">
        <f>INDEX('FY 23 OFA Shell'!BO$27:BO$195,MATCH(Outputs!$A44,'FY 23 OFA Shell'!$I$27:$I$195,0))</f>
        <v>10194737</v>
      </c>
      <c r="AC44" s="143">
        <f>INDEX('FY 23 OFA Shell'!BP$27:BP$195,MATCH(Outputs!$A44,'FY 23 OFA Shell'!$I$27:$I$195,0))</f>
        <v>10194737</v>
      </c>
      <c r="AD44" s="143">
        <f>INDEX('FY 23 OFA Shell'!BQ$27:BQ$195,MATCH(Outputs!$A44,'FY 23 OFA Shell'!$I$27:$I$195,0))</f>
        <v>10194737</v>
      </c>
      <c r="AE44" s="129">
        <f t="shared" si="49"/>
        <v>0</v>
      </c>
      <c r="AF44" s="129">
        <f t="shared" si="50"/>
        <v>0</v>
      </c>
      <c r="AG44" s="129">
        <f t="shared" si="51"/>
        <v>0</v>
      </c>
      <c r="AH44" s="129">
        <f t="shared" si="52"/>
        <v>0</v>
      </c>
      <c r="AI44" s="129">
        <f t="shared" si="53"/>
        <v>0</v>
      </c>
      <c r="AJ44" s="129">
        <f t="shared" si="54"/>
        <v>0</v>
      </c>
      <c r="AK44" s="129">
        <f t="shared" si="55"/>
        <v>0</v>
      </c>
      <c r="AL44" s="129">
        <f t="shared" si="56"/>
        <v>0</v>
      </c>
      <c r="AM44" s="129">
        <f t="shared" si="57"/>
        <v>0</v>
      </c>
      <c r="AN44" s="127">
        <f t="shared" si="58"/>
        <v>0</v>
      </c>
      <c r="AO44" s="127">
        <f t="shared" si="59"/>
        <v>0</v>
      </c>
      <c r="AP44" s="127">
        <f t="shared" si="60"/>
        <v>0</v>
      </c>
      <c r="AQ44" s="127">
        <f t="shared" si="61"/>
        <v>0</v>
      </c>
      <c r="AR44" s="127">
        <f t="shared" si="62"/>
        <v>0</v>
      </c>
      <c r="AS44" s="127">
        <f t="shared" si="63"/>
        <v>0</v>
      </c>
      <c r="AT44" s="127">
        <f t="shared" si="64"/>
        <v>0</v>
      </c>
      <c r="AU44" s="127">
        <f t="shared" si="65"/>
        <v>0</v>
      </c>
      <c r="AV44" s="127">
        <f t="shared" si="66"/>
        <v>0</v>
      </c>
    </row>
    <row r="45" spans="1:48" x14ac:dyDescent="0.15">
      <c r="A45" s="29" t="s">
        <v>37</v>
      </c>
      <c r="B45" s="30">
        <f>IF(Data!D40=1, MAX(Data!AA40, Inputs!$E$25) + INDEX(Inputs!$D$38:$D$42, MATCH( Data!AD40, Inputs!$B$38:$B$42, 0), 0), MAX(Data!AA40, Inputs!$E$26) +  INDEX(Inputs!$D$38:$D$42, MATCH( Data!AD40, Inputs!$B$38:$B$42, 0), 0))</f>
        <v>0.220193</v>
      </c>
      <c r="C45" s="141">
        <f>(100*Data!R40)</f>
        <v>600</v>
      </c>
      <c r="D45" s="141">
        <f>ROUND(Data!Q40*C45, 0)</f>
        <v>120600</v>
      </c>
      <c r="E45" s="141">
        <f>(100*Data!T40)</f>
        <v>0</v>
      </c>
      <c r="F45" s="141">
        <f>E45*Data!S40</f>
        <v>0</v>
      </c>
      <c r="G45" s="142">
        <f>ROUND(Inputs!$E$21*Data!W40*B45, 0)</f>
        <v>1119035</v>
      </c>
      <c r="H45" s="143">
        <f>IF(G45=0, 0,IF(Inputs!$E$30="Yes", IF(Data!D40=1, MAX(Outputs!D45+Outputs!F45+Outputs!G45, Data!AE40), Outputs!D45+Outputs!F45+Outputs!G45), Outputs!D45+Outputs!F45+Outputs!G45))</f>
        <v>1239635</v>
      </c>
      <c r="I45" s="143">
        <f>INDEX('FY 22 OFA Shell'!$AQ$27:$AQ$195,MATCH(Outputs!A45,'FY 22 OFA Shell'!$I$27:$I$195,0))</f>
        <v>1239635</v>
      </c>
      <c r="J45" s="129">
        <f>H45-Data!AT40</f>
        <v>409471.33459999994</v>
      </c>
      <c r="K45" s="127">
        <f>((H45)/(Data!AT40)) - 1</f>
        <v>0.49324169638610149</v>
      </c>
      <c r="L45" s="127">
        <f t="shared" si="46"/>
        <v>0</v>
      </c>
      <c r="M45" s="143">
        <f>(IF(Inputs!$E$30="Yes",INDEX(Data!AT:AT,MATCH(Outputs!A45,Data!A:A,0)),INDEX(Data!AS:AS,MATCH(Outputs!A45,Data!A:A,0))))</f>
        <v>830163.66540000006</v>
      </c>
      <c r="N45" s="143">
        <f>IF(Inputs!$E$30="Yes",INDEX(Data!BN:BN,MATCH(Outputs!$A45,Data!$A:$A,0)),INDEX(Data!BE:BE,MATCH(Outputs!$A45,Data!$A:$A,0)))</f>
        <v>892036.33080000011</v>
      </c>
      <c r="O45" s="143">
        <f>IF(Inputs!$E$30="Yes",INDEX(Data!BO:BO,MATCH(Outputs!$A45,Data!$A:$A,0)),INDEX(Data!BF:BF,MATCH(Outputs!$A45,Data!$A:$A,0)))</f>
        <v>953908.99620000017</v>
      </c>
      <c r="P45" s="143">
        <f>IF(Inputs!$E$30="Yes",INDEX(Data!BP:BP,MATCH(Outputs!$A45,Data!$A:$A,0)),INDEX(Data!BG:BG,MATCH(Outputs!$A45,Data!$A:$A,0)))</f>
        <v>1015781.6616000002</v>
      </c>
      <c r="Q45" s="143">
        <f>IF(Inputs!$E$30="Yes",INDEX(Data!BQ:BQ,MATCH(Outputs!$A45,Data!$A:$A,0)),INDEX(Data!BH:BH,MATCH(Outputs!$A45,Data!$A:$A,0)))</f>
        <v>1077654.3270000003</v>
      </c>
      <c r="R45" s="143">
        <f>IF(Inputs!$E$30="Yes",INDEX(Data!BR:BR,MATCH(Outputs!$A45,Data!$A:$A,0)),INDEX(Data!BI:BI,MATCH(Outputs!$A45,Data!$A:$A,0)))</f>
        <v>1139526.9924000003</v>
      </c>
      <c r="S45" s="143">
        <f>IF(Inputs!$E$30="Yes",INDEX(Data!BS:BS,MATCH(Outputs!$A45,Data!$A:$A,0)),INDEX(Data!BJ:BJ,MATCH(Outputs!$A45,Data!$A:$A,0)))</f>
        <v>1239635</v>
      </c>
      <c r="T45" s="143">
        <f>IF(Inputs!$E$30="Yes",INDEX(Data!BT:BT,MATCH(Outputs!$A45,Data!$A:$A,0)),INDEX(Data!BK:BK,MATCH(Outputs!$A45,Data!$A:$A,0)))</f>
        <v>1239635</v>
      </c>
      <c r="U45" s="143">
        <f>IF(Inputs!$E$30="Yes",INDEX(Data!BU:BU,MATCH(Outputs!$A45,Data!$A:$A,0)),INDEX(Data!BL:BL,MATCH(Outputs!$A45,Data!$A:$A,0)))</f>
        <v>1239635</v>
      </c>
      <c r="V45" s="143">
        <f>INDEX('FY 22 OFA Shell'!$AX$27:$AX$195,MATCH(Outputs!A45,'FY 22 OFA Shell'!$I$27:$I$195,0))</f>
        <v>830163.66540000006</v>
      </c>
      <c r="W45" s="143">
        <f>INDEX('FY 23 OFA Shell'!$AX$27:$AX$195,MATCH(Outputs!A45,'FY 23 OFA Shell'!$I$27:$I$195,0))</f>
        <v>892036.33080000011</v>
      </c>
      <c r="X45" s="143">
        <f>INDEX('FY 23 OFA Shell'!BK$27:BK$195,MATCH(Outputs!$A45,'FY 23 OFA Shell'!$I$27:$I$195,0))</f>
        <v>953908.99620000017</v>
      </c>
      <c r="Y45" s="143">
        <f>INDEX('FY 23 OFA Shell'!BL$27:BL$195,MATCH(Outputs!$A45,'FY 23 OFA Shell'!$I$27:$I$195,0))</f>
        <v>1015781.6616000002</v>
      </c>
      <c r="Z45" s="143">
        <f>INDEX('FY 23 OFA Shell'!BM$27:BM$195,MATCH(Outputs!$A45,'FY 23 OFA Shell'!$I$27:$I$195,0))</f>
        <v>1077654.3270000003</v>
      </c>
      <c r="AA45" s="143">
        <f>INDEX('FY 23 OFA Shell'!BN$27:BN$195,MATCH(Outputs!$A45,'FY 23 OFA Shell'!$I$27:$I$195,0))</f>
        <v>1139526.9924000003</v>
      </c>
      <c r="AB45" s="143">
        <f>INDEX('FY 23 OFA Shell'!BO$27:BO$195,MATCH(Outputs!$A45,'FY 23 OFA Shell'!$I$27:$I$195,0))</f>
        <v>1239635</v>
      </c>
      <c r="AC45" s="143">
        <f>INDEX('FY 23 OFA Shell'!BP$27:BP$195,MATCH(Outputs!$A45,'FY 23 OFA Shell'!$I$27:$I$195,0))</f>
        <v>1239635</v>
      </c>
      <c r="AD45" s="143">
        <f>INDEX('FY 23 OFA Shell'!BQ$27:BQ$195,MATCH(Outputs!$A45,'FY 23 OFA Shell'!$I$27:$I$195,0))</f>
        <v>1239635</v>
      </c>
      <c r="AE45" s="129">
        <f t="shared" si="49"/>
        <v>0</v>
      </c>
      <c r="AF45" s="129">
        <f t="shared" si="50"/>
        <v>0</v>
      </c>
      <c r="AG45" s="129">
        <f t="shared" si="51"/>
        <v>0</v>
      </c>
      <c r="AH45" s="129">
        <f t="shared" si="52"/>
        <v>0</v>
      </c>
      <c r="AI45" s="129">
        <f t="shared" si="53"/>
        <v>0</v>
      </c>
      <c r="AJ45" s="129">
        <f t="shared" si="54"/>
        <v>0</v>
      </c>
      <c r="AK45" s="129">
        <f t="shared" si="55"/>
        <v>0</v>
      </c>
      <c r="AL45" s="129">
        <f t="shared" si="56"/>
        <v>0</v>
      </c>
      <c r="AM45" s="129">
        <f t="shared" si="57"/>
        <v>0</v>
      </c>
      <c r="AN45" s="127">
        <f t="shared" si="58"/>
        <v>0</v>
      </c>
      <c r="AO45" s="127">
        <f t="shared" si="59"/>
        <v>0</v>
      </c>
      <c r="AP45" s="127">
        <f t="shared" si="60"/>
        <v>0</v>
      </c>
      <c r="AQ45" s="127">
        <f t="shared" si="61"/>
        <v>0</v>
      </c>
      <c r="AR45" s="127">
        <f t="shared" si="62"/>
        <v>0</v>
      </c>
      <c r="AS45" s="127">
        <f t="shared" si="63"/>
        <v>0</v>
      </c>
      <c r="AT45" s="127">
        <f t="shared" si="64"/>
        <v>0</v>
      </c>
      <c r="AU45" s="127">
        <f t="shared" si="65"/>
        <v>0</v>
      </c>
      <c r="AV45" s="127">
        <f t="shared" si="66"/>
        <v>0</v>
      </c>
    </row>
    <row r="46" spans="1:48" x14ac:dyDescent="0.15">
      <c r="A46" s="29" t="s">
        <v>38</v>
      </c>
      <c r="B46" s="30">
        <f>IF(Data!D41=1, MAX(Data!AA41, Inputs!$E$25) + INDEX(Inputs!$D$38:$D$42, MATCH( Data!AD41, Inputs!$B$38:$B$42, 0), 0), MAX(Data!AA41, Inputs!$E$26) +  INDEX(Inputs!$D$38:$D$42, MATCH( Data!AD41, Inputs!$B$38:$B$42, 0), 0))</f>
        <v>0.15943299999999999</v>
      </c>
      <c r="C46" s="141">
        <f>(100*Data!R41)</f>
        <v>0</v>
      </c>
      <c r="D46" s="141">
        <f>ROUND(Data!Q41*C46, 0)</f>
        <v>0</v>
      </c>
      <c r="E46" s="141">
        <f>(100*Data!T41)</f>
        <v>0</v>
      </c>
      <c r="F46" s="141">
        <f>E46*Data!S41</f>
        <v>0</v>
      </c>
      <c r="G46" s="142">
        <f>ROUND(Inputs!$E$21*Data!W41*B46, 0)</f>
        <v>3218100</v>
      </c>
      <c r="H46" s="143">
        <f>IF(G46=0, 0,IF(Inputs!$E$30="Yes", IF(Data!D41=1, MAX(Outputs!D46+Outputs!F46+Outputs!G46, Data!AE41), Outputs!D46+Outputs!F46+Outputs!G46), Outputs!D46+Outputs!F46+Outputs!G46))</f>
        <v>3218100</v>
      </c>
      <c r="I46" s="143">
        <f>INDEX('FY 22 OFA Shell'!$AQ$27:$AQ$195,MATCH(Outputs!A46,'FY 22 OFA Shell'!$I$27:$I$195,0))</f>
        <v>3218100</v>
      </c>
      <c r="J46" s="129">
        <f>H46-Data!AT41</f>
        <v>-1973984</v>
      </c>
      <c r="K46" s="127">
        <f>((H46)/(Data!AT41)) - 1</f>
        <v>-0.38019107549107445</v>
      </c>
      <c r="L46" s="127">
        <f t="shared" si="46"/>
        <v>0</v>
      </c>
      <c r="M46" s="143">
        <f>(IF(Inputs!$E$30="Yes",INDEX(Data!AT:AT,MATCH(Outputs!A46,Data!A:A,0)),INDEX(Data!AS:AS,MATCH(Outputs!A46,Data!A:A,0))))</f>
        <v>5192084</v>
      </c>
      <c r="N46" s="143">
        <f>IF(Inputs!$E$30="Yes",INDEX(Data!BN:BN,MATCH(Outputs!$A46,Data!$A:$A,0)),INDEX(Data!BE:BE,MATCH(Outputs!$A46,Data!$A:$A,0)))</f>
        <v>5192084</v>
      </c>
      <c r="O46" s="143">
        <f>IF(Inputs!$E$30="Yes",INDEX(Data!BO:BO,MATCH(Outputs!$A46,Data!$A:$A,0)),INDEX(Data!BF:BF,MATCH(Outputs!$A46,Data!$A:$A,0)))</f>
        <v>4933112.7966</v>
      </c>
      <c r="P46" s="143">
        <f>IF(Inputs!$E$30="Yes",INDEX(Data!BP:BP,MATCH(Outputs!$A46,Data!$A:$A,0)),INDEX(Data!BG:BG,MATCH(Outputs!$A46,Data!$A:$A,0)))</f>
        <v>4674141.5932</v>
      </c>
      <c r="Q46" s="143">
        <f>IF(Inputs!$E$30="Yes",INDEX(Data!BQ:BQ,MATCH(Outputs!$A46,Data!$A:$A,0)),INDEX(Data!BH:BH,MATCH(Outputs!$A46,Data!$A:$A,0)))</f>
        <v>4415170.3898</v>
      </c>
      <c r="R46" s="143">
        <f>IF(Inputs!$E$30="Yes",INDEX(Data!BR:BR,MATCH(Outputs!$A46,Data!$A:$A,0)),INDEX(Data!BI:BI,MATCH(Outputs!$A46,Data!$A:$A,0)))</f>
        <v>4156199.1864</v>
      </c>
      <c r="S46" s="143">
        <f>IF(Inputs!$E$30="Yes",INDEX(Data!BS:BS,MATCH(Outputs!$A46,Data!$A:$A,0)),INDEX(Data!BJ:BJ,MATCH(Outputs!$A46,Data!$A:$A,0)))</f>
        <v>3897227.983</v>
      </c>
      <c r="T46" s="143">
        <f>IF(Inputs!$E$30="Yes",INDEX(Data!BT:BT,MATCH(Outputs!$A46,Data!$A:$A,0)),INDEX(Data!BK:BK,MATCH(Outputs!$A46,Data!$A:$A,0)))</f>
        <v>3638256.7796</v>
      </c>
      <c r="U46" s="143">
        <f>IF(Inputs!$E$30="Yes",INDEX(Data!BU:BU,MATCH(Outputs!$A46,Data!$A:$A,0)),INDEX(Data!BL:BL,MATCH(Outputs!$A46,Data!$A:$A,0)))</f>
        <v>3218100</v>
      </c>
      <c r="V46" s="143">
        <f>INDEX('FY 22 OFA Shell'!$AX$27:$AX$195,MATCH(Outputs!A46,'FY 22 OFA Shell'!$I$27:$I$195,0))</f>
        <v>5192084</v>
      </c>
      <c r="W46" s="143">
        <f>INDEX('FY 23 OFA Shell'!$AX$27:$AX$195,MATCH(Outputs!A46,'FY 23 OFA Shell'!$I$27:$I$195,0))</f>
        <v>5192084</v>
      </c>
      <c r="X46" s="143">
        <f>INDEX('FY 23 OFA Shell'!BK$27:BK$195,MATCH(Outputs!$A46,'FY 23 OFA Shell'!$I$27:$I$195,0))</f>
        <v>4933112.7966</v>
      </c>
      <c r="Y46" s="143">
        <f>INDEX('FY 23 OFA Shell'!BL$27:BL$195,MATCH(Outputs!$A46,'FY 23 OFA Shell'!$I$27:$I$195,0))</f>
        <v>4674141.5932</v>
      </c>
      <c r="Z46" s="143">
        <f>INDEX('FY 23 OFA Shell'!BM$27:BM$195,MATCH(Outputs!$A46,'FY 23 OFA Shell'!$I$27:$I$195,0))</f>
        <v>4415170.3898</v>
      </c>
      <c r="AA46" s="143">
        <f>INDEX('FY 23 OFA Shell'!BN$27:BN$195,MATCH(Outputs!$A46,'FY 23 OFA Shell'!$I$27:$I$195,0))</f>
        <v>4156199.1864</v>
      </c>
      <c r="AB46" s="143">
        <f>INDEX('FY 23 OFA Shell'!BO$27:BO$195,MATCH(Outputs!$A46,'FY 23 OFA Shell'!$I$27:$I$195,0))</f>
        <v>3897227.983</v>
      </c>
      <c r="AC46" s="143">
        <f>INDEX('FY 23 OFA Shell'!BP$27:BP$195,MATCH(Outputs!$A46,'FY 23 OFA Shell'!$I$27:$I$195,0))</f>
        <v>3638256.7796</v>
      </c>
      <c r="AD46" s="143">
        <f>INDEX('FY 23 OFA Shell'!BQ$27:BQ$195,MATCH(Outputs!$A46,'FY 23 OFA Shell'!$I$27:$I$195,0))</f>
        <v>3218100</v>
      </c>
      <c r="AE46" s="129">
        <f t="shared" si="49"/>
        <v>0</v>
      </c>
      <c r="AF46" s="129">
        <f t="shared" si="50"/>
        <v>0</v>
      </c>
      <c r="AG46" s="129">
        <f t="shared" si="51"/>
        <v>0</v>
      </c>
      <c r="AH46" s="129">
        <f t="shared" si="52"/>
        <v>0</v>
      </c>
      <c r="AI46" s="129">
        <f t="shared" si="53"/>
        <v>0</v>
      </c>
      <c r="AJ46" s="129">
        <f t="shared" si="54"/>
        <v>0</v>
      </c>
      <c r="AK46" s="129">
        <f t="shared" si="55"/>
        <v>0</v>
      </c>
      <c r="AL46" s="129">
        <f t="shared" si="56"/>
        <v>0</v>
      </c>
      <c r="AM46" s="129">
        <f t="shared" si="57"/>
        <v>0</v>
      </c>
      <c r="AN46" s="127">
        <f t="shared" si="58"/>
        <v>0</v>
      </c>
      <c r="AO46" s="127">
        <f t="shared" si="59"/>
        <v>0</v>
      </c>
      <c r="AP46" s="127">
        <f t="shared" si="60"/>
        <v>0</v>
      </c>
      <c r="AQ46" s="127">
        <f t="shared" si="61"/>
        <v>0</v>
      </c>
      <c r="AR46" s="127">
        <f t="shared" si="62"/>
        <v>0</v>
      </c>
      <c r="AS46" s="127">
        <f t="shared" si="63"/>
        <v>0</v>
      </c>
      <c r="AT46" s="127">
        <f t="shared" si="64"/>
        <v>0</v>
      </c>
      <c r="AU46" s="127">
        <f t="shared" si="65"/>
        <v>0</v>
      </c>
      <c r="AV46" s="127">
        <f t="shared" si="66"/>
        <v>0</v>
      </c>
    </row>
    <row r="47" spans="1:48" x14ac:dyDescent="0.15">
      <c r="A47" s="29" t="s">
        <v>39</v>
      </c>
      <c r="B47" s="30">
        <f>IF(Data!D42=1, MAX(Data!AA42, Inputs!$E$25) + INDEX(Inputs!$D$38:$D$42, MATCH( Data!AD42, Inputs!$B$38:$B$42, 0), 0), MAX(Data!AA42, Inputs!$E$26) +  INDEX(Inputs!$D$38:$D$42, MATCH( Data!AD42, Inputs!$B$38:$B$42, 0), 0))</f>
        <v>0.33427299999999999</v>
      </c>
      <c r="C47" s="141">
        <f>(100*Data!R42)</f>
        <v>0</v>
      </c>
      <c r="D47" s="141">
        <f>ROUND(Data!Q42*C47, 0)</f>
        <v>0</v>
      </c>
      <c r="E47" s="141">
        <f>(100*Data!T42)</f>
        <v>0</v>
      </c>
      <c r="F47" s="141">
        <f>E47*Data!S42</f>
        <v>0</v>
      </c>
      <c r="G47" s="142">
        <f>ROUND(Inputs!$E$21*Data!W42*B47, 0)</f>
        <v>9131456</v>
      </c>
      <c r="H47" s="143">
        <f>IF(G47=0, 0,IF(Inputs!$E$30="Yes", IF(Data!D42=1, MAX(Outputs!D47+Outputs!F47+Outputs!G47, Data!AE42), Outputs!D47+Outputs!F47+Outputs!G47), Outputs!D47+Outputs!F47+Outputs!G47))</f>
        <v>9131456</v>
      </c>
      <c r="I47" s="143">
        <f>INDEX('FY 22 OFA Shell'!$AQ$27:$AQ$195,MATCH(Outputs!A47,'FY 22 OFA Shell'!$I$27:$I$195,0))</f>
        <v>9131456</v>
      </c>
      <c r="J47" s="129">
        <f>H47-Data!AT42</f>
        <v>-2908762</v>
      </c>
      <c r="K47" s="127">
        <f>((H47)/(Data!AT42)) - 1</f>
        <v>-0.24158715398674679</v>
      </c>
      <c r="L47" s="127">
        <f t="shared" si="46"/>
        <v>0</v>
      </c>
      <c r="M47" s="143">
        <f>(IF(Inputs!$E$30="Yes",INDEX(Data!AT:AT,MATCH(Outputs!A47,Data!A:A,0)),INDEX(Data!AS:AS,MATCH(Outputs!A47,Data!A:A,0))))</f>
        <v>12040218</v>
      </c>
      <c r="N47" s="143">
        <f>IF(Inputs!$E$30="Yes",INDEX(Data!BN:BN,MATCH(Outputs!$A47,Data!$A:$A,0)),INDEX(Data!BE:BE,MATCH(Outputs!$A47,Data!$A:$A,0)))</f>
        <v>12040218</v>
      </c>
      <c r="O47" s="143">
        <f>IF(Inputs!$E$30="Yes",INDEX(Data!BO:BO,MATCH(Outputs!$A47,Data!$A:$A,0)),INDEX(Data!BF:BF,MATCH(Outputs!$A47,Data!$A:$A,0)))</f>
        <v>11676042.561799999</v>
      </c>
      <c r="P47" s="143">
        <f>IF(Inputs!$E$30="Yes",INDEX(Data!BP:BP,MATCH(Outputs!$A47,Data!$A:$A,0)),INDEX(Data!BG:BG,MATCH(Outputs!$A47,Data!$A:$A,0)))</f>
        <v>11311867.123599999</v>
      </c>
      <c r="Q47" s="143">
        <f>IF(Inputs!$E$30="Yes",INDEX(Data!BQ:BQ,MATCH(Outputs!$A47,Data!$A:$A,0)),INDEX(Data!BH:BH,MATCH(Outputs!$A47,Data!$A:$A,0)))</f>
        <v>10947691.685399998</v>
      </c>
      <c r="R47" s="143">
        <f>IF(Inputs!$E$30="Yes",INDEX(Data!BR:BR,MATCH(Outputs!$A47,Data!$A:$A,0)),INDEX(Data!BI:BI,MATCH(Outputs!$A47,Data!$A:$A,0)))</f>
        <v>10583516.247199997</v>
      </c>
      <c r="S47" s="143">
        <f>IF(Inputs!$E$30="Yes",INDEX(Data!BS:BS,MATCH(Outputs!$A47,Data!$A:$A,0)),INDEX(Data!BJ:BJ,MATCH(Outputs!$A47,Data!$A:$A,0)))</f>
        <v>10219340.808999997</v>
      </c>
      <c r="T47" s="143">
        <f>IF(Inputs!$E$30="Yes",INDEX(Data!BT:BT,MATCH(Outputs!$A47,Data!$A:$A,0)),INDEX(Data!BK:BK,MATCH(Outputs!$A47,Data!$A:$A,0)))</f>
        <v>9855165.370799996</v>
      </c>
      <c r="U47" s="143">
        <f>IF(Inputs!$E$30="Yes",INDEX(Data!BU:BU,MATCH(Outputs!$A47,Data!$A:$A,0)),INDEX(Data!BL:BL,MATCH(Outputs!$A47,Data!$A:$A,0)))</f>
        <v>9131456</v>
      </c>
      <c r="V47" s="143">
        <f>INDEX('FY 22 OFA Shell'!$AX$27:$AX$195,MATCH(Outputs!A47,'FY 22 OFA Shell'!$I$27:$I$195,0))</f>
        <v>12040218</v>
      </c>
      <c r="W47" s="143">
        <f>INDEX('FY 23 OFA Shell'!$AX$27:$AX$195,MATCH(Outputs!A47,'FY 23 OFA Shell'!$I$27:$I$195,0))</f>
        <v>12040218</v>
      </c>
      <c r="X47" s="143">
        <f>INDEX('FY 23 OFA Shell'!BK$27:BK$195,MATCH(Outputs!$A47,'FY 23 OFA Shell'!$I$27:$I$195,0))</f>
        <v>11676042.561799999</v>
      </c>
      <c r="Y47" s="143">
        <f>INDEX('FY 23 OFA Shell'!BL$27:BL$195,MATCH(Outputs!$A47,'FY 23 OFA Shell'!$I$27:$I$195,0))</f>
        <v>11311867.123599999</v>
      </c>
      <c r="Z47" s="143">
        <f>INDEX('FY 23 OFA Shell'!BM$27:BM$195,MATCH(Outputs!$A47,'FY 23 OFA Shell'!$I$27:$I$195,0))</f>
        <v>10947691.685399998</v>
      </c>
      <c r="AA47" s="143">
        <f>INDEX('FY 23 OFA Shell'!BN$27:BN$195,MATCH(Outputs!$A47,'FY 23 OFA Shell'!$I$27:$I$195,0))</f>
        <v>10583516.247199997</v>
      </c>
      <c r="AB47" s="143">
        <f>INDEX('FY 23 OFA Shell'!BO$27:BO$195,MATCH(Outputs!$A47,'FY 23 OFA Shell'!$I$27:$I$195,0))</f>
        <v>10219340.808999997</v>
      </c>
      <c r="AC47" s="143">
        <f>INDEX('FY 23 OFA Shell'!BP$27:BP$195,MATCH(Outputs!$A47,'FY 23 OFA Shell'!$I$27:$I$195,0))</f>
        <v>9855165.370799996</v>
      </c>
      <c r="AD47" s="143">
        <f>INDEX('FY 23 OFA Shell'!BQ$27:BQ$195,MATCH(Outputs!$A47,'FY 23 OFA Shell'!$I$27:$I$195,0))</f>
        <v>9131456</v>
      </c>
      <c r="AE47" s="129">
        <f t="shared" si="49"/>
        <v>0</v>
      </c>
      <c r="AF47" s="129">
        <f t="shared" si="50"/>
        <v>0</v>
      </c>
      <c r="AG47" s="129">
        <f t="shared" si="51"/>
        <v>0</v>
      </c>
      <c r="AH47" s="129">
        <f t="shared" si="52"/>
        <v>0</v>
      </c>
      <c r="AI47" s="129">
        <f t="shared" si="53"/>
        <v>0</v>
      </c>
      <c r="AJ47" s="129">
        <f t="shared" si="54"/>
        <v>0</v>
      </c>
      <c r="AK47" s="129">
        <f t="shared" si="55"/>
        <v>0</v>
      </c>
      <c r="AL47" s="129">
        <f t="shared" si="56"/>
        <v>0</v>
      </c>
      <c r="AM47" s="129">
        <f t="shared" si="57"/>
        <v>0</v>
      </c>
      <c r="AN47" s="127">
        <f t="shared" si="58"/>
        <v>0</v>
      </c>
      <c r="AO47" s="127">
        <f t="shared" si="59"/>
        <v>0</v>
      </c>
      <c r="AP47" s="127">
        <f t="shared" si="60"/>
        <v>0</v>
      </c>
      <c r="AQ47" s="127">
        <f t="shared" si="61"/>
        <v>0</v>
      </c>
      <c r="AR47" s="127">
        <f t="shared" si="62"/>
        <v>0</v>
      </c>
      <c r="AS47" s="127">
        <f t="shared" si="63"/>
        <v>0</v>
      </c>
      <c r="AT47" s="127">
        <f t="shared" si="64"/>
        <v>0</v>
      </c>
      <c r="AU47" s="127">
        <f t="shared" si="65"/>
        <v>0</v>
      </c>
      <c r="AV47" s="127">
        <f t="shared" si="66"/>
        <v>0</v>
      </c>
    </row>
    <row r="48" spans="1:48" x14ac:dyDescent="0.15">
      <c r="A48" s="29" t="s">
        <v>40</v>
      </c>
      <c r="B48" s="30">
        <f>IF(Data!D43=1, MAX(Data!AA43, Inputs!$E$25) + INDEX(Inputs!$D$38:$D$42, MATCH( Data!AD43, Inputs!$B$38:$B$42, 0), 0), MAX(Data!AA43, Inputs!$E$26) +  INDEX(Inputs!$D$38:$D$42, MATCH( Data!AD43, Inputs!$B$38:$B$42, 0), 0))</f>
        <v>0.13905600000000001</v>
      </c>
      <c r="C48" s="141">
        <f>(100*Data!R43)</f>
        <v>600</v>
      </c>
      <c r="D48" s="141">
        <f>ROUND(Data!Q43*C48, 0)</f>
        <v>53400</v>
      </c>
      <c r="E48" s="141">
        <f>(100*Data!T43)</f>
        <v>0</v>
      </c>
      <c r="F48" s="141">
        <f>E48*Data!S43</f>
        <v>0</v>
      </c>
      <c r="G48" s="142">
        <f>ROUND(Inputs!$E$21*Data!W43*B48, 0)</f>
        <v>293103</v>
      </c>
      <c r="H48" s="143">
        <f>IF(G48=0, 0,IF(Inputs!$E$30="Yes", IF(Data!D43=1, MAX(Outputs!D48+Outputs!F48+Outputs!G48, Data!AE43), Outputs!D48+Outputs!F48+Outputs!G48), Outputs!D48+Outputs!F48+Outputs!G48))</f>
        <v>346503</v>
      </c>
      <c r="I48" s="143">
        <f>INDEX('FY 22 OFA Shell'!$AQ$27:$AQ$195,MATCH(Outputs!A48,'FY 22 OFA Shell'!$I$27:$I$195,0))</f>
        <v>346503</v>
      </c>
      <c r="J48" s="129">
        <f>H48-Data!AT43</f>
        <v>-57409</v>
      </c>
      <c r="K48" s="127">
        <f>((H48)/(Data!AT43)) - 1</f>
        <v>-0.14213244469092279</v>
      </c>
      <c r="L48" s="127">
        <f t="shared" si="46"/>
        <v>0</v>
      </c>
      <c r="M48" s="143">
        <f>(IF(Inputs!$E$30="Yes",INDEX(Data!AT:AT,MATCH(Outputs!A48,Data!A:A,0)),INDEX(Data!AS:AS,MATCH(Outputs!A48,Data!A:A,0))))</f>
        <v>403912</v>
      </c>
      <c r="N48" s="143">
        <f>IF(Inputs!$E$30="Yes",INDEX(Data!BN:BN,MATCH(Outputs!$A48,Data!$A:$A,0)),INDEX(Data!BE:BE,MATCH(Outputs!$A48,Data!$A:$A,0)))</f>
        <v>403912</v>
      </c>
      <c r="O48" s="143">
        <f>IF(Inputs!$E$30="Yes",INDEX(Data!BO:BO,MATCH(Outputs!$A48,Data!$A:$A,0)),INDEX(Data!BF:BF,MATCH(Outputs!$A48,Data!$A:$A,0)))</f>
        <v>391843.07949999999</v>
      </c>
      <c r="P48" s="143">
        <f>IF(Inputs!$E$30="Yes",INDEX(Data!BP:BP,MATCH(Outputs!$A48,Data!$A:$A,0)),INDEX(Data!BG:BG,MATCH(Outputs!$A48,Data!$A:$A,0)))</f>
        <v>379774.15899999999</v>
      </c>
      <c r="Q48" s="143">
        <f>IF(Inputs!$E$30="Yes",INDEX(Data!BQ:BQ,MATCH(Outputs!$A48,Data!$A:$A,0)),INDEX(Data!BH:BH,MATCH(Outputs!$A48,Data!$A:$A,0)))</f>
        <v>367705.23849999998</v>
      </c>
      <c r="R48" s="143">
        <f>IF(Inputs!$E$30="Yes",INDEX(Data!BR:BR,MATCH(Outputs!$A48,Data!$A:$A,0)),INDEX(Data!BI:BI,MATCH(Outputs!$A48,Data!$A:$A,0)))</f>
        <v>355636.31799999997</v>
      </c>
      <c r="S48" s="143">
        <f>IF(Inputs!$E$30="Yes",INDEX(Data!BS:BS,MATCH(Outputs!$A48,Data!$A:$A,0)),INDEX(Data!BJ:BJ,MATCH(Outputs!$A48,Data!$A:$A,0)))</f>
        <v>343567.39749999996</v>
      </c>
      <c r="T48" s="143">
        <f>IF(Inputs!$E$30="Yes",INDEX(Data!BT:BT,MATCH(Outputs!$A48,Data!$A:$A,0)),INDEX(Data!BK:BK,MATCH(Outputs!$A48,Data!$A:$A,0)))</f>
        <v>331498.47699999996</v>
      </c>
      <c r="U48" s="143">
        <f>IF(Inputs!$E$30="Yes",INDEX(Data!BU:BU,MATCH(Outputs!$A48,Data!$A:$A,0)),INDEX(Data!BL:BL,MATCH(Outputs!$A48,Data!$A:$A,0)))</f>
        <v>346503</v>
      </c>
      <c r="V48" s="143">
        <f>INDEX('FY 22 OFA Shell'!$AX$27:$AX$195,MATCH(Outputs!A48,'FY 22 OFA Shell'!$I$27:$I$195,0))</f>
        <v>403912</v>
      </c>
      <c r="W48" s="143">
        <f>INDEX('FY 23 OFA Shell'!$AX$27:$AX$195,MATCH(Outputs!A48,'FY 23 OFA Shell'!$I$27:$I$195,0))</f>
        <v>403912</v>
      </c>
      <c r="X48" s="143">
        <f>INDEX('FY 23 OFA Shell'!BK$27:BK$195,MATCH(Outputs!$A48,'FY 23 OFA Shell'!$I$27:$I$195,0))</f>
        <v>391843.07949999999</v>
      </c>
      <c r="Y48" s="143">
        <f>INDEX('FY 23 OFA Shell'!BL$27:BL$195,MATCH(Outputs!$A48,'FY 23 OFA Shell'!$I$27:$I$195,0))</f>
        <v>379774.15899999999</v>
      </c>
      <c r="Z48" s="143">
        <f>INDEX('FY 23 OFA Shell'!BM$27:BM$195,MATCH(Outputs!$A48,'FY 23 OFA Shell'!$I$27:$I$195,0))</f>
        <v>367705.23849999998</v>
      </c>
      <c r="AA48" s="143">
        <f>INDEX('FY 23 OFA Shell'!BN$27:BN$195,MATCH(Outputs!$A48,'FY 23 OFA Shell'!$I$27:$I$195,0))</f>
        <v>355636.31799999997</v>
      </c>
      <c r="AB48" s="143">
        <f>INDEX('FY 23 OFA Shell'!BO$27:BO$195,MATCH(Outputs!$A48,'FY 23 OFA Shell'!$I$27:$I$195,0))</f>
        <v>343567.39749999996</v>
      </c>
      <c r="AC48" s="143">
        <f>INDEX('FY 23 OFA Shell'!BP$27:BP$195,MATCH(Outputs!$A48,'FY 23 OFA Shell'!$I$27:$I$195,0))</f>
        <v>331498.47699999996</v>
      </c>
      <c r="AD48" s="143">
        <f>INDEX('FY 23 OFA Shell'!BQ$27:BQ$195,MATCH(Outputs!$A48,'FY 23 OFA Shell'!$I$27:$I$195,0))</f>
        <v>346503</v>
      </c>
      <c r="AE48" s="129">
        <f t="shared" si="49"/>
        <v>0</v>
      </c>
      <c r="AF48" s="129">
        <f t="shared" si="50"/>
        <v>0</v>
      </c>
      <c r="AG48" s="129">
        <f t="shared" si="51"/>
        <v>0</v>
      </c>
      <c r="AH48" s="129">
        <f t="shared" si="52"/>
        <v>0</v>
      </c>
      <c r="AI48" s="129">
        <f t="shared" si="53"/>
        <v>0</v>
      </c>
      <c r="AJ48" s="129">
        <f t="shared" si="54"/>
        <v>0</v>
      </c>
      <c r="AK48" s="129">
        <f t="shared" si="55"/>
        <v>0</v>
      </c>
      <c r="AL48" s="129">
        <f t="shared" si="56"/>
        <v>0</v>
      </c>
      <c r="AM48" s="129">
        <f t="shared" si="57"/>
        <v>0</v>
      </c>
      <c r="AN48" s="127">
        <f t="shared" si="58"/>
        <v>0</v>
      </c>
      <c r="AO48" s="127">
        <f t="shared" si="59"/>
        <v>0</v>
      </c>
      <c r="AP48" s="127">
        <f t="shared" si="60"/>
        <v>0</v>
      </c>
      <c r="AQ48" s="127">
        <f t="shared" si="61"/>
        <v>0</v>
      </c>
      <c r="AR48" s="127">
        <f t="shared" si="62"/>
        <v>0</v>
      </c>
      <c r="AS48" s="127">
        <f t="shared" si="63"/>
        <v>0</v>
      </c>
      <c r="AT48" s="127">
        <f t="shared" si="64"/>
        <v>0</v>
      </c>
      <c r="AU48" s="127">
        <f t="shared" si="65"/>
        <v>0</v>
      </c>
      <c r="AV48" s="127">
        <f t="shared" si="66"/>
        <v>0</v>
      </c>
    </row>
    <row r="49" spans="1:48" x14ac:dyDescent="0.15">
      <c r="A49" s="29" t="s">
        <v>41</v>
      </c>
      <c r="B49" s="30">
        <f>IF(Data!D44=1, MAX(Data!AA44, Inputs!$E$25) + INDEX(Inputs!$D$38:$D$42, MATCH( Data!AD44, Inputs!$B$38:$B$42, 0), 0), MAX(Data!AA44, Inputs!$E$26) +  INDEX(Inputs!$D$38:$D$42, MATCH( Data!AD44, Inputs!$B$38:$B$42, 0), 0))</f>
        <v>0.236405</v>
      </c>
      <c r="C49" s="141">
        <f>(100*Data!R44)</f>
        <v>0</v>
      </c>
      <c r="D49" s="141">
        <f>ROUND(Data!Q44*C49, 0)</f>
        <v>0</v>
      </c>
      <c r="E49" s="141">
        <f>(100*Data!T44)</f>
        <v>400</v>
      </c>
      <c r="F49" s="141">
        <f>E49*Data!S44</f>
        <v>400</v>
      </c>
      <c r="G49" s="142">
        <f>ROUND(Inputs!$E$21*Data!W44*B49, 0)</f>
        <v>1796525</v>
      </c>
      <c r="H49" s="143">
        <f>IF(G49=0, 0,IF(Inputs!$E$30="Yes", IF(Data!D44=1, MAX(Outputs!D49+Outputs!F49+Outputs!G49, Data!AE44), Outputs!D49+Outputs!F49+Outputs!G49), Outputs!D49+Outputs!F49+Outputs!G49))</f>
        <v>1796925</v>
      </c>
      <c r="I49" s="143">
        <f>INDEX('FY 22 OFA Shell'!$AQ$27:$AQ$195,MATCH(Outputs!A49,'FY 22 OFA Shell'!$I$27:$I$195,0))</f>
        <v>1796925</v>
      </c>
      <c r="J49" s="129">
        <f>H49-Data!AT44</f>
        <v>-519264</v>
      </c>
      <c r="K49" s="127">
        <f>((H49)/(Data!AT44)) - 1</f>
        <v>-0.22418895867306166</v>
      </c>
      <c r="L49" s="127">
        <f t="shared" si="46"/>
        <v>0</v>
      </c>
      <c r="M49" s="143">
        <f>(IF(Inputs!$E$30="Yes",INDEX(Data!AT:AT,MATCH(Outputs!A49,Data!A:A,0)),INDEX(Data!AS:AS,MATCH(Outputs!A49,Data!A:A,0))))</f>
        <v>2316189</v>
      </c>
      <c r="N49" s="143">
        <f>IF(Inputs!$E$30="Yes",INDEX(Data!BN:BN,MATCH(Outputs!$A49,Data!$A:$A,0)),INDEX(Data!BE:BE,MATCH(Outputs!$A49,Data!$A:$A,0)))</f>
        <v>2316189</v>
      </c>
      <c r="O49" s="143">
        <f>IF(Inputs!$E$30="Yes",INDEX(Data!BO:BO,MATCH(Outputs!$A49,Data!$A:$A,0)),INDEX(Data!BF:BF,MATCH(Outputs!$A49,Data!$A:$A,0)))</f>
        <v>2255668.4679</v>
      </c>
      <c r="P49" s="143">
        <f>IF(Inputs!$E$30="Yes",INDEX(Data!BP:BP,MATCH(Outputs!$A49,Data!$A:$A,0)),INDEX(Data!BG:BG,MATCH(Outputs!$A49,Data!$A:$A,0)))</f>
        <v>2195147.9358000001</v>
      </c>
      <c r="Q49" s="143">
        <f>IF(Inputs!$E$30="Yes",INDEX(Data!BQ:BQ,MATCH(Outputs!$A49,Data!$A:$A,0)),INDEX(Data!BH:BH,MATCH(Outputs!$A49,Data!$A:$A,0)))</f>
        <v>2134627.4037000001</v>
      </c>
      <c r="R49" s="143">
        <f>IF(Inputs!$E$30="Yes",INDEX(Data!BR:BR,MATCH(Outputs!$A49,Data!$A:$A,0)),INDEX(Data!BI:BI,MATCH(Outputs!$A49,Data!$A:$A,0)))</f>
        <v>2074106.8716000002</v>
      </c>
      <c r="S49" s="143">
        <f>IF(Inputs!$E$30="Yes",INDEX(Data!BS:BS,MATCH(Outputs!$A49,Data!$A:$A,0)),INDEX(Data!BJ:BJ,MATCH(Outputs!$A49,Data!$A:$A,0)))</f>
        <v>2013586.3395000002</v>
      </c>
      <c r="T49" s="143">
        <f>IF(Inputs!$E$30="Yes",INDEX(Data!BT:BT,MATCH(Outputs!$A49,Data!$A:$A,0)),INDEX(Data!BK:BK,MATCH(Outputs!$A49,Data!$A:$A,0)))</f>
        <v>1953065.8074000003</v>
      </c>
      <c r="U49" s="143">
        <f>IF(Inputs!$E$30="Yes",INDEX(Data!BU:BU,MATCH(Outputs!$A49,Data!$A:$A,0)),INDEX(Data!BL:BL,MATCH(Outputs!$A49,Data!$A:$A,0)))</f>
        <v>1796925</v>
      </c>
      <c r="V49" s="143">
        <f>INDEX('FY 22 OFA Shell'!$AX$27:$AX$195,MATCH(Outputs!A49,'FY 22 OFA Shell'!$I$27:$I$195,0))</f>
        <v>2316189</v>
      </c>
      <c r="W49" s="143">
        <f>INDEX('FY 23 OFA Shell'!$AX$27:$AX$195,MATCH(Outputs!A49,'FY 23 OFA Shell'!$I$27:$I$195,0))</f>
        <v>2316189</v>
      </c>
      <c r="X49" s="143">
        <f>INDEX('FY 23 OFA Shell'!BK$27:BK$195,MATCH(Outputs!$A49,'FY 23 OFA Shell'!$I$27:$I$195,0))</f>
        <v>2255668.4679</v>
      </c>
      <c r="Y49" s="143">
        <f>INDEX('FY 23 OFA Shell'!BL$27:BL$195,MATCH(Outputs!$A49,'FY 23 OFA Shell'!$I$27:$I$195,0))</f>
        <v>2195147.9358000001</v>
      </c>
      <c r="Z49" s="143">
        <f>INDEX('FY 23 OFA Shell'!BM$27:BM$195,MATCH(Outputs!$A49,'FY 23 OFA Shell'!$I$27:$I$195,0))</f>
        <v>2134627.4037000001</v>
      </c>
      <c r="AA49" s="143">
        <f>INDEX('FY 23 OFA Shell'!BN$27:BN$195,MATCH(Outputs!$A49,'FY 23 OFA Shell'!$I$27:$I$195,0))</f>
        <v>2074106.8716000002</v>
      </c>
      <c r="AB49" s="143">
        <f>INDEX('FY 23 OFA Shell'!BO$27:BO$195,MATCH(Outputs!$A49,'FY 23 OFA Shell'!$I$27:$I$195,0))</f>
        <v>2013586.3395000002</v>
      </c>
      <c r="AC49" s="143">
        <f>INDEX('FY 23 OFA Shell'!BP$27:BP$195,MATCH(Outputs!$A49,'FY 23 OFA Shell'!$I$27:$I$195,0))</f>
        <v>1953065.8074000003</v>
      </c>
      <c r="AD49" s="143">
        <f>INDEX('FY 23 OFA Shell'!BQ$27:BQ$195,MATCH(Outputs!$A49,'FY 23 OFA Shell'!$I$27:$I$195,0))</f>
        <v>1796925</v>
      </c>
      <c r="AE49" s="129">
        <f t="shared" si="49"/>
        <v>0</v>
      </c>
      <c r="AF49" s="129">
        <f t="shared" si="50"/>
        <v>0</v>
      </c>
      <c r="AG49" s="129">
        <f t="shared" si="51"/>
        <v>0</v>
      </c>
      <c r="AH49" s="129">
        <f t="shared" si="52"/>
        <v>0</v>
      </c>
      <c r="AI49" s="129">
        <f t="shared" si="53"/>
        <v>0</v>
      </c>
      <c r="AJ49" s="129">
        <f t="shared" si="54"/>
        <v>0</v>
      </c>
      <c r="AK49" s="129">
        <f t="shared" si="55"/>
        <v>0</v>
      </c>
      <c r="AL49" s="129">
        <f t="shared" si="56"/>
        <v>0</v>
      </c>
      <c r="AM49" s="129">
        <f t="shared" si="57"/>
        <v>0</v>
      </c>
      <c r="AN49" s="127">
        <f t="shared" si="58"/>
        <v>0</v>
      </c>
      <c r="AO49" s="127">
        <f t="shared" si="59"/>
        <v>0</v>
      </c>
      <c r="AP49" s="127">
        <f t="shared" si="60"/>
        <v>0</v>
      </c>
      <c r="AQ49" s="127">
        <f t="shared" si="61"/>
        <v>0</v>
      </c>
      <c r="AR49" s="127">
        <f t="shared" si="62"/>
        <v>0</v>
      </c>
      <c r="AS49" s="127">
        <f t="shared" si="63"/>
        <v>0</v>
      </c>
      <c r="AT49" s="127">
        <f t="shared" si="64"/>
        <v>0</v>
      </c>
      <c r="AU49" s="127">
        <f t="shared" si="65"/>
        <v>0</v>
      </c>
      <c r="AV49" s="127">
        <f t="shared" si="66"/>
        <v>0</v>
      </c>
    </row>
    <row r="50" spans="1:48" x14ac:dyDescent="0.15">
      <c r="A50" s="29" t="s">
        <v>42</v>
      </c>
      <c r="B50" s="30">
        <f>IF(Data!D45=1, MAX(Data!AA45, Inputs!$E$25) + INDEX(Inputs!$D$38:$D$42, MATCH( Data!AD45, Inputs!$B$38:$B$42, 0), 0), MAX(Data!AA45, Inputs!$E$26) +  INDEX(Inputs!$D$38:$D$42, MATCH( Data!AD45, Inputs!$B$38:$B$42, 0), 0))</f>
        <v>0.01</v>
      </c>
      <c r="C50" s="141">
        <f>(100*Data!R45)</f>
        <v>400</v>
      </c>
      <c r="D50" s="141">
        <f>ROUND(Data!Q45*C50, 0)</f>
        <v>11600</v>
      </c>
      <c r="E50" s="141">
        <f>(100*Data!T45)</f>
        <v>0</v>
      </c>
      <c r="F50" s="141">
        <f>E50*Data!S45</f>
        <v>0</v>
      </c>
      <c r="G50" s="142">
        <f>ROUND(Inputs!$E$21*Data!W45*B50, 0)</f>
        <v>14885</v>
      </c>
      <c r="H50" s="143">
        <f>IF(G50=0, 0,IF(Inputs!$E$30="Yes", IF(Data!D45=1, MAX(Outputs!D50+Outputs!F50+Outputs!G50, Data!AE45), Outputs!D50+Outputs!F50+Outputs!G50), Outputs!D50+Outputs!F50+Outputs!G50))</f>
        <v>26485</v>
      </c>
      <c r="I50" s="143">
        <f>INDEX('FY 22 OFA Shell'!$AQ$27:$AQ$195,MATCH(Outputs!A50,'FY 22 OFA Shell'!$I$27:$I$195,0))</f>
        <v>26485</v>
      </c>
      <c r="J50" s="129">
        <f>H50-Data!AT45</f>
        <v>15256.3406</v>
      </c>
      <c r="K50" s="127">
        <f>((H50)/(Data!AT45)) - 1</f>
        <v>1.3586965332655829</v>
      </c>
      <c r="L50" s="127">
        <f t="shared" si="46"/>
        <v>0</v>
      </c>
      <c r="M50" s="143">
        <f>(IF(Inputs!$E$30="Yes",INDEX(Data!AT:AT,MATCH(Outputs!A50,Data!A:A,0)),INDEX(Data!AS:AS,MATCH(Outputs!A50,Data!A:A,0))))</f>
        <v>11228.6594</v>
      </c>
      <c r="N50" s="143">
        <f>IF(Inputs!$E$30="Yes",INDEX(Data!BN:BN,MATCH(Outputs!$A50,Data!$A:$A,0)),INDEX(Data!BE:BE,MATCH(Outputs!$A50,Data!$A:$A,0)))</f>
        <v>13308.318800000001</v>
      </c>
      <c r="O50" s="143">
        <f>IF(Inputs!$E$30="Yes",INDEX(Data!BO:BO,MATCH(Outputs!$A50,Data!$A:$A,0)),INDEX(Data!BF:BF,MATCH(Outputs!$A50,Data!$A:$A,0)))</f>
        <v>15387.978200000001</v>
      </c>
      <c r="P50" s="143">
        <f>IF(Inputs!$E$30="Yes",INDEX(Data!BP:BP,MATCH(Outputs!$A50,Data!$A:$A,0)),INDEX(Data!BG:BG,MATCH(Outputs!$A50,Data!$A:$A,0)))</f>
        <v>17467.637600000002</v>
      </c>
      <c r="Q50" s="143">
        <f>IF(Inputs!$E$30="Yes",INDEX(Data!BQ:BQ,MATCH(Outputs!$A50,Data!$A:$A,0)),INDEX(Data!BH:BH,MATCH(Outputs!$A50,Data!$A:$A,0)))</f>
        <v>19547.297000000002</v>
      </c>
      <c r="R50" s="143">
        <f>IF(Inputs!$E$30="Yes",INDEX(Data!BR:BR,MATCH(Outputs!$A50,Data!$A:$A,0)),INDEX(Data!BI:BI,MATCH(Outputs!$A50,Data!$A:$A,0)))</f>
        <v>21626.956400000003</v>
      </c>
      <c r="S50" s="143">
        <f>IF(Inputs!$E$30="Yes",INDEX(Data!BS:BS,MATCH(Outputs!$A50,Data!$A:$A,0)),INDEX(Data!BJ:BJ,MATCH(Outputs!$A50,Data!$A:$A,0)))</f>
        <v>26485</v>
      </c>
      <c r="T50" s="143">
        <f>IF(Inputs!$E$30="Yes",INDEX(Data!BT:BT,MATCH(Outputs!$A50,Data!$A:$A,0)),INDEX(Data!BK:BK,MATCH(Outputs!$A50,Data!$A:$A,0)))</f>
        <v>26485</v>
      </c>
      <c r="U50" s="143">
        <f>IF(Inputs!$E$30="Yes",INDEX(Data!BU:BU,MATCH(Outputs!$A50,Data!$A:$A,0)),INDEX(Data!BL:BL,MATCH(Outputs!$A50,Data!$A:$A,0)))</f>
        <v>26485</v>
      </c>
      <c r="V50" s="143">
        <f>INDEX('FY 22 OFA Shell'!$AX$27:$AX$195,MATCH(Outputs!A50,'FY 22 OFA Shell'!$I$27:$I$195,0))</f>
        <v>11228.6594</v>
      </c>
      <c r="W50" s="143">
        <f>INDEX('FY 23 OFA Shell'!$AX$27:$AX$195,MATCH(Outputs!A50,'FY 23 OFA Shell'!$I$27:$I$195,0))</f>
        <v>13308.318800000001</v>
      </c>
      <c r="X50" s="143">
        <f>INDEX('FY 23 OFA Shell'!BK$27:BK$195,MATCH(Outputs!$A50,'FY 23 OFA Shell'!$I$27:$I$195,0))</f>
        <v>15387.978200000001</v>
      </c>
      <c r="Y50" s="143">
        <f>INDEX('FY 23 OFA Shell'!BL$27:BL$195,MATCH(Outputs!$A50,'FY 23 OFA Shell'!$I$27:$I$195,0))</f>
        <v>17467.637600000002</v>
      </c>
      <c r="Z50" s="143">
        <f>INDEX('FY 23 OFA Shell'!BM$27:BM$195,MATCH(Outputs!$A50,'FY 23 OFA Shell'!$I$27:$I$195,0))</f>
        <v>19547.297000000002</v>
      </c>
      <c r="AA50" s="143">
        <f>INDEX('FY 23 OFA Shell'!BN$27:BN$195,MATCH(Outputs!$A50,'FY 23 OFA Shell'!$I$27:$I$195,0))</f>
        <v>21626.956400000003</v>
      </c>
      <c r="AB50" s="143">
        <f>INDEX('FY 23 OFA Shell'!BO$27:BO$195,MATCH(Outputs!$A50,'FY 23 OFA Shell'!$I$27:$I$195,0))</f>
        <v>26485</v>
      </c>
      <c r="AC50" s="143">
        <f>INDEX('FY 23 OFA Shell'!BP$27:BP$195,MATCH(Outputs!$A50,'FY 23 OFA Shell'!$I$27:$I$195,0))</f>
        <v>26485</v>
      </c>
      <c r="AD50" s="143">
        <f>INDEX('FY 23 OFA Shell'!BQ$27:BQ$195,MATCH(Outputs!$A50,'FY 23 OFA Shell'!$I$27:$I$195,0))</f>
        <v>26485</v>
      </c>
      <c r="AE50" s="129">
        <f t="shared" si="49"/>
        <v>0</v>
      </c>
      <c r="AF50" s="129">
        <f t="shared" si="50"/>
        <v>0</v>
      </c>
      <c r="AG50" s="129">
        <f t="shared" si="51"/>
        <v>0</v>
      </c>
      <c r="AH50" s="129">
        <f t="shared" si="52"/>
        <v>0</v>
      </c>
      <c r="AI50" s="129">
        <f t="shared" si="53"/>
        <v>0</v>
      </c>
      <c r="AJ50" s="129">
        <f t="shared" si="54"/>
        <v>0</v>
      </c>
      <c r="AK50" s="129">
        <f t="shared" si="55"/>
        <v>0</v>
      </c>
      <c r="AL50" s="129">
        <f t="shared" si="56"/>
        <v>0</v>
      </c>
      <c r="AM50" s="129">
        <f t="shared" si="57"/>
        <v>0</v>
      </c>
      <c r="AN50" s="127">
        <f t="shared" si="58"/>
        <v>0</v>
      </c>
      <c r="AO50" s="127">
        <f t="shared" si="59"/>
        <v>0</v>
      </c>
      <c r="AP50" s="127">
        <f t="shared" si="60"/>
        <v>0</v>
      </c>
      <c r="AQ50" s="127">
        <f t="shared" si="61"/>
        <v>0</v>
      </c>
      <c r="AR50" s="127">
        <f t="shared" si="62"/>
        <v>0</v>
      </c>
      <c r="AS50" s="127">
        <f t="shared" si="63"/>
        <v>0</v>
      </c>
      <c r="AT50" s="127">
        <f t="shared" si="64"/>
        <v>0</v>
      </c>
      <c r="AU50" s="127">
        <f t="shared" si="65"/>
        <v>0</v>
      </c>
      <c r="AV50" s="127">
        <f t="shared" si="66"/>
        <v>0</v>
      </c>
    </row>
    <row r="51" spans="1:48" x14ac:dyDescent="0.15">
      <c r="A51" s="29" t="s">
        <v>43</v>
      </c>
      <c r="B51" s="30">
        <f>IF(Data!D46=1, MAX(Data!AA46, Inputs!$E$25) + INDEX(Inputs!$D$38:$D$42, MATCH( Data!AD46, Inputs!$B$38:$B$42, 0), 0), MAX(Data!AA46, Inputs!$E$26) +  INDEX(Inputs!$D$38:$D$42, MATCH( Data!AD46, Inputs!$B$38:$B$42, 0), 0))</f>
        <v>0.33535500000000001</v>
      </c>
      <c r="C51" s="141">
        <f>(100*Data!R46)</f>
        <v>0</v>
      </c>
      <c r="D51" s="141">
        <f>ROUND(Data!Q46*C51, 0)</f>
        <v>0</v>
      </c>
      <c r="E51" s="141">
        <f>(100*Data!T46)</f>
        <v>0</v>
      </c>
      <c r="F51" s="141">
        <f>E51*Data!S46</f>
        <v>0</v>
      </c>
      <c r="G51" s="142">
        <f>ROUND(Inputs!$E$21*Data!W46*B51, 0)</f>
        <v>6710084</v>
      </c>
      <c r="H51" s="143">
        <f>IF(G51=0, 0,IF(Inputs!$E$30="Yes", IF(Data!D46=1, MAX(Outputs!D51+Outputs!F51+Outputs!G51, Data!AE46), Outputs!D51+Outputs!F51+Outputs!G51), Outputs!D51+Outputs!F51+Outputs!G51))</f>
        <v>6710084</v>
      </c>
      <c r="I51" s="143">
        <f>INDEX('FY 22 OFA Shell'!$AQ$27:$AQ$195,MATCH(Outputs!A51,'FY 22 OFA Shell'!$I$27:$I$195,0))</f>
        <v>6710084</v>
      </c>
      <c r="J51" s="129">
        <f>H51-Data!AT46</f>
        <v>-1242827</v>
      </c>
      <c r="K51" s="127">
        <f>((H51)/(Data!AT46)) - 1</f>
        <v>-0.15627321869941713</v>
      </c>
      <c r="L51" s="127">
        <f t="shared" si="46"/>
        <v>0</v>
      </c>
      <c r="M51" s="143">
        <f>(IF(Inputs!$E$30="Yes",INDEX(Data!AT:AT,MATCH(Outputs!A51,Data!A:A,0)),INDEX(Data!AS:AS,MATCH(Outputs!A51,Data!A:A,0))))</f>
        <v>7952911</v>
      </c>
      <c r="N51" s="143">
        <f>IF(Inputs!$E$30="Yes",INDEX(Data!BN:BN,MATCH(Outputs!$A51,Data!$A:$A,0)),INDEX(Data!BE:BE,MATCH(Outputs!$A51,Data!$A:$A,0)))</f>
        <v>7952911</v>
      </c>
      <c r="O51" s="143">
        <f>IF(Inputs!$E$30="Yes",INDEX(Data!BO:BO,MATCH(Outputs!$A51,Data!$A:$A,0)),INDEX(Data!BF:BF,MATCH(Outputs!$A51,Data!$A:$A,0)))</f>
        <v>7782472.4527000003</v>
      </c>
      <c r="P51" s="143">
        <f>IF(Inputs!$E$30="Yes",INDEX(Data!BP:BP,MATCH(Outputs!$A51,Data!$A:$A,0)),INDEX(Data!BG:BG,MATCH(Outputs!$A51,Data!$A:$A,0)))</f>
        <v>7612033.9054000005</v>
      </c>
      <c r="Q51" s="143">
        <f>IF(Inputs!$E$30="Yes",INDEX(Data!BQ:BQ,MATCH(Outputs!$A51,Data!$A:$A,0)),INDEX(Data!BH:BH,MATCH(Outputs!$A51,Data!$A:$A,0)))</f>
        <v>7441595.3581000008</v>
      </c>
      <c r="R51" s="143">
        <f>IF(Inputs!$E$30="Yes",INDEX(Data!BR:BR,MATCH(Outputs!$A51,Data!$A:$A,0)),INDEX(Data!BI:BI,MATCH(Outputs!$A51,Data!$A:$A,0)))</f>
        <v>7271156.810800001</v>
      </c>
      <c r="S51" s="143">
        <f>IF(Inputs!$E$30="Yes",INDEX(Data!BS:BS,MATCH(Outputs!$A51,Data!$A:$A,0)),INDEX(Data!BJ:BJ,MATCH(Outputs!$A51,Data!$A:$A,0)))</f>
        <v>7100718.2635000013</v>
      </c>
      <c r="T51" s="143">
        <f>IF(Inputs!$E$30="Yes",INDEX(Data!BT:BT,MATCH(Outputs!$A51,Data!$A:$A,0)),INDEX(Data!BK:BK,MATCH(Outputs!$A51,Data!$A:$A,0)))</f>
        <v>6930279.7162000015</v>
      </c>
      <c r="U51" s="143">
        <f>IF(Inputs!$E$30="Yes",INDEX(Data!BU:BU,MATCH(Outputs!$A51,Data!$A:$A,0)),INDEX(Data!BL:BL,MATCH(Outputs!$A51,Data!$A:$A,0)))</f>
        <v>6710084</v>
      </c>
      <c r="V51" s="143">
        <f>INDEX('FY 22 OFA Shell'!$AX$27:$AX$195,MATCH(Outputs!A51,'FY 22 OFA Shell'!$I$27:$I$195,0))</f>
        <v>7952911</v>
      </c>
      <c r="W51" s="143">
        <f>INDEX('FY 23 OFA Shell'!$AX$27:$AX$195,MATCH(Outputs!A51,'FY 23 OFA Shell'!$I$27:$I$195,0))</f>
        <v>7952911</v>
      </c>
      <c r="X51" s="143">
        <f>INDEX('FY 23 OFA Shell'!BK$27:BK$195,MATCH(Outputs!$A51,'FY 23 OFA Shell'!$I$27:$I$195,0))</f>
        <v>7782472.4527000003</v>
      </c>
      <c r="Y51" s="143">
        <f>INDEX('FY 23 OFA Shell'!BL$27:BL$195,MATCH(Outputs!$A51,'FY 23 OFA Shell'!$I$27:$I$195,0))</f>
        <v>7612033.9054000005</v>
      </c>
      <c r="Z51" s="143">
        <f>INDEX('FY 23 OFA Shell'!BM$27:BM$195,MATCH(Outputs!$A51,'FY 23 OFA Shell'!$I$27:$I$195,0))</f>
        <v>7441595.3581000008</v>
      </c>
      <c r="AA51" s="143">
        <f>INDEX('FY 23 OFA Shell'!BN$27:BN$195,MATCH(Outputs!$A51,'FY 23 OFA Shell'!$I$27:$I$195,0))</f>
        <v>7271156.810800001</v>
      </c>
      <c r="AB51" s="143">
        <f>INDEX('FY 23 OFA Shell'!BO$27:BO$195,MATCH(Outputs!$A51,'FY 23 OFA Shell'!$I$27:$I$195,0))</f>
        <v>7100718.2635000013</v>
      </c>
      <c r="AC51" s="143">
        <f>INDEX('FY 23 OFA Shell'!BP$27:BP$195,MATCH(Outputs!$A51,'FY 23 OFA Shell'!$I$27:$I$195,0))</f>
        <v>6930279.7162000015</v>
      </c>
      <c r="AD51" s="143">
        <f>INDEX('FY 23 OFA Shell'!BQ$27:BQ$195,MATCH(Outputs!$A51,'FY 23 OFA Shell'!$I$27:$I$195,0))</f>
        <v>6710084</v>
      </c>
      <c r="AE51" s="129">
        <f t="shared" si="49"/>
        <v>0</v>
      </c>
      <c r="AF51" s="129">
        <f t="shared" si="50"/>
        <v>0</v>
      </c>
      <c r="AG51" s="129">
        <f t="shared" si="51"/>
        <v>0</v>
      </c>
      <c r="AH51" s="129">
        <f t="shared" si="52"/>
        <v>0</v>
      </c>
      <c r="AI51" s="129">
        <f t="shared" si="53"/>
        <v>0</v>
      </c>
      <c r="AJ51" s="129">
        <f t="shared" si="54"/>
        <v>0</v>
      </c>
      <c r="AK51" s="129">
        <f t="shared" si="55"/>
        <v>0</v>
      </c>
      <c r="AL51" s="129">
        <f t="shared" si="56"/>
        <v>0</v>
      </c>
      <c r="AM51" s="129">
        <f t="shared" si="57"/>
        <v>0</v>
      </c>
      <c r="AN51" s="127">
        <f t="shared" si="58"/>
        <v>0</v>
      </c>
      <c r="AO51" s="127">
        <f t="shared" si="59"/>
        <v>0</v>
      </c>
      <c r="AP51" s="127">
        <f t="shared" si="60"/>
        <v>0</v>
      </c>
      <c r="AQ51" s="127">
        <f t="shared" si="61"/>
        <v>0</v>
      </c>
      <c r="AR51" s="127">
        <f t="shared" si="62"/>
        <v>0</v>
      </c>
      <c r="AS51" s="127">
        <f t="shared" si="63"/>
        <v>0</v>
      </c>
      <c r="AT51" s="127">
        <f t="shared" si="64"/>
        <v>0</v>
      </c>
      <c r="AU51" s="127">
        <f t="shared" si="65"/>
        <v>0</v>
      </c>
      <c r="AV51" s="127">
        <f t="shared" si="66"/>
        <v>0</v>
      </c>
    </row>
    <row r="52" spans="1:48" x14ac:dyDescent="0.15">
      <c r="A52" s="29" t="s">
        <v>44</v>
      </c>
      <c r="B52" s="30">
        <f>IF(Data!D47=1, MAX(Data!AA47, Inputs!$E$25) + INDEX(Inputs!$D$38:$D$42, MATCH( Data!AD47, Inputs!$B$38:$B$42, 0), 0), MAX(Data!AA47, Inputs!$E$26) +  INDEX(Inputs!$D$38:$D$42, MATCH( Data!AD47, Inputs!$B$38:$B$42, 0), 0))</f>
        <v>0.228884</v>
      </c>
      <c r="C52" s="141">
        <f>(100*Data!R47)</f>
        <v>0</v>
      </c>
      <c r="D52" s="141">
        <f>ROUND(Data!Q47*C52, 0)</f>
        <v>0</v>
      </c>
      <c r="E52" s="141">
        <f>(100*Data!T47)</f>
        <v>0</v>
      </c>
      <c r="F52" s="141">
        <f>E52*Data!S47</f>
        <v>0</v>
      </c>
      <c r="G52" s="142">
        <f>ROUND(Inputs!$E$21*Data!W47*B52, 0)</f>
        <v>5843186</v>
      </c>
      <c r="H52" s="143">
        <f>IF(G52=0, 0,IF(Inputs!$E$30="Yes", IF(Data!D47=1, MAX(Outputs!D52+Outputs!F52+Outputs!G52, Data!AE47), Outputs!D52+Outputs!F52+Outputs!G52), Outputs!D52+Outputs!F52+Outputs!G52))</f>
        <v>5843186</v>
      </c>
      <c r="I52" s="143">
        <f>INDEX('FY 22 OFA Shell'!$AQ$27:$AQ$195,MATCH(Outputs!A52,'FY 22 OFA Shell'!$I$27:$I$195,0))</f>
        <v>5843186</v>
      </c>
      <c r="J52" s="129">
        <f>H52-Data!AT47</f>
        <v>738261.25760000013</v>
      </c>
      <c r="K52" s="127">
        <f>((H52)/(Data!AT47)) - 1</f>
        <v>0.14461746154026911</v>
      </c>
      <c r="L52" s="127">
        <f t="shared" ref="L52:L83" si="67">IFERROR(H52/I52-1, 0)</f>
        <v>0</v>
      </c>
      <c r="M52" s="143">
        <f>(IF(Inputs!$E$30="Yes",INDEX(Data!AT:AT,MATCH(Outputs!A52,Data!A:A,0)),INDEX(Data!AS:AS,MATCH(Outputs!A52,Data!A:A,0))))</f>
        <v>5104924.7423999999</v>
      </c>
      <c r="N52" s="143">
        <f>IF(Inputs!$E$30="Yes",INDEX(Data!BN:BN,MATCH(Outputs!$A52,Data!$A:$A,0)),INDEX(Data!BE:BE,MATCH(Outputs!$A52,Data!$A:$A,0)))</f>
        <v>5232446.4847999997</v>
      </c>
      <c r="O52" s="143">
        <f>IF(Inputs!$E$30="Yes",INDEX(Data!BO:BO,MATCH(Outputs!$A52,Data!$A:$A,0)),INDEX(Data!BF:BF,MATCH(Outputs!$A52,Data!$A:$A,0)))</f>
        <v>5359968.2271999996</v>
      </c>
      <c r="P52" s="143">
        <f>IF(Inputs!$E$30="Yes",INDEX(Data!BP:BP,MATCH(Outputs!$A52,Data!$A:$A,0)),INDEX(Data!BG:BG,MATCH(Outputs!$A52,Data!$A:$A,0)))</f>
        <v>5487489.9695999995</v>
      </c>
      <c r="Q52" s="143">
        <f>IF(Inputs!$E$30="Yes",INDEX(Data!BQ:BQ,MATCH(Outputs!$A52,Data!$A:$A,0)),INDEX(Data!BH:BH,MATCH(Outputs!$A52,Data!$A:$A,0)))</f>
        <v>5615011.7119999994</v>
      </c>
      <c r="R52" s="143">
        <f>IF(Inputs!$E$30="Yes",INDEX(Data!BR:BR,MATCH(Outputs!$A52,Data!$A:$A,0)),INDEX(Data!BI:BI,MATCH(Outputs!$A52,Data!$A:$A,0)))</f>
        <v>5742533.4543999992</v>
      </c>
      <c r="S52" s="143">
        <f>IF(Inputs!$E$30="Yes",INDEX(Data!BS:BS,MATCH(Outputs!$A52,Data!$A:$A,0)),INDEX(Data!BJ:BJ,MATCH(Outputs!$A52,Data!$A:$A,0)))</f>
        <v>5843186</v>
      </c>
      <c r="T52" s="143">
        <f>IF(Inputs!$E$30="Yes",INDEX(Data!BT:BT,MATCH(Outputs!$A52,Data!$A:$A,0)),INDEX(Data!BK:BK,MATCH(Outputs!$A52,Data!$A:$A,0)))</f>
        <v>5843186</v>
      </c>
      <c r="U52" s="143">
        <f>IF(Inputs!$E$30="Yes",INDEX(Data!BU:BU,MATCH(Outputs!$A52,Data!$A:$A,0)),INDEX(Data!BL:BL,MATCH(Outputs!$A52,Data!$A:$A,0)))</f>
        <v>5843186</v>
      </c>
      <c r="V52" s="143">
        <f>INDEX('FY 22 OFA Shell'!$AX$27:$AX$195,MATCH(Outputs!A52,'FY 22 OFA Shell'!$I$27:$I$195,0))</f>
        <v>5104924.7423999999</v>
      </c>
      <c r="W52" s="143">
        <f>INDEX('FY 23 OFA Shell'!$AX$27:$AX$195,MATCH(Outputs!A52,'FY 23 OFA Shell'!$I$27:$I$195,0))</f>
        <v>5232446.4847999997</v>
      </c>
      <c r="X52" s="143">
        <f>INDEX('FY 23 OFA Shell'!BK$27:BK$195,MATCH(Outputs!$A52,'FY 23 OFA Shell'!$I$27:$I$195,0))</f>
        <v>5359968.2271999996</v>
      </c>
      <c r="Y52" s="143">
        <f>INDEX('FY 23 OFA Shell'!BL$27:BL$195,MATCH(Outputs!$A52,'FY 23 OFA Shell'!$I$27:$I$195,0))</f>
        <v>5487489.9695999995</v>
      </c>
      <c r="Z52" s="143">
        <f>INDEX('FY 23 OFA Shell'!BM$27:BM$195,MATCH(Outputs!$A52,'FY 23 OFA Shell'!$I$27:$I$195,0))</f>
        <v>5615011.7119999994</v>
      </c>
      <c r="AA52" s="143">
        <f>INDEX('FY 23 OFA Shell'!BN$27:BN$195,MATCH(Outputs!$A52,'FY 23 OFA Shell'!$I$27:$I$195,0))</f>
        <v>5742533.4543999992</v>
      </c>
      <c r="AB52" s="143">
        <f>INDEX('FY 23 OFA Shell'!BO$27:BO$195,MATCH(Outputs!$A52,'FY 23 OFA Shell'!$I$27:$I$195,0))</f>
        <v>5843186</v>
      </c>
      <c r="AC52" s="143">
        <f>INDEX('FY 23 OFA Shell'!BP$27:BP$195,MATCH(Outputs!$A52,'FY 23 OFA Shell'!$I$27:$I$195,0))</f>
        <v>5843186</v>
      </c>
      <c r="AD52" s="143">
        <f>INDEX('FY 23 OFA Shell'!BQ$27:BQ$195,MATCH(Outputs!$A52,'FY 23 OFA Shell'!$I$27:$I$195,0))</f>
        <v>5843186</v>
      </c>
      <c r="AE52" s="129">
        <f t="shared" si="49"/>
        <v>0</v>
      </c>
      <c r="AF52" s="129">
        <f t="shared" si="50"/>
        <v>0</v>
      </c>
      <c r="AG52" s="129">
        <f t="shared" si="51"/>
        <v>0</v>
      </c>
      <c r="AH52" s="129">
        <f t="shared" si="52"/>
        <v>0</v>
      </c>
      <c r="AI52" s="129">
        <f t="shared" si="53"/>
        <v>0</v>
      </c>
      <c r="AJ52" s="129">
        <f t="shared" si="54"/>
        <v>0</v>
      </c>
      <c r="AK52" s="129">
        <f t="shared" si="55"/>
        <v>0</v>
      </c>
      <c r="AL52" s="129">
        <f t="shared" si="56"/>
        <v>0</v>
      </c>
      <c r="AM52" s="129">
        <f t="shared" si="57"/>
        <v>0</v>
      </c>
      <c r="AN52" s="127">
        <f t="shared" si="58"/>
        <v>0</v>
      </c>
      <c r="AO52" s="127">
        <f t="shared" si="59"/>
        <v>0</v>
      </c>
      <c r="AP52" s="127">
        <f t="shared" si="60"/>
        <v>0</v>
      </c>
      <c r="AQ52" s="127">
        <f t="shared" si="61"/>
        <v>0</v>
      </c>
      <c r="AR52" s="127">
        <f t="shared" si="62"/>
        <v>0</v>
      </c>
      <c r="AS52" s="127">
        <f t="shared" si="63"/>
        <v>0</v>
      </c>
      <c r="AT52" s="127">
        <f t="shared" si="64"/>
        <v>0</v>
      </c>
      <c r="AU52" s="127">
        <f t="shared" si="65"/>
        <v>0</v>
      </c>
      <c r="AV52" s="127">
        <f t="shared" si="66"/>
        <v>0</v>
      </c>
    </row>
    <row r="53" spans="1:48" x14ac:dyDescent="0.15">
      <c r="A53" s="29" t="s">
        <v>45</v>
      </c>
      <c r="B53" s="30">
        <f>IF(Data!D48=1, MAX(Data!AA48, Inputs!$E$25) + INDEX(Inputs!$D$38:$D$42, MATCH( Data!AD48, Inputs!$B$38:$B$42, 0), 0), MAX(Data!AA48, Inputs!$E$26) +  INDEX(Inputs!$D$38:$D$42, MATCH( Data!AD48, Inputs!$B$38:$B$42, 0), 0))</f>
        <v>0.33302500000000002</v>
      </c>
      <c r="C53" s="141">
        <f>(100*Data!R48)</f>
        <v>0</v>
      </c>
      <c r="D53" s="141">
        <f>ROUND(Data!Q48*C53, 0)</f>
        <v>0</v>
      </c>
      <c r="E53" s="141">
        <f>(100*Data!T48)</f>
        <v>0</v>
      </c>
      <c r="F53" s="141">
        <f>E53*Data!S48</f>
        <v>0</v>
      </c>
      <c r="G53" s="142">
        <f>ROUND(Inputs!$E$21*Data!W48*B53, 0)</f>
        <v>55471021</v>
      </c>
      <c r="H53" s="143">
        <f>IF(G53=0, 0,IF(Inputs!$E$30="Yes", IF(Data!D48=1, MAX(Outputs!D53+Outputs!F53+Outputs!G53, Data!AE48), Outputs!D53+Outputs!F53+Outputs!G53), Outputs!D53+Outputs!F53+Outputs!G53))</f>
        <v>55471021</v>
      </c>
      <c r="I53" s="143">
        <f>INDEX('FY 22 OFA Shell'!$AQ$27:$AQ$195,MATCH(Outputs!A53,'FY 22 OFA Shell'!$I$27:$I$195,0))</f>
        <v>55471021</v>
      </c>
      <c r="J53" s="129">
        <f>H53-Data!AT48</f>
        <v>15194902.329400003</v>
      </c>
      <c r="K53" s="127">
        <f>((H53)/(Data!AT48)) - 1</f>
        <v>0.37726828778294608</v>
      </c>
      <c r="L53" s="127">
        <f t="shared" si="67"/>
        <v>0</v>
      </c>
      <c r="M53" s="143">
        <f>(IF(Inputs!$E$30="Yes",INDEX(Data!AT:AT,MATCH(Outputs!A53,Data!A:A,0)),INDEX(Data!AS:AS,MATCH(Outputs!A53,Data!A:A,0))))</f>
        <v>40276118.670599997</v>
      </c>
      <c r="N53" s="143">
        <f>IF(Inputs!$E$30="Yes",INDEX(Data!BN:BN,MATCH(Outputs!$A53,Data!$A:$A,0)),INDEX(Data!BE:BE,MATCH(Outputs!$A53,Data!$A:$A,0)))</f>
        <v>42853764.341199994</v>
      </c>
      <c r="O53" s="143">
        <f>IF(Inputs!$E$30="Yes",INDEX(Data!BO:BO,MATCH(Outputs!$A53,Data!$A:$A,0)),INDEX(Data!BF:BF,MATCH(Outputs!$A53,Data!$A:$A,0)))</f>
        <v>45431410.011799991</v>
      </c>
      <c r="P53" s="143">
        <f>IF(Inputs!$E$30="Yes",INDEX(Data!BP:BP,MATCH(Outputs!$A53,Data!$A:$A,0)),INDEX(Data!BG:BG,MATCH(Outputs!$A53,Data!$A:$A,0)))</f>
        <v>48009055.682399988</v>
      </c>
      <c r="Q53" s="143">
        <f>IF(Inputs!$E$30="Yes",INDEX(Data!BQ:BQ,MATCH(Outputs!$A53,Data!$A:$A,0)),INDEX(Data!BH:BH,MATCH(Outputs!$A53,Data!$A:$A,0)))</f>
        <v>50586701.352999985</v>
      </c>
      <c r="R53" s="143">
        <f>IF(Inputs!$E$30="Yes",INDEX(Data!BR:BR,MATCH(Outputs!$A53,Data!$A:$A,0)),INDEX(Data!BI:BI,MATCH(Outputs!$A53,Data!$A:$A,0)))</f>
        <v>53164347.023599982</v>
      </c>
      <c r="S53" s="143">
        <f>IF(Inputs!$E$30="Yes",INDEX(Data!BS:BS,MATCH(Outputs!$A53,Data!$A:$A,0)),INDEX(Data!BJ:BJ,MATCH(Outputs!$A53,Data!$A:$A,0)))</f>
        <v>55471021</v>
      </c>
      <c r="T53" s="143">
        <f>IF(Inputs!$E$30="Yes",INDEX(Data!BT:BT,MATCH(Outputs!$A53,Data!$A:$A,0)),INDEX(Data!BK:BK,MATCH(Outputs!$A53,Data!$A:$A,0)))</f>
        <v>55471021</v>
      </c>
      <c r="U53" s="143">
        <f>IF(Inputs!$E$30="Yes",INDEX(Data!BU:BU,MATCH(Outputs!$A53,Data!$A:$A,0)),INDEX(Data!BL:BL,MATCH(Outputs!$A53,Data!$A:$A,0)))</f>
        <v>55471021</v>
      </c>
      <c r="V53" s="143">
        <f>INDEX('FY 22 OFA Shell'!$AX$27:$AX$195,MATCH(Outputs!A53,'FY 22 OFA Shell'!$I$27:$I$195,0))</f>
        <v>40276118.670599997</v>
      </c>
      <c r="W53" s="143">
        <f>INDEX('FY 23 OFA Shell'!$AX$27:$AX$195,MATCH(Outputs!A53,'FY 23 OFA Shell'!$I$27:$I$195,0))</f>
        <v>42853764.341199994</v>
      </c>
      <c r="X53" s="143">
        <f>INDEX('FY 23 OFA Shell'!BK$27:BK$195,MATCH(Outputs!$A53,'FY 23 OFA Shell'!$I$27:$I$195,0))</f>
        <v>45431410.011799991</v>
      </c>
      <c r="Y53" s="143">
        <f>INDEX('FY 23 OFA Shell'!BL$27:BL$195,MATCH(Outputs!$A53,'FY 23 OFA Shell'!$I$27:$I$195,0))</f>
        <v>48009055.682399988</v>
      </c>
      <c r="Z53" s="143">
        <f>INDEX('FY 23 OFA Shell'!BM$27:BM$195,MATCH(Outputs!$A53,'FY 23 OFA Shell'!$I$27:$I$195,0))</f>
        <v>50586701.352999985</v>
      </c>
      <c r="AA53" s="143">
        <f>INDEX('FY 23 OFA Shell'!BN$27:BN$195,MATCH(Outputs!$A53,'FY 23 OFA Shell'!$I$27:$I$195,0))</f>
        <v>53164347.023599982</v>
      </c>
      <c r="AB53" s="143">
        <f>INDEX('FY 23 OFA Shell'!BO$27:BO$195,MATCH(Outputs!$A53,'FY 23 OFA Shell'!$I$27:$I$195,0))</f>
        <v>55471021</v>
      </c>
      <c r="AC53" s="143">
        <f>INDEX('FY 23 OFA Shell'!BP$27:BP$195,MATCH(Outputs!$A53,'FY 23 OFA Shell'!$I$27:$I$195,0))</f>
        <v>55471021</v>
      </c>
      <c r="AD53" s="143">
        <f>INDEX('FY 23 OFA Shell'!BQ$27:BQ$195,MATCH(Outputs!$A53,'FY 23 OFA Shell'!$I$27:$I$195,0))</f>
        <v>55471021</v>
      </c>
      <c r="AE53" s="129">
        <f t="shared" si="49"/>
        <v>0</v>
      </c>
      <c r="AF53" s="129">
        <f t="shared" si="50"/>
        <v>0</v>
      </c>
      <c r="AG53" s="129">
        <f t="shared" si="51"/>
        <v>0</v>
      </c>
      <c r="AH53" s="129">
        <f t="shared" si="52"/>
        <v>0</v>
      </c>
      <c r="AI53" s="129">
        <f t="shared" si="53"/>
        <v>0</v>
      </c>
      <c r="AJ53" s="129">
        <f t="shared" si="54"/>
        <v>0</v>
      </c>
      <c r="AK53" s="129">
        <f t="shared" si="55"/>
        <v>0</v>
      </c>
      <c r="AL53" s="129">
        <f t="shared" si="56"/>
        <v>0</v>
      </c>
      <c r="AM53" s="129">
        <f t="shared" si="57"/>
        <v>0</v>
      </c>
      <c r="AN53" s="127">
        <f t="shared" si="58"/>
        <v>0</v>
      </c>
      <c r="AO53" s="127">
        <f t="shared" si="59"/>
        <v>0</v>
      </c>
      <c r="AP53" s="127">
        <f t="shared" si="60"/>
        <v>0</v>
      </c>
      <c r="AQ53" s="127">
        <f t="shared" si="61"/>
        <v>0</v>
      </c>
      <c r="AR53" s="127">
        <f t="shared" si="62"/>
        <v>0</v>
      </c>
      <c r="AS53" s="127">
        <f t="shared" si="63"/>
        <v>0</v>
      </c>
      <c r="AT53" s="127">
        <f t="shared" si="64"/>
        <v>0</v>
      </c>
      <c r="AU53" s="127">
        <f t="shared" si="65"/>
        <v>0</v>
      </c>
      <c r="AV53" s="127">
        <f t="shared" si="66"/>
        <v>0</v>
      </c>
    </row>
    <row r="54" spans="1:48" x14ac:dyDescent="0.15">
      <c r="A54" s="29" t="s">
        <v>47</v>
      </c>
      <c r="B54" s="30">
        <f>IF(Data!D49=1, MAX(Data!AA49, Inputs!$E$25) + INDEX(Inputs!$D$38:$D$42, MATCH( Data!AD49, Inputs!$B$38:$B$42, 0), 0), MAX(Data!AA49, Inputs!$E$26) +  INDEX(Inputs!$D$38:$D$42, MATCH( Data!AD49, Inputs!$B$38:$B$42, 0), 0))</f>
        <v>0.01</v>
      </c>
      <c r="C54" s="141">
        <f>(100*Data!R49)</f>
        <v>0</v>
      </c>
      <c r="D54" s="141">
        <f>ROUND(Data!Q49*C54, 0)</f>
        <v>0</v>
      </c>
      <c r="E54" s="141">
        <f>(100*Data!T49)</f>
        <v>0</v>
      </c>
      <c r="F54" s="141">
        <f>E54*Data!S49</f>
        <v>0</v>
      </c>
      <c r="G54" s="142">
        <f>ROUND(Inputs!$E$21*Data!W49*B54, 0)</f>
        <v>539228</v>
      </c>
      <c r="H54" s="143">
        <f>IF(G54=0, 0,IF(Inputs!$E$30="Yes", IF(Data!D49=1, MAX(Outputs!D54+Outputs!F54+Outputs!G54, Data!AE49), Outputs!D54+Outputs!F54+Outputs!G54), Outputs!D54+Outputs!F54+Outputs!G54))</f>
        <v>539228</v>
      </c>
      <c r="I54" s="143">
        <f>INDEX('FY 22 OFA Shell'!$AQ$27:$AQ$195,MATCH(Outputs!A54,'FY 22 OFA Shell'!$I$27:$I$195,0))</f>
        <v>539228</v>
      </c>
      <c r="J54" s="129">
        <f>H54-Data!AT49</f>
        <v>81870.70299999998</v>
      </c>
      <c r="K54" s="127">
        <f>((H54)/(Data!AT49)) - 1</f>
        <v>0.17900819236300491</v>
      </c>
      <c r="L54" s="127">
        <f t="shared" si="67"/>
        <v>0</v>
      </c>
      <c r="M54" s="143">
        <f>(IF(Inputs!$E$30="Yes",INDEX(Data!AT:AT,MATCH(Outputs!A54,Data!A:A,0)),INDEX(Data!AS:AS,MATCH(Outputs!A54,Data!A:A,0))))</f>
        <v>457357.29700000002</v>
      </c>
      <c r="N54" s="143">
        <f>IF(Inputs!$E$30="Yes",INDEX(Data!BN:BN,MATCH(Outputs!$A54,Data!$A:$A,0)),INDEX(Data!BE:BE,MATCH(Outputs!$A54,Data!$A:$A,0)))</f>
        <v>471486.59400000004</v>
      </c>
      <c r="O54" s="143">
        <f>IF(Inputs!$E$30="Yes",INDEX(Data!BO:BO,MATCH(Outputs!$A54,Data!$A:$A,0)),INDEX(Data!BF:BF,MATCH(Outputs!$A54,Data!$A:$A,0)))</f>
        <v>485615.89100000006</v>
      </c>
      <c r="P54" s="143">
        <f>IF(Inputs!$E$30="Yes",INDEX(Data!BP:BP,MATCH(Outputs!$A54,Data!$A:$A,0)),INDEX(Data!BG:BG,MATCH(Outputs!$A54,Data!$A:$A,0)))</f>
        <v>499745.18800000008</v>
      </c>
      <c r="Q54" s="143">
        <f>IF(Inputs!$E$30="Yes",INDEX(Data!BQ:BQ,MATCH(Outputs!$A54,Data!$A:$A,0)),INDEX(Data!BH:BH,MATCH(Outputs!$A54,Data!$A:$A,0)))</f>
        <v>513874.4850000001</v>
      </c>
      <c r="R54" s="143">
        <f>IF(Inputs!$E$30="Yes",INDEX(Data!BR:BR,MATCH(Outputs!$A54,Data!$A:$A,0)),INDEX(Data!BI:BI,MATCH(Outputs!$A54,Data!$A:$A,0)))</f>
        <v>528003.78200000012</v>
      </c>
      <c r="S54" s="143">
        <f>IF(Inputs!$E$30="Yes",INDEX(Data!BS:BS,MATCH(Outputs!$A54,Data!$A:$A,0)),INDEX(Data!BJ:BJ,MATCH(Outputs!$A54,Data!$A:$A,0)))</f>
        <v>539228</v>
      </c>
      <c r="T54" s="143">
        <f>IF(Inputs!$E$30="Yes",INDEX(Data!BT:BT,MATCH(Outputs!$A54,Data!$A:$A,0)),INDEX(Data!BK:BK,MATCH(Outputs!$A54,Data!$A:$A,0)))</f>
        <v>539228</v>
      </c>
      <c r="U54" s="143">
        <f>IF(Inputs!$E$30="Yes",INDEX(Data!BU:BU,MATCH(Outputs!$A54,Data!$A:$A,0)),INDEX(Data!BL:BL,MATCH(Outputs!$A54,Data!$A:$A,0)))</f>
        <v>539228</v>
      </c>
      <c r="V54" s="143">
        <f>INDEX('FY 22 OFA Shell'!$AX$27:$AX$195,MATCH(Outputs!A54,'FY 22 OFA Shell'!$I$27:$I$195,0))</f>
        <v>457357.29700000002</v>
      </c>
      <c r="W54" s="143">
        <f>INDEX('FY 23 OFA Shell'!$AX$27:$AX$195,MATCH(Outputs!A54,'FY 23 OFA Shell'!$I$27:$I$195,0))</f>
        <v>471486.59400000004</v>
      </c>
      <c r="X54" s="143">
        <f>INDEX('FY 23 OFA Shell'!BK$27:BK$195,MATCH(Outputs!$A54,'FY 23 OFA Shell'!$I$27:$I$195,0))</f>
        <v>485615.89100000006</v>
      </c>
      <c r="Y54" s="143">
        <f>INDEX('FY 23 OFA Shell'!BL$27:BL$195,MATCH(Outputs!$A54,'FY 23 OFA Shell'!$I$27:$I$195,0))</f>
        <v>499745.18800000008</v>
      </c>
      <c r="Z54" s="143">
        <f>INDEX('FY 23 OFA Shell'!BM$27:BM$195,MATCH(Outputs!$A54,'FY 23 OFA Shell'!$I$27:$I$195,0))</f>
        <v>513874.4850000001</v>
      </c>
      <c r="AA54" s="143">
        <f>INDEX('FY 23 OFA Shell'!BN$27:BN$195,MATCH(Outputs!$A54,'FY 23 OFA Shell'!$I$27:$I$195,0))</f>
        <v>528003.78200000012</v>
      </c>
      <c r="AB54" s="143">
        <f>INDEX('FY 23 OFA Shell'!BO$27:BO$195,MATCH(Outputs!$A54,'FY 23 OFA Shell'!$I$27:$I$195,0))</f>
        <v>539228</v>
      </c>
      <c r="AC54" s="143">
        <f>INDEX('FY 23 OFA Shell'!BP$27:BP$195,MATCH(Outputs!$A54,'FY 23 OFA Shell'!$I$27:$I$195,0))</f>
        <v>539228</v>
      </c>
      <c r="AD54" s="143">
        <f>INDEX('FY 23 OFA Shell'!BQ$27:BQ$195,MATCH(Outputs!$A54,'FY 23 OFA Shell'!$I$27:$I$195,0))</f>
        <v>539228</v>
      </c>
      <c r="AE54" s="129">
        <f t="shared" si="49"/>
        <v>0</v>
      </c>
      <c r="AF54" s="129">
        <f t="shared" si="50"/>
        <v>0</v>
      </c>
      <c r="AG54" s="129">
        <f t="shared" si="51"/>
        <v>0</v>
      </c>
      <c r="AH54" s="129">
        <f t="shared" si="52"/>
        <v>0</v>
      </c>
      <c r="AI54" s="129">
        <f t="shared" si="53"/>
        <v>0</v>
      </c>
      <c r="AJ54" s="129">
        <f t="shared" si="54"/>
        <v>0</v>
      </c>
      <c r="AK54" s="129">
        <f t="shared" si="55"/>
        <v>0</v>
      </c>
      <c r="AL54" s="129">
        <f t="shared" si="56"/>
        <v>0</v>
      </c>
      <c r="AM54" s="129">
        <f t="shared" si="57"/>
        <v>0</v>
      </c>
      <c r="AN54" s="127">
        <f t="shared" si="58"/>
        <v>0</v>
      </c>
      <c r="AO54" s="127">
        <f t="shared" si="59"/>
        <v>0</v>
      </c>
      <c r="AP54" s="127">
        <f t="shared" si="60"/>
        <v>0</v>
      </c>
      <c r="AQ54" s="127">
        <f t="shared" si="61"/>
        <v>0</v>
      </c>
      <c r="AR54" s="127">
        <f t="shared" si="62"/>
        <v>0</v>
      </c>
      <c r="AS54" s="127">
        <f t="shared" si="63"/>
        <v>0</v>
      </c>
      <c r="AT54" s="127">
        <f t="shared" si="64"/>
        <v>0</v>
      </c>
      <c r="AU54" s="127">
        <f t="shared" si="65"/>
        <v>0</v>
      </c>
      <c r="AV54" s="127">
        <f t="shared" si="66"/>
        <v>0</v>
      </c>
    </row>
    <row r="55" spans="1:48" x14ac:dyDescent="0.15">
      <c r="A55" s="29" t="s">
        <v>48</v>
      </c>
      <c r="B55" s="30">
        <f>IF(Data!D50=1, MAX(Data!AA50, Inputs!$E$25) + INDEX(Inputs!$D$38:$D$42, MATCH( Data!AD50, Inputs!$B$38:$B$42, 0), 0), MAX(Data!AA50, Inputs!$E$26) +  INDEX(Inputs!$D$38:$D$42, MATCH( Data!AD50, Inputs!$B$38:$B$42, 0), 0))</f>
        <v>0.23527100000000001</v>
      </c>
      <c r="C55" s="141">
        <f>(100*Data!R50)</f>
        <v>600</v>
      </c>
      <c r="D55" s="141">
        <f>ROUND(Data!Q50*C55, 0)</f>
        <v>178200</v>
      </c>
      <c r="E55" s="141">
        <f>(100*Data!T50)</f>
        <v>0</v>
      </c>
      <c r="F55" s="141">
        <f>E55*Data!S50</f>
        <v>0</v>
      </c>
      <c r="G55" s="142">
        <f>ROUND(Inputs!$E$21*Data!W50*B55, 0)</f>
        <v>1577441</v>
      </c>
      <c r="H55" s="143">
        <f>IF(G55=0, 0,IF(Inputs!$E$30="Yes", IF(Data!D50=1, MAX(Outputs!D55+Outputs!F55+Outputs!G55, Data!AE50), Outputs!D55+Outputs!F55+Outputs!G55), Outputs!D55+Outputs!F55+Outputs!G55))</f>
        <v>1755641</v>
      </c>
      <c r="I55" s="143">
        <f>INDEX('FY 22 OFA Shell'!$AQ$27:$AQ$195,MATCH(Outputs!A55,'FY 22 OFA Shell'!$I$27:$I$195,0))</f>
        <v>1755641</v>
      </c>
      <c r="J55" s="129">
        <f>H55-Data!AT50</f>
        <v>84184.476599999936</v>
      </c>
      <c r="K55" s="127">
        <f>((H55)/(Data!AT50)) - 1</f>
        <v>5.036593858197147E-2</v>
      </c>
      <c r="L55" s="127">
        <f t="shared" si="67"/>
        <v>0</v>
      </c>
      <c r="M55" s="143">
        <f>(IF(Inputs!$E$30="Yes",INDEX(Data!AT:AT,MATCH(Outputs!A55,Data!A:A,0)),INDEX(Data!AS:AS,MATCH(Outputs!A55,Data!A:A,0))))</f>
        <v>1671456.5234000001</v>
      </c>
      <c r="N55" s="143">
        <f>IF(Inputs!$E$30="Yes",INDEX(Data!BN:BN,MATCH(Outputs!$A55,Data!$A:$A,0)),INDEX(Data!BE:BE,MATCH(Outputs!$A55,Data!$A:$A,0)))</f>
        <v>1680043.0468000001</v>
      </c>
      <c r="O55" s="143">
        <f>IF(Inputs!$E$30="Yes",INDEX(Data!BO:BO,MATCH(Outputs!$A55,Data!$A:$A,0)),INDEX(Data!BF:BF,MATCH(Outputs!$A55,Data!$A:$A,0)))</f>
        <v>1688629.5702000002</v>
      </c>
      <c r="P55" s="143">
        <f>IF(Inputs!$E$30="Yes",INDEX(Data!BP:BP,MATCH(Outputs!$A55,Data!$A:$A,0)),INDEX(Data!BG:BG,MATCH(Outputs!$A55,Data!$A:$A,0)))</f>
        <v>1697216.0936000003</v>
      </c>
      <c r="Q55" s="143">
        <f>IF(Inputs!$E$30="Yes",INDEX(Data!BQ:BQ,MATCH(Outputs!$A55,Data!$A:$A,0)),INDEX(Data!BH:BH,MATCH(Outputs!$A55,Data!$A:$A,0)))</f>
        <v>1705802.6170000003</v>
      </c>
      <c r="R55" s="143">
        <f>IF(Inputs!$E$30="Yes",INDEX(Data!BR:BR,MATCH(Outputs!$A55,Data!$A:$A,0)),INDEX(Data!BI:BI,MATCH(Outputs!$A55,Data!$A:$A,0)))</f>
        <v>1714389.1404000004</v>
      </c>
      <c r="S55" s="143">
        <f>IF(Inputs!$E$30="Yes",INDEX(Data!BS:BS,MATCH(Outputs!$A55,Data!$A:$A,0)),INDEX(Data!BJ:BJ,MATCH(Outputs!$A55,Data!$A:$A,0)))</f>
        <v>1755641</v>
      </c>
      <c r="T55" s="143">
        <f>IF(Inputs!$E$30="Yes",INDEX(Data!BT:BT,MATCH(Outputs!$A55,Data!$A:$A,0)),INDEX(Data!BK:BK,MATCH(Outputs!$A55,Data!$A:$A,0)))</f>
        <v>1755641</v>
      </c>
      <c r="U55" s="143">
        <f>IF(Inputs!$E$30="Yes",INDEX(Data!BU:BU,MATCH(Outputs!$A55,Data!$A:$A,0)),INDEX(Data!BL:BL,MATCH(Outputs!$A55,Data!$A:$A,0)))</f>
        <v>1755641</v>
      </c>
      <c r="V55" s="143">
        <f>INDEX('FY 22 OFA Shell'!$AX$27:$AX$195,MATCH(Outputs!A55,'FY 22 OFA Shell'!$I$27:$I$195,0))</f>
        <v>1671456.5234000001</v>
      </c>
      <c r="W55" s="143">
        <f>INDEX('FY 23 OFA Shell'!$AX$27:$AX$195,MATCH(Outputs!A55,'FY 23 OFA Shell'!$I$27:$I$195,0))</f>
        <v>1680043.0468000001</v>
      </c>
      <c r="X55" s="143">
        <f>INDEX('FY 23 OFA Shell'!BK$27:BK$195,MATCH(Outputs!$A55,'FY 23 OFA Shell'!$I$27:$I$195,0))</f>
        <v>1688629.5702000002</v>
      </c>
      <c r="Y55" s="143">
        <f>INDEX('FY 23 OFA Shell'!BL$27:BL$195,MATCH(Outputs!$A55,'FY 23 OFA Shell'!$I$27:$I$195,0))</f>
        <v>1697216.0936000003</v>
      </c>
      <c r="Z55" s="143">
        <f>INDEX('FY 23 OFA Shell'!BM$27:BM$195,MATCH(Outputs!$A55,'FY 23 OFA Shell'!$I$27:$I$195,0))</f>
        <v>1705802.6170000003</v>
      </c>
      <c r="AA55" s="143">
        <f>INDEX('FY 23 OFA Shell'!BN$27:BN$195,MATCH(Outputs!$A55,'FY 23 OFA Shell'!$I$27:$I$195,0))</f>
        <v>1714389.1404000004</v>
      </c>
      <c r="AB55" s="143">
        <f>INDEX('FY 23 OFA Shell'!BO$27:BO$195,MATCH(Outputs!$A55,'FY 23 OFA Shell'!$I$27:$I$195,0))</f>
        <v>1755641</v>
      </c>
      <c r="AC55" s="143">
        <f>INDEX('FY 23 OFA Shell'!BP$27:BP$195,MATCH(Outputs!$A55,'FY 23 OFA Shell'!$I$27:$I$195,0))</f>
        <v>1755641</v>
      </c>
      <c r="AD55" s="143">
        <f>INDEX('FY 23 OFA Shell'!BQ$27:BQ$195,MATCH(Outputs!$A55,'FY 23 OFA Shell'!$I$27:$I$195,0))</f>
        <v>1755641</v>
      </c>
      <c r="AE55" s="129">
        <f t="shared" si="49"/>
        <v>0</v>
      </c>
      <c r="AF55" s="129">
        <f t="shared" si="50"/>
        <v>0</v>
      </c>
      <c r="AG55" s="129">
        <f t="shared" si="51"/>
        <v>0</v>
      </c>
      <c r="AH55" s="129">
        <f t="shared" si="52"/>
        <v>0</v>
      </c>
      <c r="AI55" s="129">
        <f t="shared" si="53"/>
        <v>0</v>
      </c>
      <c r="AJ55" s="129">
        <f t="shared" si="54"/>
        <v>0</v>
      </c>
      <c r="AK55" s="129">
        <f t="shared" si="55"/>
        <v>0</v>
      </c>
      <c r="AL55" s="129">
        <f t="shared" si="56"/>
        <v>0</v>
      </c>
      <c r="AM55" s="129">
        <f t="shared" si="57"/>
        <v>0</v>
      </c>
      <c r="AN55" s="127">
        <f t="shared" si="58"/>
        <v>0</v>
      </c>
      <c r="AO55" s="127">
        <f t="shared" si="59"/>
        <v>0</v>
      </c>
      <c r="AP55" s="127">
        <f t="shared" si="60"/>
        <v>0</v>
      </c>
      <c r="AQ55" s="127">
        <f t="shared" si="61"/>
        <v>0</v>
      </c>
      <c r="AR55" s="127">
        <f t="shared" si="62"/>
        <v>0</v>
      </c>
      <c r="AS55" s="127">
        <f t="shared" si="63"/>
        <v>0</v>
      </c>
      <c r="AT55" s="127">
        <f t="shared" si="64"/>
        <v>0</v>
      </c>
      <c r="AU55" s="127">
        <f t="shared" si="65"/>
        <v>0</v>
      </c>
      <c r="AV55" s="127">
        <f t="shared" si="66"/>
        <v>0</v>
      </c>
    </row>
    <row r="56" spans="1:48" x14ac:dyDescent="0.15">
      <c r="A56" s="29" t="s">
        <v>49</v>
      </c>
      <c r="B56" s="30">
        <f>IF(Data!D51=1, MAX(Data!AA51, Inputs!$E$25) + INDEX(Inputs!$D$38:$D$42, MATCH( Data!AD51, Inputs!$B$38:$B$42, 0), 0), MAX(Data!AA51, Inputs!$E$26) +  INDEX(Inputs!$D$38:$D$42, MATCH( Data!AD51, Inputs!$B$38:$B$42, 0), 0))</f>
        <v>0.58476700000000004</v>
      </c>
      <c r="C56" s="141">
        <f>(100*Data!R51)</f>
        <v>0</v>
      </c>
      <c r="D56" s="141">
        <f>ROUND(Data!Q51*C56, 0)</f>
        <v>0</v>
      </c>
      <c r="E56" s="141">
        <f>(100*Data!T51)</f>
        <v>0</v>
      </c>
      <c r="F56" s="141">
        <f>E56*Data!S51</f>
        <v>0</v>
      </c>
      <c r="G56" s="142">
        <f>ROUND(Inputs!$E$21*Data!W51*B56, 0)</f>
        <v>10715305</v>
      </c>
      <c r="H56" s="143">
        <f>IF(G56=0, 0,IF(Inputs!$E$30="Yes", IF(Data!D51=1, MAX(Outputs!D56+Outputs!F56+Outputs!G56, Data!AE51), Outputs!D56+Outputs!F56+Outputs!G56), Outputs!D56+Outputs!F56+Outputs!G56))</f>
        <v>10715305</v>
      </c>
      <c r="I56" s="143">
        <f>INDEX('FY 22 OFA Shell'!$AQ$27:$AQ$195,MATCH(Outputs!A56,'FY 22 OFA Shell'!$I$27:$I$195,0))</f>
        <v>10715305</v>
      </c>
      <c r="J56" s="129">
        <f>H56-Data!AT51</f>
        <v>1575025.0478000008</v>
      </c>
      <c r="K56" s="127">
        <f>((H56)/(Data!AT51)) - 1</f>
        <v>0.1723169373407325</v>
      </c>
      <c r="L56" s="127">
        <f t="shared" si="67"/>
        <v>0</v>
      </c>
      <c r="M56" s="143">
        <f>(IF(Inputs!$E$30="Yes",INDEX(Data!AT:AT,MATCH(Outputs!A56,Data!A:A,0)),INDEX(Data!AS:AS,MATCH(Outputs!A56,Data!A:A,0))))</f>
        <v>9140279.9521999992</v>
      </c>
      <c r="N56" s="143">
        <f>IF(Inputs!$E$30="Yes",INDEX(Data!BN:BN,MATCH(Outputs!$A56,Data!$A:$A,0)),INDEX(Data!BE:BE,MATCH(Outputs!$A56,Data!$A:$A,0)))</f>
        <v>9440136.9043999985</v>
      </c>
      <c r="O56" s="143">
        <f>IF(Inputs!$E$30="Yes",INDEX(Data!BO:BO,MATCH(Outputs!$A56,Data!$A:$A,0)),INDEX(Data!BF:BF,MATCH(Outputs!$A56,Data!$A:$A,0)))</f>
        <v>9739993.8565999977</v>
      </c>
      <c r="P56" s="143">
        <f>IF(Inputs!$E$30="Yes",INDEX(Data!BP:BP,MATCH(Outputs!$A56,Data!$A:$A,0)),INDEX(Data!BG:BG,MATCH(Outputs!$A56,Data!$A:$A,0)))</f>
        <v>10039850.808799997</v>
      </c>
      <c r="Q56" s="143">
        <f>IF(Inputs!$E$30="Yes",INDEX(Data!BQ:BQ,MATCH(Outputs!$A56,Data!$A:$A,0)),INDEX(Data!BH:BH,MATCH(Outputs!$A56,Data!$A:$A,0)))</f>
        <v>10339707.760999996</v>
      </c>
      <c r="R56" s="143">
        <f>IF(Inputs!$E$30="Yes",INDEX(Data!BR:BR,MATCH(Outputs!$A56,Data!$A:$A,0)),INDEX(Data!BI:BI,MATCH(Outputs!$A56,Data!$A:$A,0)))</f>
        <v>10639564.713199995</v>
      </c>
      <c r="S56" s="143">
        <f>IF(Inputs!$E$30="Yes",INDEX(Data!BS:BS,MATCH(Outputs!$A56,Data!$A:$A,0)),INDEX(Data!BJ:BJ,MATCH(Outputs!$A56,Data!$A:$A,0)))</f>
        <v>10715305</v>
      </c>
      <c r="T56" s="143">
        <f>IF(Inputs!$E$30="Yes",INDEX(Data!BT:BT,MATCH(Outputs!$A56,Data!$A:$A,0)),INDEX(Data!BK:BK,MATCH(Outputs!$A56,Data!$A:$A,0)))</f>
        <v>10715305</v>
      </c>
      <c r="U56" s="143">
        <f>IF(Inputs!$E$30="Yes",INDEX(Data!BU:BU,MATCH(Outputs!$A56,Data!$A:$A,0)),INDEX(Data!BL:BL,MATCH(Outputs!$A56,Data!$A:$A,0)))</f>
        <v>10715305</v>
      </c>
      <c r="V56" s="143">
        <f>INDEX('FY 22 OFA Shell'!$AX$27:$AX$195,MATCH(Outputs!A56,'FY 22 OFA Shell'!$I$27:$I$195,0))</f>
        <v>9140279.9521999992</v>
      </c>
      <c r="W56" s="143">
        <f>INDEX('FY 23 OFA Shell'!$AX$27:$AX$195,MATCH(Outputs!A56,'FY 23 OFA Shell'!$I$27:$I$195,0))</f>
        <v>9440136.9043999985</v>
      </c>
      <c r="X56" s="143">
        <f>INDEX('FY 23 OFA Shell'!BK$27:BK$195,MATCH(Outputs!$A56,'FY 23 OFA Shell'!$I$27:$I$195,0))</f>
        <v>9739993.8565999977</v>
      </c>
      <c r="Y56" s="143">
        <f>INDEX('FY 23 OFA Shell'!BL$27:BL$195,MATCH(Outputs!$A56,'FY 23 OFA Shell'!$I$27:$I$195,0))</f>
        <v>10039850.808799997</v>
      </c>
      <c r="Z56" s="143">
        <f>INDEX('FY 23 OFA Shell'!BM$27:BM$195,MATCH(Outputs!$A56,'FY 23 OFA Shell'!$I$27:$I$195,0))</f>
        <v>10339707.760999996</v>
      </c>
      <c r="AA56" s="143">
        <f>INDEX('FY 23 OFA Shell'!BN$27:BN$195,MATCH(Outputs!$A56,'FY 23 OFA Shell'!$I$27:$I$195,0))</f>
        <v>10639564.713199995</v>
      </c>
      <c r="AB56" s="143">
        <f>INDEX('FY 23 OFA Shell'!BO$27:BO$195,MATCH(Outputs!$A56,'FY 23 OFA Shell'!$I$27:$I$195,0))</f>
        <v>10715305</v>
      </c>
      <c r="AC56" s="143">
        <f>INDEX('FY 23 OFA Shell'!BP$27:BP$195,MATCH(Outputs!$A56,'FY 23 OFA Shell'!$I$27:$I$195,0))</f>
        <v>10715305</v>
      </c>
      <c r="AD56" s="143">
        <f>INDEX('FY 23 OFA Shell'!BQ$27:BQ$195,MATCH(Outputs!$A56,'FY 23 OFA Shell'!$I$27:$I$195,0))</f>
        <v>10715305</v>
      </c>
      <c r="AE56" s="129">
        <f t="shared" si="49"/>
        <v>0</v>
      </c>
      <c r="AF56" s="129">
        <f t="shared" si="50"/>
        <v>0</v>
      </c>
      <c r="AG56" s="129">
        <f t="shared" si="51"/>
        <v>0</v>
      </c>
      <c r="AH56" s="129">
        <f t="shared" si="52"/>
        <v>0</v>
      </c>
      <c r="AI56" s="129">
        <f t="shared" si="53"/>
        <v>0</v>
      </c>
      <c r="AJ56" s="129">
        <f t="shared" si="54"/>
        <v>0</v>
      </c>
      <c r="AK56" s="129">
        <f t="shared" si="55"/>
        <v>0</v>
      </c>
      <c r="AL56" s="129">
        <f t="shared" si="56"/>
        <v>0</v>
      </c>
      <c r="AM56" s="129">
        <f t="shared" si="57"/>
        <v>0</v>
      </c>
      <c r="AN56" s="127">
        <f t="shared" si="58"/>
        <v>0</v>
      </c>
      <c r="AO56" s="127">
        <f t="shared" si="59"/>
        <v>0</v>
      </c>
      <c r="AP56" s="127">
        <f t="shared" si="60"/>
        <v>0</v>
      </c>
      <c r="AQ56" s="127">
        <f t="shared" si="61"/>
        <v>0</v>
      </c>
      <c r="AR56" s="127">
        <f t="shared" si="62"/>
        <v>0</v>
      </c>
      <c r="AS56" s="127">
        <f t="shared" si="63"/>
        <v>0</v>
      </c>
      <c r="AT56" s="127">
        <f t="shared" si="64"/>
        <v>0</v>
      </c>
      <c r="AU56" s="127">
        <f t="shared" si="65"/>
        <v>0</v>
      </c>
      <c r="AV56" s="127">
        <f t="shared" si="66"/>
        <v>0</v>
      </c>
    </row>
    <row r="57" spans="1:48" x14ac:dyDescent="0.15">
      <c r="A57" s="29" t="s">
        <v>50</v>
      </c>
      <c r="B57" s="30">
        <f>IF(Data!D52=1, MAX(Data!AA52, Inputs!$E$25) + INDEX(Inputs!$D$38:$D$42, MATCH( Data!AD52, Inputs!$B$38:$B$42, 0), 0), MAX(Data!AA52, Inputs!$E$26) +  INDEX(Inputs!$D$38:$D$42, MATCH( Data!AD52, Inputs!$B$38:$B$42, 0), 0))</f>
        <v>0.186941</v>
      </c>
      <c r="C57" s="141">
        <f>(100*Data!R52)</f>
        <v>1300</v>
      </c>
      <c r="D57" s="141">
        <f>ROUND(Data!Q52*C57, 0)</f>
        <v>1242800</v>
      </c>
      <c r="E57" s="141">
        <f>(100*Data!T52)</f>
        <v>0</v>
      </c>
      <c r="F57" s="141">
        <f>E57*Data!S52</f>
        <v>0</v>
      </c>
      <c r="G57" s="142">
        <f>ROUND(Inputs!$E$21*Data!W52*B57, 0)</f>
        <v>2136764</v>
      </c>
      <c r="H57" s="143">
        <f>IF(G57=0, 0,IF(Inputs!$E$30="Yes", IF(Data!D52=1, MAX(Outputs!D57+Outputs!F57+Outputs!G57, Data!AE52), Outputs!D57+Outputs!F57+Outputs!G57), Outputs!D57+Outputs!F57+Outputs!G57))</f>
        <v>3379564</v>
      </c>
      <c r="I57" s="143">
        <f>INDEX('FY 22 OFA Shell'!$AQ$27:$AQ$195,MATCH(Outputs!A57,'FY 22 OFA Shell'!$I$27:$I$195,0))</f>
        <v>3379564</v>
      </c>
      <c r="J57" s="129">
        <f>H57-Data!AT52</f>
        <v>213831</v>
      </c>
      <c r="K57" s="127">
        <f>((H57)/(Data!AT52)) - 1</f>
        <v>6.7545494203080203E-2</v>
      </c>
      <c r="L57" s="127">
        <f t="shared" si="67"/>
        <v>0</v>
      </c>
      <c r="M57" s="143">
        <f>(IF(Inputs!$E$30="Yes",INDEX(Data!AT:AT,MATCH(Outputs!A57,Data!A:A,0)),INDEX(Data!AS:AS,MATCH(Outputs!A57,Data!A:A,0))))</f>
        <v>3165733</v>
      </c>
      <c r="N57" s="143">
        <f>IF(Inputs!$E$30="Yes",INDEX(Data!BN:BN,MATCH(Outputs!$A57,Data!$A:$A,0)),INDEX(Data!BE:BE,MATCH(Outputs!$A57,Data!$A:$A,0)))</f>
        <v>3165733</v>
      </c>
      <c r="O57" s="143">
        <f>IF(Inputs!$E$30="Yes",INDEX(Data!BO:BO,MATCH(Outputs!$A57,Data!$A:$A,0)),INDEX(Data!BF:BF,MATCH(Outputs!$A57,Data!$A:$A,0)))</f>
        <v>3122771.9413000001</v>
      </c>
      <c r="P57" s="143">
        <f>IF(Inputs!$E$30="Yes",INDEX(Data!BP:BP,MATCH(Outputs!$A57,Data!$A:$A,0)),INDEX(Data!BG:BG,MATCH(Outputs!$A57,Data!$A:$A,0)))</f>
        <v>3079810.8826000001</v>
      </c>
      <c r="Q57" s="143">
        <f>IF(Inputs!$E$30="Yes",INDEX(Data!BQ:BQ,MATCH(Outputs!$A57,Data!$A:$A,0)),INDEX(Data!BH:BH,MATCH(Outputs!$A57,Data!$A:$A,0)))</f>
        <v>3036849.8239000002</v>
      </c>
      <c r="R57" s="143">
        <f>IF(Inputs!$E$30="Yes",INDEX(Data!BR:BR,MATCH(Outputs!$A57,Data!$A:$A,0)),INDEX(Data!BI:BI,MATCH(Outputs!$A57,Data!$A:$A,0)))</f>
        <v>2993888.7652000003</v>
      </c>
      <c r="S57" s="143">
        <f>IF(Inputs!$E$30="Yes",INDEX(Data!BS:BS,MATCH(Outputs!$A57,Data!$A:$A,0)),INDEX(Data!BJ:BJ,MATCH(Outputs!$A57,Data!$A:$A,0)))</f>
        <v>2950927.7065000003</v>
      </c>
      <c r="T57" s="143">
        <f>IF(Inputs!$E$30="Yes",INDEX(Data!BT:BT,MATCH(Outputs!$A57,Data!$A:$A,0)),INDEX(Data!BK:BK,MATCH(Outputs!$A57,Data!$A:$A,0)))</f>
        <v>2907966.6478000004</v>
      </c>
      <c r="U57" s="143">
        <f>IF(Inputs!$E$30="Yes",INDEX(Data!BU:BU,MATCH(Outputs!$A57,Data!$A:$A,0)),INDEX(Data!BL:BL,MATCH(Outputs!$A57,Data!$A:$A,0)))</f>
        <v>3379564</v>
      </c>
      <c r="V57" s="143">
        <f>INDEX('FY 22 OFA Shell'!$AX$27:$AX$195,MATCH(Outputs!A57,'FY 22 OFA Shell'!$I$27:$I$195,0))</f>
        <v>3165733</v>
      </c>
      <c r="W57" s="143">
        <f>INDEX('FY 23 OFA Shell'!$AX$27:$AX$195,MATCH(Outputs!A57,'FY 23 OFA Shell'!$I$27:$I$195,0))</f>
        <v>3165733</v>
      </c>
      <c r="X57" s="143">
        <f>INDEX('FY 23 OFA Shell'!BK$27:BK$195,MATCH(Outputs!$A57,'FY 23 OFA Shell'!$I$27:$I$195,0))</f>
        <v>3122771.9413000001</v>
      </c>
      <c r="Y57" s="143">
        <f>INDEX('FY 23 OFA Shell'!BL$27:BL$195,MATCH(Outputs!$A57,'FY 23 OFA Shell'!$I$27:$I$195,0))</f>
        <v>3079810.8826000001</v>
      </c>
      <c r="Z57" s="143">
        <f>INDEX('FY 23 OFA Shell'!BM$27:BM$195,MATCH(Outputs!$A57,'FY 23 OFA Shell'!$I$27:$I$195,0))</f>
        <v>3036849.8239000002</v>
      </c>
      <c r="AA57" s="143">
        <f>INDEX('FY 23 OFA Shell'!BN$27:BN$195,MATCH(Outputs!$A57,'FY 23 OFA Shell'!$I$27:$I$195,0))</f>
        <v>2993888.7652000003</v>
      </c>
      <c r="AB57" s="143">
        <f>INDEX('FY 23 OFA Shell'!BO$27:BO$195,MATCH(Outputs!$A57,'FY 23 OFA Shell'!$I$27:$I$195,0))</f>
        <v>2950927.7065000003</v>
      </c>
      <c r="AC57" s="143">
        <f>INDEX('FY 23 OFA Shell'!BP$27:BP$195,MATCH(Outputs!$A57,'FY 23 OFA Shell'!$I$27:$I$195,0))</f>
        <v>2907966.6478000004</v>
      </c>
      <c r="AD57" s="143">
        <f>INDEX('FY 23 OFA Shell'!BQ$27:BQ$195,MATCH(Outputs!$A57,'FY 23 OFA Shell'!$I$27:$I$195,0))</f>
        <v>3379564</v>
      </c>
      <c r="AE57" s="129">
        <f t="shared" si="49"/>
        <v>0</v>
      </c>
      <c r="AF57" s="129">
        <f t="shared" si="50"/>
        <v>0</v>
      </c>
      <c r="AG57" s="129">
        <f t="shared" si="51"/>
        <v>0</v>
      </c>
      <c r="AH57" s="129">
        <f t="shared" si="52"/>
        <v>0</v>
      </c>
      <c r="AI57" s="129">
        <f t="shared" si="53"/>
        <v>0</v>
      </c>
      <c r="AJ57" s="129">
        <f t="shared" si="54"/>
        <v>0</v>
      </c>
      <c r="AK57" s="129">
        <f t="shared" si="55"/>
        <v>0</v>
      </c>
      <c r="AL57" s="129">
        <f t="shared" si="56"/>
        <v>0</v>
      </c>
      <c r="AM57" s="129">
        <f t="shared" si="57"/>
        <v>0</v>
      </c>
      <c r="AN57" s="127">
        <f t="shared" si="58"/>
        <v>0</v>
      </c>
      <c r="AO57" s="127">
        <f t="shared" si="59"/>
        <v>0</v>
      </c>
      <c r="AP57" s="127">
        <f t="shared" si="60"/>
        <v>0</v>
      </c>
      <c r="AQ57" s="127">
        <f t="shared" si="61"/>
        <v>0</v>
      </c>
      <c r="AR57" s="127">
        <f t="shared" si="62"/>
        <v>0</v>
      </c>
      <c r="AS57" s="127">
        <f t="shared" si="63"/>
        <v>0</v>
      </c>
      <c r="AT57" s="127">
        <f t="shared" si="64"/>
        <v>0</v>
      </c>
      <c r="AU57" s="127">
        <f t="shared" si="65"/>
        <v>0</v>
      </c>
      <c r="AV57" s="127">
        <f t="shared" si="66"/>
        <v>0</v>
      </c>
    </row>
    <row r="58" spans="1:48" x14ac:dyDescent="0.15">
      <c r="A58" s="29" t="s">
        <v>51</v>
      </c>
      <c r="B58" s="30">
        <f>IF(Data!D53=1, MAX(Data!AA53, Inputs!$E$25) + INDEX(Inputs!$D$38:$D$42, MATCH( Data!AD53, Inputs!$B$38:$B$42, 0), 0), MAX(Data!AA53, Inputs!$E$26) +  INDEX(Inputs!$D$38:$D$42, MATCH( Data!AD53, Inputs!$B$38:$B$42, 0), 0))</f>
        <v>0.30453599999999997</v>
      </c>
      <c r="C58" s="141">
        <f>(100*Data!R53)</f>
        <v>0</v>
      </c>
      <c r="D58" s="141">
        <f>ROUND(Data!Q53*C58, 0)</f>
        <v>0</v>
      </c>
      <c r="E58" s="141">
        <f>(100*Data!T53)</f>
        <v>400</v>
      </c>
      <c r="F58" s="141">
        <f>E58*Data!S53</f>
        <v>17200</v>
      </c>
      <c r="G58" s="142">
        <f>ROUND(Inputs!$E$21*Data!W53*B58, 0)</f>
        <v>677563</v>
      </c>
      <c r="H58" s="143">
        <f>IF(G58=0, 0,IF(Inputs!$E$30="Yes", IF(Data!D53=1, MAX(Outputs!D58+Outputs!F58+Outputs!G58, Data!AE53), Outputs!D58+Outputs!F58+Outputs!G58), Outputs!D58+Outputs!F58+Outputs!G58))</f>
        <v>694763</v>
      </c>
      <c r="I58" s="143">
        <f>INDEX('FY 22 OFA Shell'!$AQ$27:$AQ$195,MATCH(Outputs!A58,'FY 22 OFA Shell'!$I$27:$I$195,0))</f>
        <v>694763</v>
      </c>
      <c r="J58" s="129">
        <f>H58-Data!AT53</f>
        <v>-252413</v>
      </c>
      <c r="K58" s="127">
        <f>((H58)/(Data!AT53)) - 1</f>
        <v>-0.26649007153897486</v>
      </c>
      <c r="L58" s="127">
        <f t="shared" si="67"/>
        <v>0</v>
      </c>
      <c r="M58" s="143">
        <f>(IF(Inputs!$E$30="Yes",INDEX(Data!AT:AT,MATCH(Outputs!A58,Data!A:A,0)),INDEX(Data!AS:AS,MATCH(Outputs!A58,Data!A:A,0))))</f>
        <v>947176</v>
      </c>
      <c r="N58" s="143">
        <f>IF(Inputs!$E$30="Yes",INDEX(Data!BN:BN,MATCH(Outputs!$A58,Data!$A:$A,0)),INDEX(Data!BE:BE,MATCH(Outputs!$A58,Data!$A:$A,0)))</f>
        <v>947176</v>
      </c>
      <c r="O58" s="143">
        <f>IF(Inputs!$E$30="Yes",INDEX(Data!BO:BO,MATCH(Outputs!$A58,Data!$A:$A,0)),INDEX(Data!BF:BF,MATCH(Outputs!$A58,Data!$A:$A,0)))</f>
        <v>914096.07059999998</v>
      </c>
      <c r="P58" s="143">
        <f>IF(Inputs!$E$30="Yes",INDEX(Data!BP:BP,MATCH(Outputs!$A58,Data!$A:$A,0)),INDEX(Data!BG:BG,MATCH(Outputs!$A58,Data!$A:$A,0)))</f>
        <v>881016.14119999995</v>
      </c>
      <c r="Q58" s="143">
        <f>IF(Inputs!$E$30="Yes",INDEX(Data!BQ:BQ,MATCH(Outputs!$A58,Data!$A:$A,0)),INDEX(Data!BH:BH,MATCH(Outputs!$A58,Data!$A:$A,0)))</f>
        <v>847936.21179999993</v>
      </c>
      <c r="R58" s="143">
        <f>IF(Inputs!$E$30="Yes",INDEX(Data!BR:BR,MATCH(Outputs!$A58,Data!$A:$A,0)),INDEX(Data!BI:BI,MATCH(Outputs!$A58,Data!$A:$A,0)))</f>
        <v>814856.28239999991</v>
      </c>
      <c r="S58" s="143">
        <f>IF(Inputs!$E$30="Yes",INDEX(Data!BS:BS,MATCH(Outputs!$A58,Data!$A:$A,0)),INDEX(Data!BJ:BJ,MATCH(Outputs!$A58,Data!$A:$A,0)))</f>
        <v>781776.35299999989</v>
      </c>
      <c r="T58" s="143">
        <f>IF(Inputs!$E$30="Yes",INDEX(Data!BT:BT,MATCH(Outputs!$A58,Data!$A:$A,0)),INDEX(Data!BK:BK,MATCH(Outputs!$A58,Data!$A:$A,0)))</f>
        <v>748696.42359999986</v>
      </c>
      <c r="U58" s="143">
        <f>IF(Inputs!$E$30="Yes",INDEX(Data!BU:BU,MATCH(Outputs!$A58,Data!$A:$A,0)),INDEX(Data!BL:BL,MATCH(Outputs!$A58,Data!$A:$A,0)))</f>
        <v>694763</v>
      </c>
      <c r="V58" s="143">
        <f>INDEX('FY 22 OFA Shell'!$AX$27:$AX$195,MATCH(Outputs!A58,'FY 22 OFA Shell'!$I$27:$I$195,0))</f>
        <v>947176</v>
      </c>
      <c r="W58" s="143">
        <f>INDEX('FY 23 OFA Shell'!$AX$27:$AX$195,MATCH(Outputs!A58,'FY 23 OFA Shell'!$I$27:$I$195,0))</f>
        <v>947176</v>
      </c>
      <c r="X58" s="143">
        <f>INDEX('FY 23 OFA Shell'!BK$27:BK$195,MATCH(Outputs!$A58,'FY 23 OFA Shell'!$I$27:$I$195,0))</f>
        <v>914096.07059999998</v>
      </c>
      <c r="Y58" s="143">
        <f>INDEX('FY 23 OFA Shell'!BL$27:BL$195,MATCH(Outputs!$A58,'FY 23 OFA Shell'!$I$27:$I$195,0))</f>
        <v>881016.14119999995</v>
      </c>
      <c r="Z58" s="143">
        <f>INDEX('FY 23 OFA Shell'!BM$27:BM$195,MATCH(Outputs!$A58,'FY 23 OFA Shell'!$I$27:$I$195,0))</f>
        <v>847936.21179999993</v>
      </c>
      <c r="AA58" s="143">
        <f>INDEX('FY 23 OFA Shell'!BN$27:BN$195,MATCH(Outputs!$A58,'FY 23 OFA Shell'!$I$27:$I$195,0))</f>
        <v>814856.28239999991</v>
      </c>
      <c r="AB58" s="143">
        <f>INDEX('FY 23 OFA Shell'!BO$27:BO$195,MATCH(Outputs!$A58,'FY 23 OFA Shell'!$I$27:$I$195,0))</f>
        <v>781776.35299999989</v>
      </c>
      <c r="AC58" s="143">
        <f>INDEX('FY 23 OFA Shell'!BP$27:BP$195,MATCH(Outputs!$A58,'FY 23 OFA Shell'!$I$27:$I$195,0))</f>
        <v>748696.42359999986</v>
      </c>
      <c r="AD58" s="143">
        <f>INDEX('FY 23 OFA Shell'!BQ$27:BQ$195,MATCH(Outputs!$A58,'FY 23 OFA Shell'!$I$27:$I$195,0))</f>
        <v>694763</v>
      </c>
      <c r="AE58" s="129">
        <f t="shared" si="49"/>
        <v>0</v>
      </c>
      <c r="AF58" s="129">
        <f t="shared" si="50"/>
        <v>0</v>
      </c>
      <c r="AG58" s="129">
        <f t="shared" si="51"/>
        <v>0</v>
      </c>
      <c r="AH58" s="129">
        <f t="shared" si="52"/>
        <v>0</v>
      </c>
      <c r="AI58" s="129">
        <f t="shared" si="53"/>
        <v>0</v>
      </c>
      <c r="AJ58" s="129">
        <f t="shared" si="54"/>
        <v>0</v>
      </c>
      <c r="AK58" s="129">
        <f t="shared" si="55"/>
        <v>0</v>
      </c>
      <c r="AL58" s="129">
        <f t="shared" si="56"/>
        <v>0</v>
      </c>
      <c r="AM58" s="129">
        <f t="shared" si="57"/>
        <v>0</v>
      </c>
      <c r="AN58" s="127">
        <f t="shared" si="58"/>
        <v>0</v>
      </c>
      <c r="AO58" s="127">
        <f t="shared" si="59"/>
        <v>0</v>
      </c>
      <c r="AP58" s="127">
        <f t="shared" si="60"/>
        <v>0</v>
      </c>
      <c r="AQ58" s="127">
        <f t="shared" si="61"/>
        <v>0</v>
      </c>
      <c r="AR58" s="127">
        <f t="shared" si="62"/>
        <v>0</v>
      </c>
      <c r="AS58" s="127">
        <f t="shared" si="63"/>
        <v>0</v>
      </c>
      <c r="AT58" s="127">
        <f t="shared" si="64"/>
        <v>0</v>
      </c>
      <c r="AU58" s="127">
        <f t="shared" si="65"/>
        <v>0</v>
      </c>
      <c r="AV58" s="127">
        <f t="shared" si="66"/>
        <v>0</v>
      </c>
    </row>
    <row r="59" spans="1:48" x14ac:dyDescent="0.15">
      <c r="A59" s="29" t="s">
        <v>52</v>
      </c>
      <c r="B59" s="30">
        <f>IF(Data!D54=1, MAX(Data!AA54, Inputs!$E$25) + INDEX(Inputs!$D$38:$D$42, MATCH( Data!AD54, Inputs!$B$38:$B$42, 0), 0), MAX(Data!AA54, Inputs!$E$26) +  INDEX(Inputs!$D$38:$D$42, MATCH( Data!AD54, Inputs!$B$38:$B$42, 0), 0))</f>
        <v>0.152944</v>
      </c>
      <c r="C59" s="141">
        <f>(100*Data!R54)</f>
        <v>0</v>
      </c>
      <c r="D59" s="141">
        <f>ROUND(Data!Q54*C59, 0)</f>
        <v>0</v>
      </c>
      <c r="E59" s="141">
        <f>(100*Data!T54)</f>
        <v>0</v>
      </c>
      <c r="F59" s="141">
        <f>E59*Data!S54</f>
        <v>0</v>
      </c>
      <c r="G59" s="142">
        <f>ROUND(Inputs!$E$21*Data!W54*B59, 0)</f>
        <v>1549589</v>
      </c>
      <c r="H59" s="143">
        <f>IF(G59=0, 0,IF(Inputs!$E$30="Yes", IF(Data!D54=1, MAX(Outputs!D59+Outputs!F59+Outputs!G59, Data!AE54), Outputs!D59+Outputs!F59+Outputs!G59), Outputs!D59+Outputs!F59+Outputs!G59))</f>
        <v>1549589</v>
      </c>
      <c r="I59" s="143">
        <f>INDEX('FY 22 OFA Shell'!$AQ$27:$AQ$195,MATCH(Outputs!A59,'FY 22 OFA Shell'!$I$27:$I$195,0))</f>
        <v>1549589</v>
      </c>
      <c r="J59" s="129">
        <f>H59-Data!AT54</f>
        <v>103798.28960000002</v>
      </c>
      <c r="K59" s="127">
        <f>((H59)/(Data!AT54)) - 1</f>
        <v>7.1793440678065146E-2</v>
      </c>
      <c r="L59" s="127">
        <f t="shared" si="67"/>
        <v>0</v>
      </c>
      <c r="M59" s="143">
        <f>(IF(Inputs!$E$30="Yes",INDEX(Data!AT:AT,MATCH(Outputs!A59,Data!A:A,0)),INDEX(Data!AS:AS,MATCH(Outputs!A59,Data!A:A,0))))</f>
        <v>1445790.7104</v>
      </c>
      <c r="N59" s="143">
        <f>IF(Inputs!$E$30="Yes",INDEX(Data!BN:BN,MATCH(Outputs!$A59,Data!$A:$A,0)),INDEX(Data!BE:BE,MATCH(Outputs!$A59,Data!$A:$A,0)))</f>
        <v>1457489.4208</v>
      </c>
      <c r="O59" s="143">
        <f>IF(Inputs!$E$30="Yes",INDEX(Data!BO:BO,MATCH(Outputs!$A59,Data!$A:$A,0)),INDEX(Data!BF:BF,MATCH(Outputs!$A59,Data!$A:$A,0)))</f>
        <v>1469188.1311999999</v>
      </c>
      <c r="P59" s="143">
        <f>IF(Inputs!$E$30="Yes",INDEX(Data!BP:BP,MATCH(Outputs!$A59,Data!$A:$A,0)),INDEX(Data!BG:BG,MATCH(Outputs!$A59,Data!$A:$A,0)))</f>
        <v>1480886.8415999999</v>
      </c>
      <c r="Q59" s="143">
        <f>IF(Inputs!$E$30="Yes",INDEX(Data!BQ:BQ,MATCH(Outputs!$A59,Data!$A:$A,0)),INDEX(Data!BH:BH,MATCH(Outputs!$A59,Data!$A:$A,0)))</f>
        <v>1492585.5519999999</v>
      </c>
      <c r="R59" s="143">
        <f>IF(Inputs!$E$30="Yes",INDEX(Data!BR:BR,MATCH(Outputs!$A59,Data!$A:$A,0)),INDEX(Data!BI:BI,MATCH(Outputs!$A59,Data!$A:$A,0)))</f>
        <v>1504284.2623999999</v>
      </c>
      <c r="S59" s="143">
        <f>IF(Inputs!$E$30="Yes",INDEX(Data!BS:BS,MATCH(Outputs!$A59,Data!$A:$A,0)),INDEX(Data!BJ:BJ,MATCH(Outputs!$A59,Data!$A:$A,0)))</f>
        <v>1549589</v>
      </c>
      <c r="T59" s="143">
        <f>IF(Inputs!$E$30="Yes",INDEX(Data!BT:BT,MATCH(Outputs!$A59,Data!$A:$A,0)),INDEX(Data!BK:BK,MATCH(Outputs!$A59,Data!$A:$A,0)))</f>
        <v>1549589</v>
      </c>
      <c r="U59" s="143">
        <f>IF(Inputs!$E$30="Yes",INDEX(Data!BU:BU,MATCH(Outputs!$A59,Data!$A:$A,0)),INDEX(Data!BL:BL,MATCH(Outputs!$A59,Data!$A:$A,0)))</f>
        <v>1549589</v>
      </c>
      <c r="V59" s="143">
        <f>INDEX('FY 22 OFA Shell'!$AX$27:$AX$195,MATCH(Outputs!A59,'FY 22 OFA Shell'!$I$27:$I$195,0))</f>
        <v>1445790.7104</v>
      </c>
      <c r="W59" s="143">
        <f>INDEX('FY 23 OFA Shell'!$AX$27:$AX$195,MATCH(Outputs!A59,'FY 23 OFA Shell'!$I$27:$I$195,0))</f>
        <v>1457489.4208</v>
      </c>
      <c r="X59" s="143">
        <f>INDEX('FY 23 OFA Shell'!BK$27:BK$195,MATCH(Outputs!$A59,'FY 23 OFA Shell'!$I$27:$I$195,0))</f>
        <v>1469188.1311999999</v>
      </c>
      <c r="Y59" s="143">
        <f>INDEX('FY 23 OFA Shell'!BL$27:BL$195,MATCH(Outputs!$A59,'FY 23 OFA Shell'!$I$27:$I$195,0))</f>
        <v>1480886.8415999999</v>
      </c>
      <c r="Z59" s="143">
        <f>INDEX('FY 23 OFA Shell'!BM$27:BM$195,MATCH(Outputs!$A59,'FY 23 OFA Shell'!$I$27:$I$195,0))</f>
        <v>1492585.5519999999</v>
      </c>
      <c r="AA59" s="143">
        <f>INDEX('FY 23 OFA Shell'!BN$27:BN$195,MATCH(Outputs!$A59,'FY 23 OFA Shell'!$I$27:$I$195,0))</f>
        <v>1504284.2623999999</v>
      </c>
      <c r="AB59" s="143">
        <f>INDEX('FY 23 OFA Shell'!BO$27:BO$195,MATCH(Outputs!$A59,'FY 23 OFA Shell'!$I$27:$I$195,0))</f>
        <v>1549589</v>
      </c>
      <c r="AC59" s="143">
        <f>INDEX('FY 23 OFA Shell'!BP$27:BP$195,MATCH(Outputs!$A59,'FY 23 OFA Shell'!$I$27:$I$195,0))</f>
        <v>1549589</v>
      </c>
      <c r="AD59" s="143">
        <f>INDEX('FY 23 OFA Shell'!BQ$27:BQ$195,MATCH(Outputs!$A59,'FY 23 OFA Shell'!$I$27:$I$195,0))</f>
        <v>1549589</v>
      </c>
      <c r="AE59" s="129">
        <f t="shared" si="49"/>
        <v>0</v>
      </c>
      <c r="AF59" s="129">
        <f t="shared" si="50"/>
        <v>0</v>
      </c>
      <c r="AG59" s="129">
        <f t="shared" si="51"/>
        <v>0</v>
      </c>
      <c r="AH59" s="129">
        <f t="shared" si="52"/>
        <v>0</v>
      </c>
      <c r="AI59" s="129">
        <f t="shared" si="53"/>
        <v>0</v>
      </c>
      <c r="AJ59" s="129">
        <f t="shared" si="54"/>
        <v>0</v>
      </c>
      <c r="AK59" s="129">
        <f t="shared" si="55"/>
        <v>0</v>
      </c>
      <c r="AL59" s="129">
        <f t="shared" si="56"/>
        <v>0</v>
      </c>
      <c r="AM59" s="129">
        <f t="shared" si="57"/>
        <v>0</v>
      </c>
      <c r="AN59" s="127">
        <f t="shared" si="58"/>
        <v>0</v>
      </c>
      <c r="AO59" s="127">
        <f t="shared" si="59"/>
        <v>0</v>
      </c>
      <c r="AP59" s="127">
        <f t="shared" si="60"/>
        <v>0</v>
      </c>
      <c r="AQ59" s="127">
        <f t="shared" si="61"/>
        <v>0</v>
      </c>
      <c r="AR59" s="127">
        <f t="shared" si="62"/>
        <v>0</v>
      </c>
      <c r="AS59" s="127">
        <f t="shared" si="63"/>
        <v>0</v>
      </c>
      <c r="AT59" s="127">
        <f t="shared" si="64"/>
        <v>0</v>
      </c>
      <c r="AU59" s="127">
        <f t="shared" si="65"/>
        <v>0</v>
      </c>
      <c r="AV59" s="127">
        <f t="shared" si="66"/>
        <v>0</v>
      </c>
    </row>
    <row r="60" spans="1:48" x14ac:dyDescent="0.15">
      <c r="A60" s="29" t="s">
        <v>53</v>
      </c>
      <c r="B60" s="30">
        <f>IF(Data!D55=1, MAX(Data!AA55, Inputs!$E$25) + INDEX(Inputs!$D$38:$D$42, MATCH( Data!AD55, Inputs!$B$38:$B$42, 0), 0), MAX(Data!AA55, Inputs!$E$26) +  INDEX(Inputs!$D$38:$D$42, MATCH( Data!AD55, Inputs!$B$38:$B$42, 0), 0))</f>
        <v>0.26024399999999998</v>
      </c>
      <c r="C60" s="141">
        <f>(100*Data!R55)</f>
        <v>0</v>
      </c>
      <c r="D60" s="141">
        <f>ROUND(Data!Q55*C60, 0)</f>
        <v>0</v>
      </c>
      <c r="E60" s="141">
        <f>(100*Data!T55)</f>
        <v>0</v>
      </c>
      <c r="F60" s="141">
        <f>E60*Data!S55</f>
        <v>0</v>
      </c>
      <c r="G60" s="142">
        <f>ROUND(Inputs!$E$21*Data!W55*B60, 0)</f>
        <v>3051020</v>
      </c>
      <c r="H60" s="143">
        <f>IF(G60=0, 0,IF(Inputs!$E$30="Yes", IF(Data!D55=1, MAX(Outputs!D60+Outputs!F60+Outputs!G60, Data!AE55), Outputs!D60+Outputs!F60+Outputs!G60), Outputs!D60+Outputs!F60+Outputs!G60))</f>
        <v>3051020</v>
      </c>
      <c r="I60" s="143">
        <f>INDEX('FY 22 OFA Shell'!$AQ$27:$AQ$195,MATCH(Outputs!A60,'FY 22 OFA Shell'!$I$27:$I$195,0))</f>
        <v>3051020</v>
      </c>
      <c r="J60" s="129">
        <f>H60-Data!AT55</f>
        <v>-504937</v>
      </c>
      <c r="K60" s="127">
        <f>((H60)/(Data!AT55)) - 1</f>
        <v>-0.1419974988448961</v>
      </c>
      <c r="L60" s="127">
        <f t="shared" si="67"/>
        <v>0</v>
      </c>
      <c r="M60" s="143">
        <f>(IF(Inputs!$E$30="Yes",INDEX(Data!AT:AT,MATCH(Outputs!A60,Data!A:A,0)),INDEX(Data!AS:AS,MATCH(Outputs!A60,Data!A:A,0))))</f>
        <v>3555957</v>
      </c>
      <c r="N60" s="143">
        <f>IF(Inputs!$E$30="Yes",INDEX(Data!BN:BN,MATCH(Outputs!$A60,Data!$A:$A,0)),INDEX(Data!BE:BE,MATCH(Outputs!$A60,Data!$A:$A,0)))</f>
        <v>3555957</v>
      </c>
      <c r="O60" s="143">
        <f>IF(Inputs!$E$30="Yes",INDEX(Data!BO:BO,MATCH(Outputs!$A60,Data!$A:$A,0)),INDEX(Data!BF:BF,MATCH(Outputs!$A60,Data!$A:$A,0)))</f>
        <v>3503052.0038000001</v>
      </c>
      <c r="P60" s="143">
        <f>IF(Inputs!$E$30="Yes",INDEX(Data!BP:BP,MATCH(Outputs!$A60,Data!$A:$A,0)),INDEX(Data!BG:BG,MATCH(Outputs!$A60,Data!$A:$A,0)))</f>
        <v>3450147.0076000001</v>
      </c>
      <c r="Q60" s="143">
        <f>IF(Inputs!$E$30="Yes",INDEX(Data!BQ:BQ,MATCH(Outputs!$A60,Data!$A:$A,0)),INDEX(Data!BH:BH,MATCH(Outputs!$A60,Data!$A:$A,0)))</f>
        <v>3397242.0114000002</v>
      </c>
      <c r="R60" s="143">
        <f>IF(Inputs!$E$30="Yes",INDEX(Data!BR:BR,MATCH(Outputs!$A60,Data!$A:$A,0)),INDEX(Data!BI:BI,MATCH(Outputs!$A60,Data!$A:$A,0)))</f>
        <v>3344337.0152000003</v>
      </c>
      <c r="S60" s="143">
        <f>IF(Inputs!$E$30="Yes",INDEX(Data!BS:BS,MATCH(Outputs!$A60,Data!$A:$A,0)),INDEX(Data!BJ:BJ,MATCH(Outputs!$A60,Data!$A:$A,0)))</f>
        <v>3291432.0190000003</v>
      </c>
      <c r="T60" s="143">
        <f>IF(Inputs!$E$30="Yes",INDEX(Data!BT:BT,MATCH(Outputs!$A60,Data!$A:$A,0)),INDEX(Data!BK:BK,MATCH(Outputs!$A60,Data!$A:$A,0)))</f>
        <v>3238527.0228000004</v>
      </c>
      <c r="U60" s="143">
        <f>IF(Inputs!$E$30="Yes",INDEX(Data!BU:BU,MATCH(Outputs!$A60,Data!$A:$A,0)),INDEX(Data!BL:BL,MATCH(Outputs!$A60,Data!$A:$A,0)))</f>
        <v>3051020</v>
      </c>
      <c r="V60" s="143">
        <f>INDEX('FY 22 OFA Shell'!$AX$27:$AX$195,MATCH(Outputs!A60,'FY 22 OFA Shell'!$I$27:$I$195,0))</f>
        <v>3555957</v>
      </c>
      <c r="W60" s="143">
        <f>INDEX('FY 23 OFA Shell'!$AX$27:$AX$195,MATCH(Outputs!A60,'FY 23 OFA Shell'!$I$27:$I$195,0))</f>
        <v>3555957</v>
      </c>
      <c r="X60" s="143">
        <f>INDEX('FY 23 OFA Shell'!BK$27:BK$195,MATCH(Outputs!$A60,'FY 23 OFA Shell'!$I$27:$I$195,0))</f>
        <v>3503052.0038000001</v>
      </c>
      <c r="Y60" s="143">
        <f>INDEX('FY 23 OFA Shell'!BL$27:BL$195,MATCH(Outputs!$A60,'FY 23 OFA Shell'!$I$27:$I$195,0))</f>
        <v>3450147.0076000001</v>
      </c>
      <c r="Z60" s="143">
        <f>INDEX('FY 23 OFA Shell'!BM$27:BM$195,MATCH(Outputs!$A60,'FY 23 OFA Shell'!$I$27:$I$195,0))</f>
        <v>3397242.0114000002</v>
      </c>
      <c r="AA60" s="143">
        <f>INDEX('FY 23 OFA Shell'!BN$27:BN$195,MATCH(Outputs!$A60,'FY 23 OFA Shell'!$I$27:$I$195,0))</f>
        <v>3344337.0152000003</v>
      </c>
      <c r="AB60" s="143">
        <f>INDEX('FY 23 OFA Shell'!BO$27:BO$195,MATCH(Outputs!$A60,'FY 23 OFA Shell'!$I$27:$I$195,0))</f>
        <v>3291432.0190000003</v>
      </c>
      <c r="AC60" s="143">
        <f>INDEX('FY 23 OFA Shell'!BP$27:BP$195,MATCH(Outputs!$A60,'FY 23 OFA Shell'!$I$27:$I$195,0))</f>
        <v>3238527.0228000004</v>
      </c>
      <c r="AD60" s="143">
        <f>INDEX('FY 23 OFA Shell'!BQ$27:BQ$195,MATCH(Outputs!$A60,'FY 23 OFA Shell'!$I$27:$I$195,0))</f>
        <v>3051020</v>
      </c>
      <c r="AE60" s="129">
        <f t="shared" si="49"/>
        <v>0</v>
      </c>
      <c r="AF60" s="129">
        <f t="shared" si="50"/>
        <v>0</v>
      </c>
      <c r="AG60" s="129">
        <f t="shared" si="51"/>
        <v>0</v>
      </c>
      <c r="AH60" s="129">
        <f t="shared" si="52"/>
        <v>0</v>
      </c>
      <c r="AI60" s="129">
        <f t="shared" si="53"/>
        <v>0</v>
      </c>
      <c r="AJ60" s="129">
        <f t="shared" si="54"/>
        <v>0</v>
      </c>
      <c r="AK60" s="129">
        <f t="shared" si="55"/>
        <v>0</v>
      </c>
      <c r="AL60" s="129">
        <f t="shared" si="56"/>
        <v>0</v>
      </c>
      <c r="AM60" s="129">
        <f t="shared" si="57"/>
        <v>0</v>
      </c>
      <c r="AN60" s="127">
        <f t="shared" si="58"/>
        <v>0</v>
      </c>
      <c r="AO60" s="127">
        <f t="shared" si="59"/>
        <v>0</v>
      </c>
      <c r="AP60" s="127">
        <f t="shared" si="60"/>
        <v>0</v>
      </c>
      <c r="AQ60" s="127">
        <f t="shared" si="61"/>
        <v>0</v>
      </c>
      <c r="AR60" s="127">
        <f t="shared" si="62"/>
        <v>0</v>
      </c>
      <c r="AS60" s="127">
        <f t="shared" si="63"/>
        <v>0</v>
      </c>
      <c r="AT60" s="127">
        <f t="shared" si="64"/>
        <v>0</v>
      </c>
      <c r="AU60" s="127">
        <f t="shared" si="65"/>
        <v>0</v>
      </c>
      <c r="AV60" s="127">
        <f t="shared" si="66"/>
        <v>0</v>
      </c>
    </row>
    <row r="61" spans="1:48" x14ac:dyDescent="0.15">
      <c r="A61" s="29" t="s">
        <v>54</v>
      </c>
      <c r="B61" s="30">
        <f>IF(Data!D56=1, MAX(Data!AA56, Inputs!$E$25) + INDEX(Inputs!$D$38:$D$42, MATCH( Data!AD56, Inputs!$B$38:$B$42, 0), 0), MAX(Data!AA56, Inputs!$E$26) +  INDEX(Inputs!$D$38:$D$42, MATCH( Data!AD56, Inputs!$B$38:$B$42, 0), 0))</f>
        <v>0.278478</v>
      </c>
      <c r="C61" s="141">
        <f>(100*Data!R56)</f>
        <v>0</v>
      </c>
      <c r="D61" s="141">
        <f>ROUND(Data!Q56*C61, 0)</f>
        <v>0</v>
      </c>
      <c r="E61" s="141">
        <f>(100*Data!T56)</f>
        <v>0</v>
      </c>
      <c r="F61" s="141">
        <f>E61*Data!S56</f>
        <v>0</v>
      </c>
      <c r="G61" s="142">
        <f>ROUND(Inputs!$E$21*Data!W56*B61, 0)</f>
        <v>6371546</v>
      </c>
      <c r="H61" s="143">
        <f>IF(G61=0, 0,IF(Inputs!$E$30="Yes", IF(Data!D56=1, MAX(Outputs!D61+Outputs!F61+Outputs!G61, Data!AE56), Outputs!D61+Outputs!F61+Outputs!G61), Outputs!D61+Outputs!F61+Outputs!G61))</f>
        <v>6371546</v>
      </c>
      <c r="I61" s="143">
        <f>INDEX('FY 22 OFA Shell'!$AQ$27:$AQ$195,MATCH(Outputs!A61,'FY 22 OFA Shell'!$I$27:$I$195,0))</f>
        <v>6371546</v>
      </c>
      <c r="J61" s="129">
        <f>H61-Data!AT56</f>
        <v>-531229</v>
      </c>
      <c r="K61" s="127">
        <f>((H61)/(Data!AT56)) - 1</f>
        <v>-7.6958759339540994E-2</v>
      </c>
      <c r="L61" s="127">
        <f t="shared" si="67"/>
        <v>0</v>
      </c>
      <c r="M61" s="143">
        <f>(IF(Inputs!$E$30="Yes",INDEX(Data!AT:AT,MATCH(Outputs!A61,Data!A:A,0)),INDEX(Data!AS:AS,MATCH(Outputs!A61,Data!A:A,0))))</f>
        <v>6902775</v>
      </c>
      <c r="N61" s="143">
        <f>IF(Inputs!$E$30="Yes",INDEX(Data!BN:BN,MATCH(Outputs!$A61,Data!$A:$A,0)),INDEX(Data!BE:BE,MATCH(Outputs!$A61,Data!$A:$A,0)))</f>
        <v>6902775</v>
      </c>
      <c r="O61" s="143">
        <f>IF(Inputs!$E$30="Yes",INDEX(Data!BO:BO,MATCH(Outputs!$A61,Data!$A:$A,0)),INDEX(Data!BF:BF,MATCH(Outputs!$A61,Data!$A:$A,0)))</f>
        <v>6805526.6649000002</v>
      </c>
      <c r="P61" s="143">
        <f>IF(Inputs!$E$30="Yes",INDEX(Data!BP:BP,MATCH(Outputs!$A61,Data!$A:$A,0)),INDEX(Data!BG:BG,MATCH(Outputs!$A61,Data!$A:$A,0)))</f>
        <v>6708278.3298000004</v>
      </c>
      <c r="Q61" s="143">
        <f>IF(Inputs!$E$30="Yes",INDEX(Data!BQ:BQ,MATCH(Outputs!$A61,Data!$A:$A,0)),INDEX(Data!BH:BH,MATCH(Outputs!$A61,Data!$A:$A,0)))</f>
        <v>6611029.9947000006</v>
      </c>
      <c r="R61" s="143">
        <f>IF(Inputs!$E$30="Yes",INDEX(Data!BR:BR,MATCH(Outputs!$A61,Data!$A:$A,0)),INDEX(Data!BI:BI,MATCH(Outputs!$A61,Data!$A:$A,0)))</f>
        <v>6513781.6596000008</v>
      </c>
      <c r="S61" s="143">
        <f>IF(Inputs!$E$30="Yes",INDEX(Data!BS:BS,MATCH(Outputs!$A61,Data!$A:$A,0)),INDEX(Data!BJ:BJ,MATCH(Outputs!$A61,Data!$A:$A,0)))</f>
        <v>6416533.324500001</v>
      </c>
      <c r="T61" s="143">
        <f>IF(Inputs!$E$30="Yes",INDEX(Data!BT:BT,MATCH(Outputs!$A61,Data!$A:$A,0)),INDEX(Data!BK:BK,MATCH(Outputs!$A61,Data!$A:$A,0)))</f>
        <v>6319284.9894000012</v>
      </c>
      <c r="U61" s="143">
        <f>IF(Inputs!$E$30="Yes",INDEX(Data!BU:BU,MATCH(Outputs!$A61,Data!$A:$A,0)),INDEX(Data!BL:BL,MATCH(Outputs!$A61,Data!$A:$A,0)))</f>
        <v>6371546</v>
      </c>
      <c r="V61" s="143">
        <f>INDEX('FY 22 OFA Shell'!$AX$27:$AX$195,MATCH(Outputs!A61,'FY 22 OFA Shell'!$I$27:$I$195,0))</f>
        <v>6902775</v>
      </c>
      <c r="W61" s="143">
        <f>INDEX('FY 23 OFA Shell'!$AX$27:$AX$195,MATCH(Outputs!A61,'FY 23 OFA Shell'!$I$27:$I$195,0))</f>
        <v>6902775</v>
      </c>
      <c r="X61" s="143">
        <f>INDEX('FY 23 OFA Shell'!BK$27:BK$195,MATCH(Outputs!$A61,'FY 23 OFA Shell'!$I$27:$I$195,0))</f>
        <v>6805526.6649000002</v>
      </c>
      <c r="Y61" s="143">
        <f>INDEX('FY 23 OFA Shell'!BL$27:BL$195,MATCH(Outputs!$A61,'FY 23 OFA Shell'!$I$27:$I$195,0))</f>
        <v>6708278.3298000004</v>
      </c>
      <c r="Z61" s="143">
        <f>INDEX('FY 23 OFA Shell'!BM$27:BM$195,MATCH(Outputs!$A61,'FY 23 OFA Shell'!$I$27:$I$195,0))</f>
        <v>6611029.9947000006</v>
      </c>
      <c r="AA61" s="143">
        <f>INDEX('FY 23 OFA Shell'!BN$27:BN$195,MATCH(Outputs!$A61,'FY 23 OFA Shell'!$I$27:$I$195,0))</f>
        <v>6513781.6596000008</v>
      </c>
      <c r="AB61" s="143">
        <f>INDEX('FY 23 OFA Shell'!BO$27:BO$195,MATCH(Outputs!$A61,'FY 23 OFA Shell'!$I$27:$I$195,0))</f>
        <v>6416533.324500001</v>
      </c>
      <c r="AC61" s="143">
        <f>INDEX('FY 23 OFA Shell'!BP$27:BP$195,MATCH(Outputs!$A61,'FY 23 OFA Shell'!$I$27:$I$195,0))</f>
        <v>6319284.9894000012</v>
      </c>
      <c r="AD61" s="143">
        <f>INDEX('FY 23 OFA Shell'!BQ$27:BQ$195,MATCH(Outputs!$A61,'FY 23 OFA Shell'!$I$27:$I$195,0))</f>
        <v>6371546</v>
      </c>
      <c r="AE61" s="129">
        <f t="shared" si="49"/>
        <v>0</v>
      </c>
      <c r="AF61" s="129">
        <f t="shared" si="50"/>
        <v>0</v>
      </c>
      <c r="AG61" s="129">
        <f t="shared" si="51"/>
        <v>0</v>
      </c>
      <c r="AH61" s="129">
        <f t="shared" si="52"/>
        <v>0</v>
      </c>
      <c r="AI61" s="129">
        <f t="shared" si="53"/>
        <v>0</v>
      </c>
      <c r="AJ61" s="129">
        <f t="shared" si="54"/>
        <v>0</v>
      </c>
      <c r="AK61" s="129">
        <f t="shared" si="55"/>
        <v>0</v>
      </c>
      <c r="AL61" s="129">
        <f t="shared" si="56"/>
        <v>0</v>
      </c>
      <c r="AM61" s="129">
        <f t="shared" si="57"/>
        <v>0</v>
      </c>
      <c r="AN61" s="127">
        <f t="shared" si="58"/>
        <v>0</v>
      </c>
      <c r="AO61" s="127">
        <f t="shared" si="59"/>
        <v>0</v>
      </c>
      <c r="AP61" s="127">
        <f t="shared" si="60"/>
        <v>0</v>
      </c>
      <c r="AQ61" s="127">
        <f t="shared" si="61"/>
        <v>0</v>
      </c>
      <c r="AR61" s="127">
        <f t="shared" si="62"/>
        <v>0</v>
      </c>
      <c r="AS61" s="127">
        <f t="shared" si="63"/>
        <v>0</v>
      </c>
      <c r="AT61" s="127">
        <f t="shared" si="64"/>
        <v>0</v>
      </c>
      <c r="AU61" s="127">
        <f t="shared" si="65"/>
        <v>0</v>
      </c>
      <c r="AV61" s="127">
        <f t="shared" si="66"/>
        <v>0</v>
      </c>
    </row>
    <row r="62" spans="1:48" x14ac:dyDescent="0.15">
      <c r="A62" s="29" t="s">
        <v>55</v>
      </c>
      <c r="B62" s="30">
        <f>IF(Data!D57=1, MAX(Data!AA57, Inputs!$E$25) + INDEX(Inputs!$D$38:$D$42, MATCH( Data!AD57, Inputs!$B$38:$B$42, 0), 0), MAX(Data!AA57, Inputs!$E$26) +  INDEX(Inputs!$D$38:$D$42, MATCH( Data!AD57, Inputs!$B$38:$B$42, 0), 0))</f>
        <v>0.61225300000000005</v>
      </c>
      <c r="C62" s="141">
        <f>(100*Data!R57)</f>
        <v>0</v>
      </c>
      <c r="D62" s="141">
        <f>ROUND(Data!Q57*C62, 0)</f>
        <v>0</v>
      </c>
      <c r="E62" s="141">
        <f>(100*Data!T57)</f>
        <v>0</v>
      </c>
      <c r="F62" s="141">
        <f>E62*Data!S57</f>
        <v>0</v>
      </c>
      <c r="G62" s="142">
        <f>ROUND(Inputs!$E$21*Data!W57*B62, 0)</f>
        <v>69473812</v>
      </c>
      <c r="H62" s="143">
        <f>IF(G62=0, 0,IF(Inputs!$E$30="Yes", IF(Data!D57=1, MAX(Outputs!D62+Outputs!F62+Outputs!G62, Data!AE57), Outputs!D62+Outputs!F62+Outputs!G62), Outputs!D62+Outputs!F62+Outputs!G62))</f>
        <v>69473812</v>
      </c>
      <c r="I62" s="143">
        <f>INDEX('FY 22 OFA Shell'!$AQ$27:$AQ$195,MATCH(Outputs!A62,'FY 22 OFA Shell'!$I$27:$I$195,0))</f>
        <v>69473812</v>
      </c>
      <c r="J62" s="129">
        <f>H62-Data!AT57</f>
        <v>12912303.270400003</v>
      </c>
      <c r="K62" s="127">
        <f>((H62)/(Data!AT57)) - 1</f>
        <v>0.22828781552007449</v>
      </c>
      <c r="L62" s="127">
        <f t="shared" si="67"/>
        <v>0</v>
      </c>
      <c r="M62" s="143">
        <f>(IF(Inputs!$E$30="Yes",INDEX(Data!AT:AT,MATCH(Outputs!A62,Data!A:A,0)),INDEX(Data!AS:AS,MATCH(Outputs!A62,Data!A:A,0))))</f>
        <v>56561508.729599997</v>
      </c>
      <c r="N62" s="143">
        <f>IF(Inputs!$E$30="Yes",INDEX(Data!BN:BN,MATCH(Outputs!$A62,Data!$A:$A,0)),INDEX(Data!BE:BE,MATCH(Outputs!$A62,Data!$A:$A,0)))</f>
        <v>58736005.459199995</v>
      </c>
      <c r="O62" s="143">
        <f>IF(Inputs!$E$30="Yes",INDEX(Data!BO:BO,MATCH(Outputs!$A62,Data!$A:$A,0)),INDEX(Data!BF:BF,MATCH(Outputs!$A62,Data!$A:$A,0)))</f>
        <v>60910502.188799992</v>
      </c>
      <c r="P62" s="143">
        <f>IF(Inputs!$E$30="Yes",INDEX(Data!BP:BP,MATCH(Outputs!$A62,Data!$A:$A,0)),INDEX(Data!BG:BG,MATCH(Outputs!$A62,Data!$A:$A,0)))</f>
        <v>63084998.91839999</v>
      </c>
      <c r="Q62" s="143">
        <f>IF(Inputs!$E$30="Yes",INDEX(Data!BQ:BQ,MATCH(Outputs!$A62,Data!$A:$A,0)),INDEX(Data!BH:BH,MATCH(Outputs!$A62,Data!$A:$A,0)))</f>
        <v>65259495.647999987</v>
      </c>
      <c r="R62" s="143">
        <f>IF(Inputs!$E$30="Yes",INDEX(Data!BR:BR,MATCH(Outputs!$A62,Data!$A:$A,0)),INDEX(Data!BI:BI,MATCH(Outputs!$A62,Data!$A:$A,0)))</f>
        <v>67433992.377599984</v>
      </c>
      <c r="S62" s="143">
        <f>IF(Inputs!$E$30="Yes",INDEX(Data!BS:BS,MATCH(Outputs!$A62,Data!$A:$A,0)),INDEX(Data!BJ:BJ,MATCH(Outputs!$A62,Data!$A:$A,0)))</f>
        <v>69473812</v>
      </c>
      <c r="T62" s="143">
        <f>IF(Inputs!$E$30="Yes",INDEX(Data!BT:BT,MATCH(Outputs!$A62,Data!$A:$A,0)),INDEX(Data!BK:BK,MATCH(Outputs!$A62,Data!$A:$A,0)))</f>
        <v>69473812</v>
      </c>
      <c r="U62" s="143">
        <f>IF(Inputs!$E$30="Yes",INDEX(Data!BU:BU,MATCH(Outputs!$A62,Data!$A:$A,0)),INDEX(Data!BL:BL,MATCH(Outputs!$A62,Data!$A:$A,0)))</f>
        <v>69473812</v>
      </c>
      <c r="V62" s="143">
        <f>INDEX('FY 22 OFA Shell'!$AX$27:$AX$195,MATCH(Outputs!A62,'FY 22 OFA Shell'!$I$27:$I$195,0))</f>
        <v>56561508.729599997</v>
      </c>
      <c r="W62" s="143">
        <f>INDEX('FY 23 OFA Shell'!$AX$27:$AX$195,MATCH(Outputs!A62,'FY 23 OFA Shell'!$I$27:$I$195,0))</f>
        <v>58736005.459199995</v>
      </c>
      <c r="X62" s="143">
        <f>INDEX('FY 23 OFA Shell'!BK$27:BK$195,MATCH(Outputs!$A62,'FY 23 OFA Shell'!$I$27:$I$195,0))</f>
        <v>60910502.188799992</v>
      </c>
      <c r="Y62" s="143">
        <f>INDEX('FY 23 OFA Shell'!BL$27:BL$195,MATCH(Outputs!$A62,'FY 23 OFA Shell'!$I$27:$I$195,0))</f>
        <v>63084998.91839999</v>
      </c>
      <c r="Z62" s="143">
        <f>INDEX('FY 23 OFA Shell'!BM$27:BM$195,MATCH(Outputs!$A62,'FY 23 OFA Shell'!$I$27:$I$195,0))</f>
        <v>65259495.647999987</v>
      </c>
      <c r="AA62" s="143">
        <f>INDEX('FY 23 OFA Shell'!BN$27:BN$195,MATCH(Outputs!$A62,'FY 23 OFA Shell'!$I$27:$I$195,0))</f>
        <v>67433992.377599984</v>
      </c>
      <c r="AB62" s="143">
        <f>INDEX('FY 23 OFA Shell'!BO$27:BO$195,MATCH(Outputs!$A62,'FY 23 OFA Shell'!$I$27:$I$195,0))</f>
        <v>69473812</v>
      </c>
      <c r="AC62" s="143">
        <f>INDEX('FY 23 OFA Shell'!BP$27:BP$195,MATCH(Outputs!$A62,'FY 23 OFA Shell'!$I$27:$I$195,0))</f>
        <v>69473812</v>
      </c>
      <c r="AD62" s="143">
        <f>INDEX('FY 23 OFA Shell'!BQ$27:BQ$195,MATCH(Outputs!$A62,'FY 23 OFA Shell'!$I$27:$I$195,0))</f>
        <v>69473812</v>
      </c>
      <c r="AE62" s="129">
        <f t="shared" si="49"/>
        <v>0</v>
      </c>
      <c r="AF62" s="129">
        <f t="shared" si="50"/>
        <v>0</v>
      </c>
      <c r="AG62" s="129">
        <f t="shared" si="51"/>
        <v>0</v>
      </c>
      <c r="AH62" s="129">
        <f t="shared" si="52"/>
        <v>0</v>
      </c>
      <c r="AI62" s="129">
        <f t="shared" si="53"/>
        <v>0</v>
      </c>
      <c r="AJ62" s="129">
        <f t="shared" si="54"/>
        <v>0</v>
      </c>
      <c r="AK62" s="129">
        <f t="shared" si="55"/>
        <v>0</v>
      </c>
      <c r="AL62" s="129">
        <f t="shared" si="56"/>
        <v>0</v>
      </c>
      <c r="AM62" s="129">
        <f t="shared" si="57"/>
        <v>0</v>
      </c>
      <c r="AN62" s="127">
        <f t="shared" si="58"/>
        <v>0</v>
      </c>
      <c r="AO62" s="127">
        <f t="shared" si="59"/>
        <v>0</v>
      </c>
      <c r="AP62" s="127">
        <f t="shared" si="60"/>
        <v>0</v>
      </c>
      <c r="AQ62" s="127">
        <f t="shared" si="61"/>
        <v>0</v>
      </c>
      <c r="AR62" s="127">
        <f t="shared" si="62"/>
        <v>0</v>
      </c>
      <c r="AS62" s="127">
        <f t="shared" si="63"/>
        <v>0</v>
      </c>
      <c r="AT62" s="127">
        <f t="shared" si="64"/>
        <v>0</v>
      </c>
      <c r="AU62" s="127">
        <f t="shared" si="65"/>
        <v>0</v>
      </c>
      <c r="AV62" s="127">
        <f t="shared" si="66"/>
        <v>0</v>
      </c>
    </row>
    <row r="63" spans="1:48" x14ac:dyDescent="0.15">
      <c r="A63" s="29" t="s">
        <v>56</v>
      </c>
      <c r="B63" s="30">
        <f>IF(Data!D58=1, MAX(Data!AA58, Inputs!$E$25) + INDEX(Inputs!$D$38:$D$42, MATCH( Data!AD58, Inputs!$B$38:$B$42, 0), 0), MAX(Data!AA58, Inputs!$E$26) +  INDEX(Inputs!$D$38:$D$42, MATCH( Data!AD58, Inputs!$B$38:$B$42, 0), 0))</f>
        <v>0.47099999999999997</v>
      </c>
      <c r="C63" s="141">
        <f>(100*Data!R58)</f>
        <v>0</v>
      </c>
      <c r="D63" s="141">
        <f>ROUND(Data!Q58*C63, 0)</f>
        <v>0</v>
      </c>
      <c r="E63" s="141">
        <f>(100*Data!T58)</f>
        <v>0</v>
      </c>
      <c r="F63" s="141">
        <f>E63*Data!S58</f>
        <v>0</v>
      </c>
      <c r="G63" s="142">
        <f>ROUND(Inputs!$E$21*Data!W58*B63, 0)</f>
        <v>20006287</v>
      </c>
      <c r="H63" s="143">
        <f>IF(G63=0, 0,IF(Inputs!$E$30="Yes", IF(Data!D58=1, MAX(Outputs!D63+Outputs!F63+Outputs!G63, Data!AE58), Outputs!D63+Outputs!F63+Outputs!G63), Outputs!D63+Outputs!F63+Outputs!G63))</f>
        <v>20006287</v>
      </c>
      <c r="I63" s="143">
        <f>INDEX('FY 22 OFA Shell'!$AQ$27:$AQ$195,MATCH(Outputs!A63,'FY 22 OFA Shell'!$I$27:$I$195,0))</f>
        <v>20006287</v>
      </c>
      <c r="J63" s="129">
        <f>H63-Data!AT58</f>
        <v>137085.0447999984</v>
      </c>
      <c r="K63" s="127">
        <f>((H63)/(Data!AT58)) - 1</f>
        <v>6.8993734679978491E-3</v>
      </c>
      <c r="L63" s="127">
        <f t="shared" si="67"/>
        <v>0</v>
      </c>
      <c r="M63" s="143">
        <f>(IF(Inputs!$E$30="Yes",INDEX(Data!AT:AT,MATCH(Outputs!A63,Data!A:A,0)),INDEX(Data!AS:AS,MATCH(Outputs!A63,Data!A:A,0))))</f>
        <v>19869201.955200002</v>
      </c>
      <c r="N63" s="143">
        <f>IF(Inputs!$E$30="Yes",INDEX(Data!BN:BN,MATCH(Outputs!$A63,Data!$A:$A,0)),INDEX(Data!BE:BE,MATCH(Outputs!$A63,Data!$A:$A,0)))</f>
        <v>19913000.910400003</v>
      </c>
      <c r="O63" s="143">
        <f>IF(Inputs!$E$30="Yes",INDEX(Data!BO:BO,MATCH(Outputs!$A63,Data!$A:$A,0)),INDEX(Data!BF:BF,MATCH(Outputs!$A63,Data!$A:$A,0)))</f>
        <v>19956799.865600005</v>
      </c>
      <c r="P63" s="143">
        <f>IF(Inputs!$E$30="Yes",INDEX(Data!BP:BP,MATCH(Outputs!$A63,Data!$A:$A,0)),INDEX(Data!BG:BG,MATCH(Outputs!$A63,Data!$A:$A,0)))</f>
        <v>20000598.820800006</v>
      </c>
      <c r="Q63" s="143">
        <f>IF(Inputs!$E$30="Yes",INDEX(Data!BQ:BQ,MATCH(Outputs!$A63,Data!$A:$A,0)),INDEX(Data!BH:BH,MATCH(Outputs!$A63,Data!$A:$A,0)))</f>
        <v>20044397.776000008</v>
      </c>
      <c r="R63" s="143">
        <f>IF(Inputs!$E$30="Yes",INDEX(Data!BR:BR,MATCH(Outputs!$A63,Data!$A:$A,0)),INDEX(Data!BI:BI,MATCH(Outputs!$A63,Data!$A:$A,0)))</f>
        <v>20088196.73120001</v>
      </c>
      <c r="S63" s="143">
        <f>IF(Inputs!$E$30="Yes",INDEX(Data!BS:BS,MATCH(Outputs!$A63,Data!$A:$A,0)),INDEX(Data!BJ:BJ,MATCH(Outputs!$A63,Data!$A:$A,0)))</f>
        <v>20006287</v>
      </c>
      <c r="T63" s="143">
        <f>IF(Inputs!$E$30="Yes",INDEX(Data!BT:BT,MATCH(Outputs!$A63,Data!$A:$A,0)),INDEX(Data!BK:BK,MATCH(Outputs!$A63,Data!$A:$A,0)))</f>
        <v>20006287</v>
      </c>
      <c r="U63" s="143">
        <f>IF(Inputs!$E$30="Yes",INDEX(Data!BU:BU,MATCH(Outputs!$A63,Data!$A:$A,0)),INDEX(Data!BL:BL,MATCH(Outputs!$A63,Data!$A:$A,0)))</f>
        <v>20006287</v>
      </c>
      <c r="V63" s="143">
        <f>INDEX('FY 22 OFA Shell'!$AX$27:$AX$195,MATCH(Outputs!A63,'FY 22 OFA Shell'!$I$27:$I$195,0))</f>
        <v>19869201.955200002</v>
      </c>
      <c r="W63" s="143">
        <f>INDEX('FY 23 OFA Shell'!$AX$27:$AX$195,MATCH(Outputs!A63,'FY 23 OFA Shell'!$I$27:$I$195,0))</f>
        <v>19913000.910400003</v>
      </c>
      <c r="X63" s="143">
        <f>INDEX('FY 23 OFA Shell'!BK$27:BK$195,MATCH(Outputs!$A63,'FY 23 OFA Shell'!$I$27:$I$195,0))</f>
        <v>19956799.865600005</v>
      </c>
      <c r="Y63" s="143">
        <f>INDEX('FY 23 OFA Shell'!BL$27:BL$195,MATCH(Outputs!$A63,'FY 23 OFA Shell'!$I$27:$I$195,0))</f>
        <v>20000598.820800006</v>
      </c>
      <c r="Z63" s="143">
        <f>INDEX('FY 23 OFA Shell'!BM$27:BM$195,MATCH(Outputs!$A63,'FY 23 OFA Shell'!$I$27:$I$195,0))</f>
        <v>20044397.776000008</v>
      </c>
      <c r="AA63" s="143">
        <f>INDEX('FY 23 OFA Shell'!BN$27:BN$195,MATCH(Outputs!$A63,'FY 23 OFA Shell'!$I$27:$I$195,0))</f>
        <v>20088196.73120001</v>
      </c>
      <c r="AB63" s="143">
        <f>INDEX('FY 23 OFA Shell'!BO$27:BO$195,MATCH(Outputs!$A63,'FY 23 OFA Shell'!$I$27:$I$195,0))</f>
        <v>20006287</v>
      </c>
      <c r="AC63" s="143">
        <f>INDEX('FY 23 OFA Shell'!BP$27:BP$195,MATCH(Outputs!$A63,'FY 23 OFA Shell'!$I$27:$I$195,0))</f>
        <v>20006287</v>
      </c>
      <c r="AD63" s="143">
        <f>INDEX('FY 23 OFA Shell'!BQ$27:BQ$195,MATCH(Outputs!$A63,'FY 23 OFA Shell'!$I$27:$I$195,0))</f>
        <v>20006287</v>
      </c>
      <c r="AE63" s="129">
        <f t="shared" si="49"/>
        <v>0</v>
      </c>
      <c r="AF63" s="129">
        <f t="shared" si="50"/>
        <v>0</v>
      </c>
      <c r="AG63" s="129">
        <f t="shared" si="51"/>
        <v>0</v>
      </c>
      <c r="AH63" s="129">
        <f t="shared" si="52"/>
        <v>0</v>
      </c>
      <c r="AI63" s="129">
        <f t="shared" si="53"/>
        <v>0</v>
      </c>
      <c r="AJ63" s="129">
        <f t="shared" si="54"/>
        <v>0</v>
      </c>
      <c r="AK63" s="129">
        <f t="shared" si="55"/>
        <v>0</v>
      </c>
      <c r="AL63" s="129">
        <f t="shared" si="56"/>
        <v>0</v>
      </c>
      <c r="AM63" s="129">
        <f t="shared" si="57"/>
        <v>0</v>
      </c>
      <c r="AN63" s="127">
        <f t="shared" si="58"/>
        <v>0</v>
      </c>
      <c r="AO63" s="127">
        <f t="shared" si="59"/>
        <v>0</v>
      </c>
      <c r="AP63" s="127">
        <f t="shared" si="60"/>
        <v>0</v>
      </c>
      <c r="AQ63" s="127">
        <f t="shared" si="61"/>
        <v>0</v>
      </c>
      <c r="AR63" s="127">
        <f t="shared" si="62"/>
        <v>0</v>
      </c>
      <c r="AS63" s="127">
        <f t="shared" si="63"/>
        <v>0</v>
      </c>
      <c r="AT63" s="127">
        <f t="shared" si="64"/>
        <v>0</v>
      </c>
      <c r="AU63" s="127">
        <f t="shared" si="65"/>
        <v>0</v>
      </c>
      <c r="AV63" s="127">
        <f t="shared" si="66"/>
        <v>0</v>
      </c>
    </row>
    <row r="64" spans="1:48" x14ac:dyDescent="0.15">
      <c r="A64" s="29" t="s">
        <v>57</v>
      </c>
      <c r="B64" s="30">
        <f>IF(Data!D59=1, MAX(Data!AA59, Inputs!$E$25) + INDEX(Inputs!$D$38:$D$42, MATCH( Data!AD59, Inputs!$B$38:$B$42, 0), 0), MAX(Data!AA59, Inputs!$E$26) +  INDEX(Inputs!$D$38:$D$42, MATCH( Data!AD59, Inputs!$B$38:$B$42, 0), 0))</f>
        <v>0.140601</v>
      </c>
      <c r="C64" s="141">
        <f>(100*Data!R59)</f>
        <v>0</v>
      </c>
      <c r="D64" s="141">
        <f>ROUND(Data!Q59*C64, 0)</f>
        <v>0</v>
      </c>
      <c r="E64" s="141">
        <f>(100*Data!T59)</f>
        <v>0</v>
      </c>
      <c r="F64" s="141">
        <f>E64*Data!S59</f>
        <v>0</v>
      </c>
      <c r="G64" s="142">
        <f>ROUND(Inputs!$E$21*Data!W59*B64, 0)</f>
        <v>4293596</v>
      </c>
      <c r="H64" s="143">
        <f>IF(G64=0, 0,IF(Inputs!$E$30="Yes", IF(Data!D59=1, MAX(Outputs!D64+Outputs!F64+Outputs!G64, Data!AE59), Outputs!D64+Outputs!F64+Outputs!G64), Outputs!D64+Outputs!F64+Outputs!G64))</f>
        <v>4293596</v>
      </c>
      <c r="I64" s="143">
        <f>INDEX('FY 22 OFA Shell'!$AQ$27:$AQ$195,MATCH(Outputs!A64,'FY 22 OFA Shell'!$I$27:$I$195,0))</f>
        <v>4293596</v>
      </c>
      <c r="J64" s="129">
        <f>H64-Data!AT59</f>
        <v>-1782911</v>
      </c>
      <c r="K64" s="127">
        <f>((H64)/(Data!AT59)) - 1</f>
        <v>-0.29341050705610972</v>
      </c>
      <c r="L64" s="127">
        <f t="shared" si="67"/>
        <v>0</v>
      </c>
      <c r="M64" s="143">
        <f>(IF(Inputs!$E$30="Yes",INDEX(Data!AT:AT,MATCH(Outputs!A64,Data!A:A,0)),INDEX(Data!AS:AS,MATCH(Outputs!A64,Data!A:A,0))))</f>
        <v>6076507</v>
      </c>
      <c r="N64" s="143">
        <f>IF(Inputs!$E$30="Yes",INDEX(Data!BN:BN,MATCH(Outputs!$A64,Data!$A:$A,0)),INDEX(Data!BE:BE,MATCH(Outputs!$A64,Data!$A:$A,0)))</f>
        <v>6076507</v>
      </c>
      <c r="O64" s="143">
        <f>IF(Inputs!$E$30="Yes",INDEX(Data!BO:BO,MATCH(Outputs!$A64,Data!$A:$A,0)),INDEX(Data!BF:BF,MATCH(Outputs!$A64,Data!$A:$A,0)))</f>
        <v>5857855.6622000001</v>
      </c>
      <c r="P64" s="143">
        <f>IF(Inputs!$E$30="Yes",INDEX(Data!BP:BP,MATCH(Outputs!$A64,Data!$A:$A,0)),INDEX(Data!BG:BG,MATCH(Outputs!$A64,Data!$A:$A,0)))</f>
        <v>5639204.3244000003</v>
      </c>
      <c r="Q64" s="143">
        <f>IF(Inputs!$E$30="Yes",INDEX(Data!BQ:BQ,MATCH(Outputs!$A64,Data!$A:$A,0)),INDEX(Data!BH:BH,MATCH(Outputs!$A64,Data!$A:$A,0)))</f>
        <v>5420552.9866000004</v>
      </c>
      <c r="R64" s="143">
        <f>IF(Inputs!$E$30="Yes",INDEX(Data!BR:BR,MATCH(Outputs!$A64,Data!$A:$A,0)),INDEX(Data!BI:BI,MATCH(Outputs!$A64,Data!$A:$A,0)))</f>
        <v>5201901.6488000005</v>
      </c>
      <c r="S64" s="143">
        <f>IF(Inputs!$E$30="Yes",INDEX(Data!BS:BS,MATCH(Outputs!$A64,Data!$A:$A,0)),INDEX(Data!BJ:BJ,MATCH(Outputs!$A64,Data!$A:$A,0)))</f>
        <v>4983250.3110000007</v>
      </c>
      <c r="T64" s="143">
        <f>IF(Inputs!$E$30="Yes",INDEX(Data!BT:BT,MATCH(Outputs!$A64,Data!$A:$A,0)),INDEX(Data!BK:BK,MATCH(Outputs!$A64,Data!$A:$A,0)))</f>
        <v>4764598.9732000008</v>
      </c>
      <c r="U64" s="143">
        <f>IF(Inputs!$E$30="Yes",INDEX(Data!BU:BU,MATCH(Outputs!$A64,Data!$A:$A,0)),INDEX(Data!BL:BL,MATCH(Outputs!$A64,Data!$A:$A,0)))</f>
        <v>4293596</v>
      </c>
      <c r="V64" s="143">
        <f>INDEX('FY 22 OFA Shell'!$AX$27:$AX$195,MATCH(Outputs!A64,'FY 22 OFA Shell'!$I$27:$I$195,0))</f>
        <v>6076507</v>
      </c>
      <c r="W64" s="143">
        <f>INDEX('FY 23 OFA Shell'!$AX$27:$AX$195,MATCH(Outputs!A64,'FY 23 OFA Shell'!$I$27:$I$195,0))</f>
        <v>6076507</v>
      </c>
      <c r="X64" s="143">
        <f>INDEX('FY 23 OFA Shell'!BK$27:BK$195,MATCH(Outputs!$A64,'FY 23 OFA Shell'!$I$27:$I$195,0))</f>
        <v>5857855.6622000001</v>
      </c>
      <c r="Y64" s="143">
        <f>INDEX('FY 23 OFA Shell'!BL$27:BL$195,MATCH(Outputs!$A64,'FY 23 OFA Shell'!$I$27:$I$195,0))</f>
        <v>5639204.3244000003</v>
      </c>
      <c r="Z64" s="143">
        <f>INDEX('FY 23 OFA Shell'!BM$27:BM$195,MATCH(Outputs!$A64,'FY 23 OFA Shell'!$I$27:$I$195,0))</f>
        <v>5420552.9866000004</v>
      </c>
      <c r="AA64" s="143">
        <f>INDEX('FY 23 OFA Shell'!BN$27:BN$195,MATCH(Outputs!$A64,'FY 23 OFA Shell'!$I$27:$I$195,0))</f>
        <v>5201901.6488000005</v>
      </c>
      <c r="AB64" s="143">
        <f>INDEX('FY 23 OFA Shell'!BO$27:BO$195,MATCH(Outputs!$A64,'FY 23 OFA Shell'!$I$27:$I$195,0))</f>
        <v>4983250.3110000007</v>
      </c>
      <c r="AC64" s="143">
        <f>INDEX('FY 23 OFA Shell'!BP$27:BP$195,MATCH(Outputs!$A64,'FY 23 OFA Shell'!$I$27:$I$195,0))</f>
        <v>4764598.9732000008</v>
      </c>
      <c r="AD64" s="143">
        <f>INDEX('FY 23 OFA Shell'!BQ$27:BQ$195,MATCH(Outputs!$A64,'FY 23 OFA Shell'!$I$27:$I$195,0))</f>
        <v>4293596</v>
      </c>
      <c r="AE64" s="129">
        <f t="shared" si="49"/>
        <v>0</v>
      </c>
      <c r="AF64" s="129">
        <f t="shared" si="50"/>
        <v>0</v>
      </c>
      <c r="AG64" s="129">
        <f t="shared" si="51"/>
        <v>0</v>
      </c>
      <c r="AH64" s="129">
        <f t="shared" si="52"/>
        <v>0</v>
      </c>
      <c r="AI64" s="129">
        <f t="shared" si="53"/>
        <v>0</v>
      </c>
      <c r="AJ64" s="129">
        <f t="shared" si="54"/>
        <v>0</v>
      </c>
      <c r="AK64" s="129">
        <f t="shared" si="55"/>
        <v>0</v>
      </c>
      <c r="AL64" s="129">
        <f t="shared" si="56"/>
        <v>0</v>
      </c>
      <c r="AM64" s="129">
        <f t="shared" si="57"/>
        <v>0</v>
      </c>
      <c r="AN64" s="127">
        <f t="shared" si="58"/>
        <v>0</v>
      </c>
      <c r="AO64" s="127">
        <f t="shared" si="59"/>
        <v>0</v>
      </c>
      <c r="AP64" s="127">
        <f t="shared" si="60"/>
        <v>0</v>
      </c>
      <c r="AQ64" s="127">
        <f t="shared" si="61"/>
        <v>0</v>
      </c>
      <c r="AR64" s="127">
        <f t="shared" si="62"/>
        <v>0</v>
      </c>
      <c r="AS64" s="127">
        <f t="shared" si="63"/>
        <v>0</v>
      </c>
      <c r="AT64" s="127">
        <f t="shared" si="64"/>
        <v>0</v>
      </c>
      <c r="AU64" s="127">
        <f t="shared" si="65"/>
        <v>0</v>
      </c>
      <c r="AV64" s="127">
        <f t="shared" si="66"/>
        <v>0</v>
      </c>
    </row>
    <row r="65" spans="1:48" x14ac:dyDescent="0.15">
      <c r="A65" s="29" t="s">
        <v>58</v>
      </c>
      <c r="B65" s="30">
        <f>IF(Data!D60=1, MAX(Data!AA60, Inputs!$E$25) + INDEX(Inputs!$D$38:$D$42, MATCH( Data!AD60, Inputs!$B$38:$B$42, 0), 0), MAX(Data!AA60, Inputs!$E$26) +  INDEX(Inputs!$D$38:$D$42, MATCH( Data!AD60, Inputs!$B$38:$B$42, 0), 0))</f>
        <v>0.01</v>
      </c>
      <c r="C65" s="141">
        <f>(100*Data!R60)</f>
        <v>400</v>
      </c>
      <c r="D65" s="141">
        <f>ROUND(Data!Q60*C65, 0)</f>
        <v>165600</v>
      </c>
      <c r="E65" s="141">
        <f>(100*Data!T60)</f>
        <v>0</v>
      </c>
      <c r="F65" s="141">
        <f>E65*Data!S60</f>
        <v>0</v>
      </c>
      <c r="G65" s="142">
        <f>ROUND(Inputs!$E$21*Data!W60*B65, 0)</f>
        <v>148942</v>
      </c>
      <c r="H65" s="143">
        <f>IF(G65=0, 0,IF(Inputs!$E$30="Yes", IF(Data!D60=1, MAX(Outputs!D65+Outputs!F65+Outputs!G65, Data!AE60), Outputs!D65+Outputs!F65+Outputs!G65), Outputs!D65+Outputs!F65+Outputs!G65))</f>
        <v>314542</v>
      </c>
      <c r="I65" s="143">
        <f>INDEX('FY 22 OFA Shell'!$AQ$27:$AQ$195,MATCH(Outputs!A65,'FY 22 OFA Shell'!$I$27:$I$195,0))</f>
        <v>314542</v>
      </c>
      <c r="J65" s="129">
        <f>H65-Data!AT60</f>
        <v>127896.709</v>
      </c>
      <c r="K65" s="127">
        <f>((H65)/(Data!AT60)) - 1</f>
        <v>0.68523940954931462</v>
      </c>
      <c r="L65" s="127">
        <f t="shared" si="67"/>
        <v>0</v>
      </c>
      <c r="M65" s="143">
        <f>(IF(Inputs!$E$30="Yes",INDEX(Data!AT:AT,MATCH(Outputs!A65,Data!A:A,0)),INDEX(Data!AS:AS,MATCH(Outputs!A65,Data!A:A,0))))</f>
        <v>186645.291</v>
      </c>
      <c r="N65" s="143">
        <f>IF(Inputs!$E$30="Yes",INDEX(Data!BN:BN,MATCH(Outputs!$A65,Data!$A:$A,0)),INDEX(Data!BE:BE,MATCH(Outputs!$A65,Data!$A:$A,0)))</f>
        <v>201210.58199999999</v>
      </c>
      <c r="O65" s="143">
        <f>IF(Inputs!$E$30="Yes",INDEX(Data!BO:BO,MATCH(Outputs!$A65,Data!$A:$A,0)),INDEX(Data!BF:BF,MATCH(Outputs!$A65,Data!$A:$A,0)))</f>
        <v>215775.87299999999</v>
      </c>
      <c r="P65" s="143">
        <f>IF(Inputs!$E$30="Yes",INDEX(Data!BP:BP,MATCH(Outputs!$A65,Data!$A:$A,0)),INDEX(Data!BG:BG,MATCH(Outputs!$A65,Data!$A:$A,0)))</f>
        <v>230341.16399999999</v>
      </c>
      <c r="Q65" s="143">
        <f>IF(Inputs!$E$30="Yes",INDEX(Data!BQ:BQ,MATCH(Outputs!$A65,Data!$A:$A,0)),INDEX(Data!BH:BH,MATCH(Outputs!$A65,Data!$A:$A,0)))</f>
        <v>244906.45499999999</v>
      </c>
      <c r="R65" s="143">
        <f>IF(Inputs!$E$30="Yes",INDEX(Data!BR:BR,MATCH(Outputs!$A65,Data!$A:$A,0)),INDEX(Data!BI:BI,MATCH(Outputs!$A65,Data!$A:$A,0)))</f>
        <v>259471.74599999998</v>
      </c>
      <c r="S65" s="143">
        <f>IF(Inputs!$E$30="Yes",INDEX(Data!BS:BS,MATCH(Outputs!$A65,Data!$A:$A,0)),INDEX(Data!BJ:BJ,MATCH(Outputs!$A65,Data!$A:$A,0)))</f>
        <v>314542</v>
      </c>
      <c r="T65" s="143">
        <f>IF(Inputs!$E$30="Yes",INDEX(Data!BT:BT,MATCH(Outputs!$A65,Data!$A:$A,0)),INDEX(Data!BK:BK,MATCH(Outputs!$A65,Data!$A:$A,0)))</f>
        <v>314542</v>
      </c>
      <c r="U65" s="143">
        <f>IF(Inputs!$E$30="Yes",INDEX(Data!BU:BU,MATCH(Outputs!$A65,Data!$A:$A,0)),INDEX(Data!BL:BL,MATCH(Outputs!$A65,Data!$A:$A,0)))</f>
        <v>314542</v>
      </c>
      <c r="V65" s="143">
        <f>INDEX('FY 22 OFA Shell'!$AX$27:$AX$195,MATCH(Outputs!A65,'FY 22 OFA Shell'!$I$27:$I$195,0))</f>
        <v>186645.291</v>
      </c>
      <c r="W65" s="143">
        <f>INDEX('FY 23 OFA Shell'!$AX$27:$AX$195,MATCH(Outputs!A65,'FY 23 OFA Shell'!$I$27:$I$195,0))</f>
        <v>201210.58199999999</v>
      </c>
      <c r="X65" s="143">
        <f>INDEX('FY 23 OFA Shell'!BK$27:BK$195,MATCH(Outputs!$A65,'FY 23 OFA Shell'!$I$27:$I$195,0))</f>
        <v>215775.87299999999</v>
      </c>
      <c r="Y65" s="143">
        <f>INDEX('FY 23 OFA Shell'!BL$27:BL$195,MATCH(Outputs!$A65,'FY 23 OFA Shell'!$I$27:$I$195,0))</f>
        <v>230341.16399999999</v>
      </c>
      <c r="Z65" s="143">
        <f>INDEX('FY 23 OFA Shell'!BM$27:BM$195,MATCH(Outputs!$A65,'FY 23 OFA Shell'!$I$27:$I$195,0))</f>
        <v>244906.45499999999</v>
      </c>
      <c r="AA65" s="143">
        <f>INDEX('FY 23 OFA Shell'!BN$27:BN$195,MATCH(Outputs!$A65,'FY 23 OFA Shell'!$I$27:$I$195,0))</f>
        <v>259471.74599999998</v>
      </c>
      <c r="AB65" s="143">
        <f>INDEX('FY 23 OFA Shell'!BO$27:BO$195,MATCH(Outputs!$A65,'FY 23 OFA Shell'!$I$27:$I$195,0))</f>
        <v>314542</v>
      </c>
      <c r="AC65" s="143">
        <f>INDEX('FY 23 OFA Shell'!BP$27:BP$195,MATCH(Outputs!$A65,'FY 23 OFA Shell'!$I$27:$I$195,0))</f>
        <v>314542</v>
      </c>
      <c r="AD65" s="143">
        <f>INDEX('FY 23 OFA Shell'!BQ$27:BQ$195,MATCH(Outputs!$A65,'FY 23 OFA Shell'!$I$27:$I$195,0))</f>
        <v>314542</v>
      </c>
      <c r="AE65" s="129">
        <f t="shared" si="49"/>
        <v>0</v>
      </c>
      <c r="AF65" s="129">
        <f t="shared" si="50"/>
        <v>0</v>
      </c>
      <c r="AG65" s="129">
        <f t="shared" si="51"/>
        <v>0</v>
      </c>
      <c r="AH65" s="129">
        <f t="shared" si="52"/>
        <v>0</v>
      </c>
      <c r="AI65" s="129">
        <f t="shared" si="53"/>
        <v>0</v>
      </c>
      <c r="AJ65" s="129">
        <f t="shared" si="54"/>
        <v>0</v>
      </c>
      <c r="AK65" s="129">
        <f t="shared" si="55"/>
        <v>0</v>
      </c>
      <c r="AL65" s="129">
        <f t="shared" si="56"/>
        <v>0</v>
      </c>
      <c r="AM65" s="129">
        <f t="shared" si="57"/>
        <v>0</v>
      </c>
      <c r="AN65" s="127">
        <f t="shared" si="58"/>
        <v>0</v>
      </c>
      <c r="AO65" s="127">
        <f t="shared" si="59"/>
        <v>0</v>
      </c>
      <c r="AP65" s="127">
        <f t="shared" si="60"/>
        <v>0</v>
      </c>
      <c r="AQ65" s="127">
        <f t="shared" si="61"/>
        <v>0</v>
      </c>
      <c r="AR65" s="127">
        <f t="shared" si="62"/>
        <v>0</v>
      </c>
      <c r="AS65" s="127">
        <f t="shared" si="63"/>
        <v>0</v>
      </c>
      <c r="AT65" s="127">
        <f t="shared" si="64"/>
        <v>0</v>
      </c>
      <c r="AU65" s="127">
        <f t="shared" si="65"/>
        <v>0</v>
      </c>
      <c r="AV65" s="127">
        <f t="shared" si="66"/>
        <v>0</v>
      </c>
    </row>
    <row r="66" spans="1:48" x14ac:dyDescent="0.15">
      <c r="A66" s="29" t="s">
        <v>59</v>
      </c>
      <c r="B66" s="30">
        <f>IF(Data!D61=1, MAX(Data!AA61, Inputs!$E$25) + INDEX(Inputs!$D$38:$D$42, MATCH( Data!AD61, Inputs!$B$38:$B$42, 0), 0), MAX(Data!AA61, Inputs!$E$26) +  INDEX(Inputs!$D$38:$D$42, MATCH( Data!AD61, Inputs!$B$38:$B$42, 0), 0))</f>
        <v>0.362622</v>
      </c>
      <c r="C66" s="141">
        <f>(100*Data!R61)</f>
        <v>0</v>
      </c>
      <c r="D66" s="141">
        <f>ROUND(Data!Q61*C66, 0)</f>
        <v>0</v>
      </c>
      <c r="E66" s="141">
        <f>(100*Data!T61)</f>
        <v>0</v>
      </c>
      <c r="F66" s="141">
        <f>E66*Data!S61</f>
        <v>0</v>
      </c>
      <c r="G66" s="142">
        <f>ROUND(Inputs!$E$21*Data!W61*B66, 0)</f>
        <v>5384798</v>
      </c>
      <c r="H66" s="143">
        <f>IF(G66=0, 0,IF(Inputs!$E$30="Yes", IF(Data!D61=1, MAX(Outputs!D66+Outputs!F66+Outputs!G66, Data!AE61), Outputs!D66+Outputs!F66+Outputs!G66), Outputs!D66+Outputs!F66+Outputs!G66))</f>
        <v>5669122</v>
      </c>
      <c r="I66" s="143">
        <f>INDEX('FY 22 OFA Shell'!$AQ$27:$AQ$195,MATCH(Outputs!A66,'FY 22 OFA Shell'!$I$27:$I$195,0))</f>
        <v>5669122</v>
      </c>
      <c r="J66" s="129">
        <f>H66-Data!AT61</f>
        <v>0</v>
      </c>
      <c r="K66" s="127">
        <f>((H66)/(Data!AT61)) - 1</f>
        <v>0</v>
      </c>
      <c r="L66" s="127">
        <f t="shared" si="67"/>
        <v>0</v>
      </c>
      <c r="M66" s="143">
        <f>(IF(Inputs!$E$30="Yes",INDEX(Data!AT:AT,MATCH(Outputs!A66,Data!A:A,0)),INDEX(Data!AS:AS,MATCH(Outputs!A66,Data!A:A,0))))</f>
        <v>5669122</v>
      </c>
      <c r="N66" s="143">
        <f>IF(Inputs!$E$30="Yes",INDEX(Data!BN:BN,MATCH(Outputs!$A66,Data!$A:$A,0)),INDEX(Data!BE:BE,MATCH(Outputs!$A66,Data!$A:$A,0)))</f>
        <v>5669122</v>
      </c>
      <c r="O66" s="143">
        <f>IF(Inputs!$E$30="Yes",INDEX(Data!BO:BO,MATCH(Outputs!$A66,Data!$A:$A,0)),INDEX(Data!BF:BF,MATCH(Outputs!$A66,Data!$A:$A,0)))</f>
        <v>5669122</v>
      </c>
      <c r="P66" s="143">
        <f>IF(Inputs!$E$30="Yes",INDEX(Data!BP:BP,MATCH(Outputs!$A66,Data!$A:$A,0)),INDEX(Data!BG:BG,MATCH(Outputs!$A66,Data!$A:$A,0)))</f>
        <v>5669122</v>
      </c>
      <c r="Q66" s="143">
        <f>IF(Inputs!$E$30="Yes",INDEX(Data!BQ:BQ,MATCH(Outputs!$A66,Data!$A:$A,0)),INDEX(Data!BH:BH,MATCH(Outputs!$A66,Data!$A:$A,0)))</f>
        <v>5669122</v>
      </c>
      <c r="R66" s="143">
        <f>IF(Inputs!$E$30="Yes",INDEX(Data!BR:BR,MATCH(Outputs!$A66,Data!$A:$A,0)),INDEX(Data!BI:BI,MATCH(Outputs!$A66,Data!$A:$A,0)))</f>
        <v>5669122</v>
      </c>
      <c r="S66" s="143">
        <f>IF(Inputs!$E$30="Yes",INDEX(Data!BS:BS,MATCH(Outputs!$A66,Data!$A:$A,0)),INDEX(Data!BJ:BJ,MATCH(Outputs!$A66,Data!$A:$A,0)))</f>
        <v>5669122</v>
      </c>
      <c r="T66" s="143">
        <f>IF(Inputs!$E$30="Yes",INDEX(Data!BT:BT,MATCH(Outputs!$A66,Data!$A:$A,0)),INDEX(Data!BK:BK,MATCH(Outputs!$A66,Data!$A:$A,0)))</f>
        <v>5669122</v>
      </c>
      <c r="U66" s="143">
        <f>IF(Inputs!$E$30="Yes",INDEX(Data!BU:BU,MATCH(Outputs!$A66,Data!$A:$A,0)),INDEX(Data!BL:BL,MATCH(Outputs!$A66,Data!$A:$A,0)))</f>
        <v>5669122</v>
      </c>
      <c r="V66" s="143">
        <f>INDEX('FY 22 OFA Shell'!$AX$27:$AX$195,MATCH(Outputs!A66,'FY 22 OFA Shell'!$I$27:$I$195,0))</f>
        <v>5669122</v>
      </c>
      <c r="W66" s="143">
        <f>INDEX('FY 23 OFA Shell'!$AX$27:$AX$195,MATCH(Outputs!A66,'FY 23 OFA Shell'!$I$27:$I$195,0))</f>
        <v>5669122</v>
      </c>
      <c r="X66" s="143">
        <f>INDEX('FY 23 OFA Shell'!BK$27:BK$195,MATCH(Outputs!$A66,'FY 23 OFA Shell'!$I$27:$I$195,0))</f>
        <v>5669122</v>
      </c>
      <c r="Y66" s="143">
        <f>INDEX('FY 23 OFA Shell'!BL$27:BL$195,MATCH(Outputs!$A66,'FY 23 OFA Shell'!$I$27:$I$195,0))</f>
        <v>5669122</v>
      </c>
      <c r="Z66" s="143">
        <f>INDEX('FY 23 OFA Shell'!BM$27:BM$195,MATCH(Outputs!$A66,'FY 23 OFA Shell'!$I$27:$I$195,0))</f>
        <v>5669122</v>
      </c>
      <c r="AA66" s="143">
        <f>INDEX('FY 23 OFA Shell'!BN$27:BN$195,MATCH(Outputs!$A66,'FY 23 OFA Shell'!$I$27:$I$195,0))</f>
        <v>5669122</v>
      </c>
      <c r="AB66" s="143">
        <f>INDEX('FY 23 OFA Shell'!BO$27:BO$195,MATCH(Outputs!$A66,'FY 23 OFA Shell'!$I$27:$I$195,0))</f>
        <v>5669122</v>
      </c>
      <c r="AC66" s="143">
        <f>INDEX('FY 23 OFA Shell'!BP$27:BP$195,MATCH(Outputs!$A66,'FY 23 OFA Shell'!$I$27:$I$195,0))</f>
        <v>5669122</v>
      </c>
      <c r="AD66" s="143">
        <f>INDEX('FY 23 OFA Shell'!BQ$27:BQ$195,MATCH(Outputs!$A66,'FY 23 OFA Shell'!$I$27:$I$195,0))</f>
        <v>5669122</v>
      </c>
      <c r="AE66" s="129">
        <f t="shared" si="49"/>
        <v>0</v>
      </c>
      <c r="AF66" s="129">
        <f t="shared" si="50"/>
        <v>0</v>
      </c>
      <c r="AG66" s="129">
        <f t="shared" si="51"/>
        <v>0</v>
      </c>
      <c r="AH66" s="129">
        <f t="shared" si="52"/>
        <v>0</v>
      </c>
      <c r="AI66" s="129">
        <f t="shared" si="53"/>
        <v>0</v>
      </c>
      <c r="AJ66" s="129">
        <f t="shared" si="54"/>
        <v>0</v>
      </c>
      <c r="AK66" s="129">
        <f t="shared" si="55"/>
        <v>0</v>
      </c>
      <c r="AL66" s="129">
        <f t="shared" si="56"/>
        <v>0</v>
      </c>
      <c r="AM66" s="129">
        <f t="shared" si="57"/>
        <v>0</v>
      </c>
      <c r="AN66" s="127">
        <f t="shared" si="58"/>
        <v>0</v>
      </c>
      <c r="AO66" s="127">
        <f t="shared" si="59"/>
        <v>0</v>
      </c>
      <c r="AP66" s="127">
        <f t="shared" si="60"/>
        <v>0</v>
      </c>
      <c r="AQ66" s="127">
        <f t="shared" si="61"/>
        <v>0</v>
      </c>
      <c r="AR66" s="127">
        <f t="shared" si="62"/>
        <v>0</v>
      </c>
      <c r="AS66" s="127">
        <f t="shared" si="63"/>
        <v>0</v>
      </c>
      <c r="AT66" s="127">
        <f t="shared" si="64"/>
        <v>0</v>
      </c>
      <c r="AU66" s="127">
        <f t="shared" si="65"/>
        <v>0</v>
      </c>
      <c r="AV66" s="127">
        <f t="shared" si="66"/>
        <v>0</v>
      </c>
    </row>
    <row r="67" spans="1:48" x14ac:dyDescent="0.15">
      <c r="A67" s="29" t="s">
        <v>60</v>
      </c>
      <c r="B67" s="30">
        <f>IF(Data!D62=1, MAX(Data!AA62, Inputs!$E$25) + INDEX(Inputs!$D$38:$D$42, MATCH( Data!AD62, Inputs!$B$38:$B$42, 0), 0), MAX(Data!AA62, Inputs!$E$26) +  INDEX(Inputs!$D$38:$D$42, MATCH( Data!AD62, Inputs!$B$38:$B$42, 0), 0))</f>
        <v>0.32908599999999999</v>
      </c>
      <c r="C67" s="141">
        <f>(100*Data!R62)</f>
        <v>0</v>
      </c>
      <c r="D67" s="141">
        <f>ROUND(Data!Q62*C67, 0)</f>
        <v>0</v>
      </c>
      <c r="E67" s="141">
        <f>(100*Data!T62)</f>
        <v>0</v>
      </c>
      <c r="F67" s="141">
        <f>E67*Data!S62</f>
        <v>0</v>
      </c>
      <c r="G67" s="142">
        <f>ROUND(Inputs!$E$21*Data!W62*B67, 0)</f>
        <v>10472448</v>
      </c>
      <c r="H67" s="143">
        <f>IF(G67=0, 0,IF(Inputs!$E$30="Yes", IF(Data!D62=1, MAX(Outputs!D67+Outputs!F67+Outputs!G67, Data!AE62), Outputs!D67+Outputs!F67+Outputs!G67), Outputs!D67+Outputs!F67+Outputs!G67))</f>
        <v>10472448</v>
      </c>
      <c r="I67" s="143">
        <f>INDEX('FY 22 OFA Shell'!$AQ$27:$AQ$195,MATCH(Outputs!A67,'FY 22 OFA Shell'!$I$27:$I$195,0))</f>
        <v>10472448</v>
      </c>
      <c r="J67" s="129">
        <f>H67-Data!AT62</f>
        <v>441556.81420000084</v>
      </c>
      <c r="K67" s="127">
        <f>((H67)/(Data!AT62)) - 1</f>
        <v>4.4019699348855523E-2</v>
      </c>
      <c r="L67" s="127">
        <f t="shared" si="67"/>
        <v>0</v>
      </c>
      <c r="M67" s="143">
        <f>(IF(Inputs!$E$30="Yes",INDEX(Data!AT:AT,MATCH(Outputs!A67,Data!A:A,0)),INDEX(Data!AS:AS,MATCH(Outputs!A67,Data!A:A,0))))</f>
        <v>10030891.185799999</v>
      </c>
      <c r="N67" s="143">
        <f>IF(Inputs!$E$30="Yes",INDEX(Data!BN:BN,MATCH(Outputs!$A67,Data!$A:$A,0)),INDEX(Data!BE:BE,MATCH(Outputs!$A67,Data!$A:$A,0)))</f>
        <v>10114893.371599998</v>
      </c>
      <c r="O67" s="143">
        <f>IF(Inputs!$E$30="Yes",INDEX(Data!BO:BO,MATCH(Outputs!$A67,Data!$A:$A,0)),INDEX(Data!BF:BF,MATCH(Outputs!$A67,Data!$A:$A,0)))</f>
        <v>10198895.557399997</v>
      </c>
      <c r="P67" s="143">
        <f>IF(Inputs!$E$30="Yes",INDEX(Data!BP:BP,MATCH(Outputs!$A67,Data!$A:$A,0)),INDEX(Data!BG:BG,MATCH(Outputs!$A67,Data!$A:$A,0)))</f>
        <v>10282897.743199997</v>
      </c>
      <c r="Q67" s="143">
        <f>IF(Inputs!$E$30="Yes",INDEX(Data!BQ:BQ,MATCH(Outputs!$A67,Data!$A:$A,0)),INDEX(Data!BH:BH,MATCH(Outputs!$A67,Data!$A:$A,0)))</f>
        <v>10366899.928999996</v>
      </c>
      <c r="R67" s="143">
        <f>IF(Inputs!$E$30="Yes",INDEX(Data!BR:BR,MATCH(Outputs!$A67,Data!$A:$A,0)),INDEX(Data!BI:BI,MATCH(Outputs!$A67,Data!$A:$A,0)))</f>
        <v>10450902.114799995</v>
      </c>
      <c r="S67" s="143">
        <f>IF(Inputs!$E$30="Yes",INDEX(Data!BS:BS,MATCH(Outputs!$A67,Data!$A:$A,0)),INDEX(Data!BJ:BJ,MATCH(Outputs!$A67,Data!$A:$A,0)))</f>
        <v>10472448</v>
      </c>
      <c r="T67" s="143">
        <f>IF(Inputs!$E$30="Yes",INDEX(Data!BT:BT,MATCH(Outputs!$A67,Data!$A:$A,0)),INDEX(Data!BK:BK,MATCH(Outputs!$A67,Data!$A:$A,0)))</f>
        <v>10472448</v>
      </c>
      <c r="U67" s="143">
        <f>IF(Inputs!$E$30="Yes",INDEX(Data!BU:BU,MATCH(Outputs!$A67,Data!$A:$A,0)),INDEX(Data!BL:BL,MATCH(Outputs!$A67,Data!$A:$A,0)))</f>
        <v>10472448</v>
      </c>
      <c r="V67" s="143">
        <f>INDEX('FY 22 OFA Shell'!$AX$27:$AX$195,MATCH(Outputs!A67,'FY 22 OFA Shell'!$I$27:$I$195,0))</f>
        <v>10030891.185799999</v>
      </c>
      <c r="W67" s="143">
        <f>INDEX('FY 23 OFA Shell'!$AX$27:$AX$195,MATCH(Outputs!A67,'FY 23 OFA Shell'!$I$27:$I$195,0))</f>
        <v>10114893.371599998</v>
      </c>
      <c r="X67" s="143">
        <f>INDEX('FY 23 OFA Shell'!BK$27:BK$195,MATCH(Outputs!$A67,'FY 23 OFA Shell'!$I$27:$I$195,0))</f>
        <v>10198895.557399997</v>
      </c>
      <c r="Y67" s="143">
        <f>INDEX('FY 23 OFA Shell'!BL$27:BL$195,MATCH(Outputs!$A67,'FY 23 OFA Shell'!$I$27:$I$195,0))</f>
        <v>10282897.743199997</v>
      </c>
      <c r="Z67" s="143">
        <f>INDEX('FY 23 OFA Shell'!BM$27:BM$195,MATCH(Outputs!$A67,'FY 23 OFA Shell'!$I$27:$I$195,0))</f>
        <v>10366899.928999996</v>
      </c>
      <c r="AA67" s="143">
        <f>INDEX('FY 23 OFA Shell'!BN$27:BN$195,MATCH(Outputs!$A67,'FY 23 OFA Shell'!$I$27:$I$195,0))</f>
        <v>10450902.114799995</v>
      </c>
      <c r="AB67" s="143">
        <f>INDEX('FY 23 OFA Shell'!BO$27:BO$195,MATCH(Outputs!$A67,'FY 23 OFA Shell'!$I$27:$I$195,0))</f>
        <v>10472448</v>
      </c>
      <c r="AC67" s="143">
        <f>INDEX('FY 23 OFA Shell'!BP$27:BP$195,MATCH(Outputs!$A67,'FY 23 OFA Shell'!$I$27:$I$195,0))</f>
        <v>10472448</v>
      </c>
      <c r="AD67" s="143">
        <f>INDEX('FY 23 OFA Shell'!BQ$27:BQ$195,MATCH(Outputs!$A67,'FY 23 OFA Shell'!$I$27:$I$195,0))</f>
        <v>10472448</v>
      </c>
      <c r="AE67" s="129">
        <f t="shared" si="49"/>
        <v>0</v>
      </c>
      <c r="AF67" s="129">
        <f t="shared" si="50"/>
        <v>0</v>
      </c>
      <c r="AG67" s="129">
        <f t="shared" si="51"/>
        <v>0</v>
      </c>
      <c r="AH67" s="129">
        <f t="shared" si="52"/>
        <v>0</v>
      </c>
      <c r="AI67" s="129">
        <f t="shared" si="53"/>
        <v>0</v>
      </c>
      <c r="AJ67" s="129">
        <f t="shared" si="54"/>
        <v>0</v>
      </c>
      <c r="AK67" s="129">
        <f t="shared" si="55"/>
        <v>0</v>
      </c>
      <c r="AL67" s="129">
        <f t="shared" si="56"/>
        <v>0</v>
      </c>
      <c r="AM67" s="129">
        <f t="shared" si="57"/>
        <v>0</v>
      </c>
      <c r="AN67" s="127">
        <f t="shared" si="58"/>
        <v>0</v>
      </c>
      <c r="AO67" s="127">
        <f t="shared" si="59"/>
        <v>0</v>
      </c>
      <c r="AP67" s="127">
        <f t="shared" si="60"/>
        <v>0</v>
      </c>
      <c r="AQ67" s="127">
        <f t="shared" si="61"/>
        <v>0</v>
      </c>
      <c r="AR67" s="127">
        <f t="shared" si="62"/>
        <v>0</v>
      </c>
      <c r="AS67" s="127">
        <f t="shared" si="63"/>
        <v>0</v>
      </c>
      <c r="AT67" s="127">
        <f t="shared" si="64"/>
        <v>0</v>
      </c>
      <c r="AU67" s="127">
        <f t="shared" si="65"/>
        <v>0</v>
      </c>
      <c r="AV67" s="127">
        <f t="shared" si="66"/>
        <v>0</v>
      </c>
    </row>
    <row r="68" spans="1:48" x14ac:dyDescent="0.15">
      <c r="A68" s="29" t="s">
        <v>61</v>
      </c>
      <c r="B68" s="30">
        <f>IF(Data!D63=1, MAX(Data!AA63, Inputs!$E$25) + INDEX(Inputs!$D$38:$D$42, MATCH( Data!AD63, Inputs!$B$38:$B$42, 0), 0), MAX(Data!AA63, Inputs!$E$26) +  INDEX(Inputs!$D$38:$D$42, MATCH( Data!AD63, Inputs!$B$38:$B$42, 0), 0))</f>
        <v>0.45631500000000003</v>
      </c>
      <c r="C68" s="141">
        <f>(100*Data!R63)</f>
        <v>0</v>
      </c>
      <c r="D68" s="141">
        <f>ROUND(Data!Q63*C68, 0)</f>
        <v>0</v>
      </c>
      <c r="E68" s="141">
        <f>(100*Data!T63)</f>
        <v>0</v>
      </c>
      <c r="F68" s="141">
        <f>E68*Data!S63</f>
        <v>0</v>
      </c>
      <c r="G68" s="142">
        <f>ROUND(Inputs!$E$21*Data!W63*B68, 0)</f>
        <v>31137720</v>
      </c>
      <c r="H68" s="143">
        <f>IF(G68=0, 0,IF(Inputs!$E$30="Yes", IF(Data!D63=1, MAX(Outputs!D68+Outputs!F68+Outputs!G68, Data!AE63), Outputs!D68+Outputs!F68+Outputs!G68), Outputs!D68+Outputs!F68+Outputs!G68))</f>
        <v>31137720</v>
      </c>
      <c r="I68" s="143">
        <f>INDEX('FY 22 OFA Shell'!$AQ$27:$AQ$195,MATCH(Outputs!A68,'FY 22 OFA Shell'!$I$27:$I$195,0))</f>
        <v>31137720</v>
      </c>
      <c r="J68" s="129">
        <f>H68-Data!AT63</f>
        <v>1314075.1140000001</v>
      </c>
      <c r="K68" s="127">
        <f>((H68)/(Data!AT63)) - 1</f>
        <v>4.4061519610463895E-2</v>
      </c>
      <c r="L68" s="127">
        <f t="shared" si="67"/>
        <v>0</v>
      </c>
      <c r="M68" s="143">
        <f>(IF(Inputs!$E$30="Yes",INDEX(Data!AT:AT,MATCH(Outputs!A68,Data!A:A,0)),INDEX(Data!AS:AS,MATCH(Outputs!A68,Data!A:A,0))))</f>
        <v>29823644.886</v>
      </c>
      <c r="N68" s="143">
        <f>IF(Inputs!$E$30="Yes",INDEX(Data!BN:BN,MATCH(Outputs!$A68,Data!$A:$A,0)),INDEX(Data!BE:BE,MATCH(Outputs!$A68,Data!$A:$A,0)))</f>
        <v>30095763.772</v>
      </c>
      <c r="O68" s="143">
        <f>IF(Inputs!$E$30="Yes",INDEX(Data!BO:BO,MATCH(Outputs!$A68,Data!$A:$A,0)),INDEX(Data!BF:BF,MATCH(Outputs!$A68,Data!$A:$A,0)))</f>
        <v>30367882.658</v>
      </c>
      <c r="P68" s="143">
        <f>IF(Inputs!$E$30="Yes",INDEX(Data!BP:BP,MATCH(Outputs!$A68,Data!$A:$A,0)),INDEX(Data!BG:BG,MATCH(Outputs!$A68,Data!$A:$A,0)))</f>
        <v>30640001.544</v>
      </c>
      <c r="Q68" s="143">
        <f>IF(Inputs!$E$30="Yes",INDEX(Data!BQ:BQ,MATCH(Outputs!$A68,Data!$A:$A,0)),INDEX(Data!BH:BH,MATCH(Outputs!$A68,Data!$A:$A,0)))</f>
        <v>30912120.43</v>
      </c>
      <c r="R68" s="143">
        <f>IF(Inputs!$E$30="Yes",INDEX(Data!BR:BR,MATCH(Outputs!$A68,Data!$A:$A,0)),INDEX(Data!BI:BI,MATCH(Outputs!$A68,Data!$A:$A,0)))</f>
        <v>31184239.316</v>
      </c>
      <c r="S68" s="143">
        <f>IF(Inputs!$E$30="Yes",INDEX(Data!BS:BS,MATCH(Outputs!$A68,Data!$A:$A,0)),INDEX(Data!BJ:BJ,MATCH(Outputs!$A68,Data!$A:$A,0)))</f>
        <v>31137720</v>
      </c>
      <c r="T68" s="143">
        <f>IF(Inputs!$E$30="Yes",INDEX(Data!BT:BT,MATCH(Outputs!$A68,Data!$A:$A,0)),INDEX(Data!BK:BK,MATCH(Outputs!$A68,Data!$A:$A,0)))</f>
        <v>31137720</v>
      </c>
      <c r="U68" s="143">
        <f>IF(Inputs!$E$30="Yes",INDEX(Data!BU:BU,MATCH(Outputs!$A68,Data!$A:$A,0)),INDEX(Data!BL:BL,MATCH(Outputs!$A68,Data!$A:$A,0)))</f>
        <v>31137720</v>
      </c>
      <c r="V68" s="143">
        <f>INDEX('FY 22 OFA Shell'!$AX$27:$AX$195,MATCH(Outputs!A68,'FY 22 OFA Shell'!$I$27:$I$195,0))</f>
        <v>29823644.886</v>
      </c>
      <c r="W68" s="143">
        <f>INDEX('FY 23 OFA Shell'!$AX$27:$AX$195,MATCH(Outputs!A68,'FY 23 OFA Shell'!$I$27:$I$195,0))</f>
        <v>30095763.772</v>
      </c>
      <c r="X68" s="143">
        <f>INDEX('FY 23 OFA Shell'!BK$27:BK$195,MATCH(Outputs!$A68,'FY 23 OFA Shell'!$I$27:$I$195,0))</f>
        <v>30367882.658</v>
      </c>
      <c r="Y68" s="143">
        <f>INDEX('FY 23 OFA Shell'!BL$27:BL$195,MATCH(Outputs!$A68,'FY 23 OFA Shell'!$I$27:$I$195,0))</f>
        <v>30640001.544</v>
      </c>
      <c r="Z68" s="143">
        <f>INDEX('FY 23 OFA Shell'!BM$27:BM$195,MATCH(Outputs!$A68,'FY 23 OFA Shell'!$I$27:$I$195,0))</f>
        <v>30912120.43</v>
      </c>
      <c r="AA68" s="143">
        <f>INDEX('FY 23 OFA Shell'!BN$27:BN$195,MATCH(Outputs!$A68,'FY 23 OFA Shell'!$I$27:$I$195,0))</f>
        <v>31184239.316</v>
      </c>
      <c r="AB68" s="143">
        <f>INDEX('FY 23 OFA Shell'!BO$27:BO$195,MATCH(Outputs!$A68,'FY 23 OFA Shell'!$I$27:$I$195,0))</f>
        <v>31137720</v>
      </c>
      <c r="AC68" s="143">
        <f>INDEX('FY 23 OFA Shell'!BP$27:BP$195,MATCH(Outputs!$A68,'FY 23 OFA Shell'!$I$27:$I$195,0))</f>
        <v>31137720</v>
      </c>
      <c r="AD68" s="143">
        <f>INDEX('FY 23 OFA Shell'!BQ$27:BQ$195,MATCH(Outputs!$A68,'FY 23 OFA Shell'!$I$27:$I$195,0))</f>
        <v>31137720</v>
      </c>
      <c r="AE68" s="129">
        <f t="shared" si="49"/>
        <v>0</v>
      </c>
      <c r="AF68" s="129">
        <f t="shared" si="50"/>
        <v>0</v>
      </c>
      <c r="AG68" s="129">
        <f t="shared" si="51"/>
        <v>0</v>
      </c>
      <c r="AH68" s="129">
        <f t="shared" si="52"/>
        <v>0</v>
      </c>
      <c r="AI68" s="129">
        <f t="shared" si="53"/>
        <v>0</v>
      </c>
      <c r="AJ68" s="129">
        <f t="shared" si="54"/>
        <v>0</v>
      </c>
      <c r="AK68" s="129">
        <f t="shared" si="55"/>
        <v>0</v>
      </c>
      <c r="AL68" s="129">
        <f t="shared" si="56"/>
        <v>0</v>
      </c>
      <c r="AM68" s="129">
        <f t="shared" si="57"/>
        <v>0</v>
      </c>
      <c r="AN68" s="127">
        <f t="shared" si="58"/>
        <v>0</v>
      </c>
      <c r="AO68" s="127">
        <f t="shared" si="59"/>
        <v>0</v>
      </c>
      <c r="AP68" s="127">
        <f t="shared" si="60"/>
        <v>0</v>
      </c>
      <c r="AQ68" s="127">
        <f t="shared" si="61"/>
        <v>0</v>
      </c>
      <c r="AR68" s="127">
        <f t="shared" si="62"/>
        <v>0</v>
      </c>
      <c r="AS68" s="127">
        <f t="shared" si="63"/>
        <v>0</v>
      </c>
      <c r="AT68" s="127">
        <f t="shared" si="64"/>
        <v>0</v>
      </c>
      <c r="AU68" s="127">
        <f t="shared" si="65"/>
        <v>0</v>
      </c>
      <c r="AV68" s="127">
        <f t="shared" si="66"/>
        <v>0</v>
      </c>
    </row>
    <row r="69" spans="1:48" x14ac:dyDescent="0.15">
      <c r="A69" s="29" t="s">
        <v>62</v>
      </c>
      <c r="B69" s="30">
        <f>IF(Data!D64=1, MAX(Data!AA64, Inputs!$E$25) + INDEX(Inputs!$D$38:$D$42, MATCH( Data!AD64, Inputs!$B$38:$B$42, 0), 0), MAX(Data!AA64, Inputs!$E$26) +  INDEX(Inputs!$D$38:$D$42, MATCH( Data!AD64, Inputs!$B$38:$B$42, 0), 0))</f>
        <v>0.01</v>
      </c>
      <c r="C69" s="141">
        <f>(100*Data!R64)</f>
        <v>600</v>
      </c>
      <c r="D69" s="141">
        <f>ROUND(Data!Q64*C69, 0)</f>
        <v>211800</v>
      </c>
      <c r="E69" s="141">
        <f>(100*Data!T64)</f>
        <v>0</v>
      </c>
      <c r="F69" s="141">
        <f>E69*Data!S64</f>
        <v>0</v>
      </c>
      <c r="G69" s="142">
        <f>ROUND(Inputs!$E$21*Data!W64*B69, 0)</f>
        <v>78824</v>
      </c>
      <c r="H69" s="143">
        <f>IF(G69=0, 0,IF(Inputs!$E$30="Yes", IF(Data!D64=1, MAX(Outputs!D69+Outputs!F69+Outputs!G69, Data!AE64), Outputs!D69+Outputs!F69+Outputs!G69), Outputs!D69+Outputs!F69+Outputs!G69))</f>
        <v>290624</v>
      </c>
      <c r="I69" s="143">
        <f>INDEX('FY 22 OFA Shell'!$AQ$27:$AQ$195,MATCH(Outputs!A69,'FY 22 OFA Shell'!$I$27:$I$195,0))</f>
        <v>290624</v>
      </c>
      <c r="J69" s="129">
        <f>H69-Data!AT64</f>
        <v>166916.02480000001</v>
      </c>
      <c r="K69" s="127">
        <f>((H69)/(Data!AT64)) - 1</f>
        <v>1.349274568031245</v>
      </c>
      <c r="L69" s="127">
        <f t="shared" si="67"/>
        <v>0</v>
      </c>
      <c r="M69" s="143">
        <f>(IF(Inputs!$E$30="Yes",INDEX(Data!AT:AT,MATCH(Outputs!A69,Data!A:A,0)),INDEX(Data!AS:AS,MATCH(Outputs!A69,Data!A:A,0))))</f>
        <v>123707.9752</v>
      </c>
      <c r="N69" s="143">
        <f>IF(Inputs!$E$30="Yes",INDEX(Data!BN:BN,MATCH(Outputs!$A69,Data!$A:$A,0)),INDEX(Data!BE:BE,MATCH(Outputs!$A69,Data!$A:$A,0)))</f>
        <v>143489.9504</v>
      </c>
      <c r="O69" s="143">
        <f>IF(Inputs!$E$30="Yes",INDEX(Data!BO:BO,MATCH(Outputs!$A69,Data!$A:$A,0)),INDEX(Data!BF:BF,MATCH(Outputs!$A69,Data!$A:$A,0)))</f>
        <v>163271.92560000002</v>
      </c>
      <c r="P69" s="143">
        <f>IF(Inputs!$E$30="Yes",INDEX(Data!BP:BP,MATCH(Outputs!$A69,Data!$A:$A,0)),INDEX(Data!BG:BG,MATCH(Outputs!$A69,Data!$A:$A,0)))</f>
        <v>183053.9008</v>
      </c>
      <c r="Q69" s="143">
        <f>IF(Inputs!$E$30="Yes",INDEX(Data!BQ:BQ,MATCH(Outputs!$A69,Data!$A:$A,0)),INDEX(Data!BH:BH,MATCH(Outputs!$A69,Data!$A:$A,0)))</f>
        <v>202835.87599999999</v>
      </c>
      <c r="R69" s="143">
        <f>IF(Inputs!$E$30="Yes",INDEX(Data!BR:BR,MATCH(Outputs!$A69,Data!$A:$A,0)),INDEX(Data!BI:BI,MATCH(Outputs!$A69,Data!$A:$A,0)))</f>
        <v>222617.85119999998</v>
      </c>
      <c r="S69" s="143">
        <f>IF(Inputs!$E$30="Yes",INDEX(Data!BS:BS,MATCH(Outputs!$A69,Data!$A:$A,0)),INDEX(Data!BJ:BJ,MATCH(Outputs!$A69,Data!$A:$A,0)))</f>
        <v>290624</v>
      </c>
      <c r="T69" s="143">
        <f>IF(Inputs!$E$30="Yes",INDEX(Data!BT:BT,MATCH(Outputs!$A69,Data!$A:$A,0)),INDEX(Data!BK:BK,MATCH(Outputs!$A69,Data!$A:$A,0)))</f>
        <v>290624</v>
      </c>
      <c r="U69" s="143">
        <f>IF(Inputs!$E$30="Yes",INDEX(Data!BU:BU,MATCH(Outputs!$A69,Data!$A:$A,0)),INDEX(Data!BL:BL,MATCH(Outputs!$A69,Data!$A:$A,0)))</f>
        <v>290624</v>
      </c>
      <c r="V69" s="143">
        <f>INDEX('FY 22 OFA Shell'!$AX$27:$AX$195,MATCH(Outputs!A69,'FY 22 OFA Shell'!$I$27:$I$195,0))</f>
        <v>123707.9752</v>
      </c>
      <c r="W69" s="143">
        <f>INDEX('FY 23 OFA Shell'!$AX$27:$AX$195,MATCH(Outputs!A69,'FY 23 OFA Shell'!$I$27:$I$195,0))</f>
        <v>143489.9504</v>
      </c>
      <c r="X69" s="143">
        <f>INDEX('FY 23 OFA Shell'!BK$27:BK$195,MATCH(Outputs!$A69,'FY 23 OFA Shell'!$I$27:$I$195,0))</f>
        <v>163271.92560000002</v>
      </c>
      <c r="Y69" s="143">
        <f>INDEX('FY 23 OFA Shell'!BL$27:BL$195,MATCH(Outputs!$A69,'FY 23 OFA Shell'!$I$27:$I$195,0))</f>
        <v>183053.9008</v>
      </c>
      <c r="Z69" s="143">
        <f>INDEX('FY 23 OFA Shell'!BM$27:BM$195,MATCH(Outputs!$A69,'FY 23 OFA Shell'!$I$27:$I$195,0))</f>
        <v>202835.87599999999</v>
      </c>
      <c r="AA69" s="143">
        <f>INDEX('FY 23 OFA Shell'!BN$27:BN$195,MATCH(Outputs!$A69,'FY 23 OFA Shell'!$I$27:$I$195,0))</f>
        <v>222617.85119999998</v>
      </c>
      <c r="AB69" s="143">
        <f>INDEX('FY 23 OFA Shell'!BO$27:BO$195,MATCH(Outputs!$A69,'FY 23 OFA Shell'!$I$27:$I$195,0))</f>
        <v>290624</v>
      </c>
      <c r="AC69" s="143">
        <f>INDEX('FY 23 OFA Shell'!BP$27:BP$195,MATCH(Outputs!$A69,'FY 23 OFA Shell'!$I$27:$I$195,0))</f>
        <v>290624</v>
      </c>
      <c r="AD69" s="143">
        <f>INDEX('FY 23 OFA Shell'!BQ$27:BQ$195,MATCH(Outputs!$A69,'FY 23 OFA Shell'!$I$27:$I$195,0))</f>
        <v>290624</v>
      </c>
      <c r="AE69" s="129">
        <f t="shared" si="49"/>
        <v>0</v>
      </c>
      <c r="AF69" s="129">
        <f t="shared" si="50"/>
        <v>0</v>
      </c>
      <c r="AG69" s="129">
        <f t="shared" si="51"/>
        <v>0</v>
      </c>
      <c r="AH69" s="129">
        <f t="shared" si="52"/>
        <v>0</v>
      </c>
      <c r="AI69" s="129">
        <f t="shared" si="53"/>
        <v>0</v>
      </c>
      <c r="AJ69" s="129">
        <f t="shared" si="54"/>
        <v>0</v>
      </c>
      <c r="AK69" s="129">
        <f t="shared" si="55"/>
        <v>0</v>
      </c>
      <c r="AL69" s="129">
        <f t="shared" si="56"/>
        <v>0</v>
      </c>
      <c r="AM69" s="129">
        <f t="shared" si="57"/>
        <v>0</v>
      </c>
      <c r="AN69" s="127">
        <f t="shared" si="58"/>
        <v>0</v>
      </c>
      <c r="AO69" s="127">
        <f t="shared" si="59"/>
        <v>0</v>
      </c>
      <c r="AP69" s="127">
        <f t="shared" si="60"/>
        <v>0</v>
      </c>
      <c r="AQ69" s="127">
        <f t="shared" si="61"/>
        <v>0</v>
      </c>
      <c r="AR69" s="127">
        <f t="shared" si="62"/>
        <v>0</v>
      </c>
      <c r="AS69" s="127">
        <f t="shared" si="63"/>
        <v>0</v>
      </c>
      <c r="AT69" s="127">
        <f t="shared" si="64"/>
        <v>0</v>
      </c>
      <c r="AU69" s="127">
        <f t="shared" si="65"/>
        <v>0</v>
      </c>
      <c r="AV69" s="127">
        <f t="shared" si="66"/>
        <v>0</v>
      </c>
    </row>
    <row r="70" spans="1:48" x14ac:dyDescent="0.15">
      <c r="A70" s="29" t="s">
        <v>63</v>
      </c>
      <c r="B70" s="30">
        <f>IF(Data!D65=1, MAX(Data!AA65, Inputs!$E$25) + INDEX(Inputs!$D$38:$D$42, MATCH( Data!AD65, Inputs!$B$38:$B$42, 0), 0), MAX(Data!AA65, Inputs!$E$26) +  INDEX(Inputs!$D$38:$D$42, MATCH( Data!AD65, Inputs!$B$38:$B$42, 0), 0))</f>
        <v>0.01</v>
      </c>
      <c r="C70" s="141">
        <f>(100*Data!R65)</f>
        <v>0</v>
      </c>
      <c r="D70" s="141">
        <f>ROUND(Data!Q65*C70, 0)</f>
        <v>0</v>
      </c>
      <c r="E70" s="141">
        <f>(100*Data!T65)</f>
        <v>0</v>
      </c>
      <c r="F70" s="141">
        <f>E70*Data!S65</f>
        <v>0</v>
      </c>
      <c r="G70" s="142">
        <f>ROUND(Inputs!$E$21*Data!W65*B70, 0)</f>
        <v>1145194</v>
      </c>
      <c r="H70" s="143">
        <f>IF(G70=0, 0,IF(Inputs!$E$30="Yes", IF(Data!D65=1, MAX(Outputs!D70+Outputs!F70+Outputs!G70, Data!AE65), Outputs!D70+Outputs!F70+Outputs!G70), Outputs!D70+Outputs!F70+Outputs!G70))</f>
        <v>1145194</v>
      </c>
      <c r="I70" s="143">
        <f>INDEX('FY 22 OFA Shell'!$AQ$27:$AQ$195,MATCH(Outputs!A70,'FY 22 OFA Shell'!$I$27:$I$195,0))</f>
        <v>1145194</v>
      </c>
      <c r="J70" s="129">
        <f>H70-Data!AT65</f>
        <v>27464.10859999992</v>
      </c>
      <c r="K70" s="127">
        <f>((H70)/(Data!AT65)) - 1</f>
        <v>2.4571328736319398E-2</v>
      </c>
      <c r="L70" s="127">
        <f t="shared" si="67"/>
        <v>0</v>
      </c>
      <c r="M70" s="143">
        <f>(IF(Inputs!$E$30="Yes",INDEX(Data!AT:AT,MATCH(Outputs!A70,Data!A:A,0)),INDEX(Data!AS:AS,MATCH(Outputs!A70,Data!A:A,0))))</f>
        <v>1117729.8914000001</v>
      </c>
      <c r="N70" s="143">
        <f>IF(Inputs!$E$30="Yes",INDEX(Data!BN:BN,MATCH(Outputs!$A70,Data!$A:$A,0)),INDEX(Data!BE:BE,MATCH(Outputs!$A70,Data!$A:$A,0)))</f>
        <v>1123915.7828000002</v>
      </c>
      <c r="O70" s="143">
        <f>IF(Inputs!$E$30="Yes",INDEX(Data!BO:BO,MATCH(Outputs!$A70,Data!$A:$A,0)),INDEX(Data!BF:BF,MATCH(Outputs!$A70,Data!$A:$A,0)))</f>
        <v>1130101.6742000002</v>
      </c>
      <c r="P70" s="143">
        <f>IF(Inputs!$E$30="Yes",INDEX(Data!BP:BP,MATCH(Outputs!$A70,Data!$A:$A,0)),INDEX(Data!BG:BG,MATCH(Outputs!$A70,Data!$A:$A,0)))</f>
        <v>1136287.5656000003</v>
      </c>
      <c r="Q70" s="143">
        <f>IF(Inputs!$E$30="Yes",INDEX(Data!BQ:BQ,MATCH(Outputs!$A70,Data!$A:$A,0)),INDEX(Data!BH:BH,MATCH(Outputs!$A70,Data!$A:$A,0)))</f>
        <v>1142473.4570000004</v>
      </c>
      <c r="R70" s="143">
        <f>IF(Inputs!$E$30="Yes",INDEX(Data!BR:BR,MATCH(Outputs!$A70,Data!$A:$A,0)),INDEX(Data!BI:BI,MATCH(Outputs!$A70,Data!$A:$A,0)))</f>
        <v>1148659.3484000005</v>
      </c>
      <c r="S70" s="143">
        <f>IF(Inputs!$E$30="Yes",INDEX(Data!BS:BS,MATCH(Outputs!$A70,Data!$A:$A,0)),INDEX(Data!BJ:BJ,MATCH(Outputs!$A70,Data!$A:$A,0)))</f>
        <v>1145194</v>
      </c>
      <c r="T70" s="143">
        <f>IF(Inputs!$E$30="Yes",INDEX(Data!BT:BT,MATCH(Outputs!$A70,Data!$A:$A,0)),INDEX(Data!BK:BK,MATCH(Outputs!$A70,Data!$A:$A,0)))</f>
        <v>1145194</v>
      </c>
      <c r="U70" s="143">
        <f>IF(Inputs!$E$30="Yes",INDEX(Data!BU:BU,MATCH(Outputs!$A70,Data!$A:$A,0)),INDEX(Data!BL:BL,MATCH(Outputs!$A70,Data!$A:$A,0)))</f>
        <v>1145194</v>
      </c>
      <c r="V70" s="143">
        <f>INDEX('FY 22 OFA Shell'!$AX$27:$AX$195,MATCH(Outputs!A70,'FY 22 OFA Shell'!$I$27:$I$195,0))</f>
        <v>1117729.8914000001</v>
      </c>
      <c r="W70" s="143">
        <f>INDEX('FY 23 OFA Shell'!$AX$27:$AX$195,MATCH(Outputs!A70,'FY 23 OFA Shell'!$I$27:$I$195,0))</f>
        <v>1123915.7828000002</v>
      </c>
      <c r="X70" s="143">
        <f>INDEX('FY 23 OFA Shell'!BK$27:BK$195,MATCH(Outputs!$A70,'FY 23 OFA Shell'!$I$27:$I$195,0))</f>
        <v>1130101.6742000002</v>
      </c>
      <c r="Y70" s="143">
        <f>INDEX('FY 23 OFA Shell'!BL$27:BL$195,MATCH(Outputs!$A70,'FY 23 OFA Shell'!$I$27:$I$195,0))</f>
        <v>1136287.5656000003</v>
      </c>
      <c r="Z70" s="143">
        <f>INDEX('FY 23 OFA Shell'!BM$27:BM$195,MATCH(Outputs!$A70,'FY 23 OFA Shell'!$I$27:$I$195,0))</f>
        <v>1142473.4570000004</v>
      </c>
      <c r="AA70" s="143">
        <f>INDEX('FY 23 OFA Shell'!BN$27:BN$195,MATCH(Outputs!$A70,'FY 23 OFA Shell'!$I$27:$I$195,0))</f>
        <v>1148659.3484000005</v>
      </c>
      <c r="AB70" s="143">
        <f>INDEX('FY 23 OFA Shell'!BO$27:BO$195,MATCH(Outputs!$A70,'FY 23 OFA Shell'!$I$27:$I$195,0))</f>
        <v>1145194</v>
      </c>
      <c r="AC70" s="143">
        <f>INDEX('FY 23 OFA Shell'!BP$27:BP$195,MATCH(Outputs!$A70,'FY 23 OFA Shell'!$I$27:$I$195,0))</f>
        <v>1145194</v>
      </c>
      <c r="AD70" s="143">
        <f>INDEX('FY 23 OFA Shell'!BQ$27:BQ$195,MATCH(Outputs!$A70,'FY 23 OFA Shell'!$I$27:$I$195,0))</f>
        <v>1145194</v>
      </c>
      <c r="AE70" s="129">
        <f t="shared" si="49"/>
        <v>0</v>
      </c>
      <c r="AF70" s="129">
        <f t="shared" si="50"/>
        <v>0</v>
      </c>
      <c r="AG70" s="129">
        <f t="shared" si="51"/>
        <v>0</v>
      </c>
      <c r="AH70" s="129">
        <f t="shared" si="52"/>
        <v>0</v>
      </c>
      <c r="AI70" s="129">
        <f t="shared" si="53"/>
        <v>0</v>
      </c>
      <c r="AJ70" s="129">
        <f t="shared" si="54"/>
        <v>0</v>
      </c>
      <c r="AK70" s="129">
        <f t="shared" si="55"/>
        <v>0</v>
      </c>
      <c r="AL70" s="129">
        <f t="shared" si="56"/>
        <v>0</v>
      </c>
      <c r="AM70" s="129">
        <f t="shared" si="57"/>
        <v>0</v>
      </c>
      <c r="AN70" s="127">
        <f t="shared" si="58"/>
        <v>0</v>
      </c>
      <c r="AO70" s="127">
        <f t="shared" si="59"/>
        <v>0</v>
      </c>
      <c r="AP70" s="127">
        <f t="shared" si="60"/>
        <v>0</v>
      </c>
      <c r="AQ70" s="127">
        <f t="shared" si="61"/>
        <v>0</v>
      </c>
      <c r="AR70" s="127">
        <f t="shared" si="62"/>
        <v>0</v>
      </c>
      <c r="AS70" s="127">
        <f t="shared" si="63"/>
        <v>0</v>
      </c>
      <c r="AT70" s="127">
        <f t="shared" si="64"/>
        <v>0</v>
      </c>
      <c r="AU70" s="127">
        <f t="shared" si="65"/>
        <v>0</v>
      </c>
      <c r="AV70" s="127">
        <f t="shared" si="66"/>
        <v>0</v>
      </c>
    </row>
    <row r="71" spans="1:48" x14ac:dyDescent="0.15">
      <c r="A71" s="29" t="s">
        <v>64</v>
      </c>
      <c r="B71" s="30">
        <f>IF(Data!D66=1, MAX(Data!AA66, Inputs!$E$25) + INDEX(Inputs!$D$38:$D$42, MATCH( Data!AD66, Inputs!$B$38:$B$42, 0), 0), MAX(Data!AA66, Inputs!$E$26) +  INDEX(Inputs!$D$38:$D$42, MATCH( Data!AD66, Inputs!$B$38:$B$42, 0), 0))</f>
        <v>0.01</v>
      </c>
      <c r="C71" s="141">
        <f>(100*Data!R66)</f>
        <v>0</v>
      </c>
      <c r="D71" s="141">
        <f>ROUND(Data!Q66*C71, 0)</f>
        <v>0</v>
      </c>
      <c r="E71" s="141">
        <f>(100*Data!T66)</f>
        <v>0</v>
      </c>
      <c r="F71" s="141">
        <f>E71*Data!S66</f>
        <v>0</v>
      </c>
      <c r="G71" s="142">
        <f>ROUND(Inputs!$E$21*Data!W66*B71, 0)</f>
        <v>493449</v>
      </c>
      <c r="H71" s="143">
        <f>IF(G71=0, 0,IF(Inputs!$E$30="Yes", IF(Data!D66=1, MAX(Outputs!D71+Outputs!F71+Outputs!G71, Data!AE66), Outputs!D71+Outputs!F71+Outputs!G71), Outputs!D71+Outputs!F71+Outputs!G71))</f>
        <v>493449</v>
      </c>
      <c r="I71" s="143">
        <f>INDEX('FY 22 OFA Shell'!$AQ$27:$AQ$195,MATCH(Outputs!A71,'FY 22 OFA Shell'!$I$27:$I$195,0))</f>
        <v>493449</v>
      </c>
      <c r="J71" s="129">
        <f>H71-Data!AT66</f>
        <v>-350018</v>
      </c>
      <c r="K71" s="127">
        <f>((H71)/(Data!AT66)) - 1</f>
        <v>-0.41497533394904607</v>
      </c>
      <c r="L71" s="127">
        <f t="shared" si="67"/>
        <v>0</v>
      </c>
      <c r="M71" s="143">
        <f>(IF(Inputs!$E$30="Yes",INDEX(Data!AT:AT,MATCH(Outputs!A71,Data!A:A,0)),INDEX(Data!AS:AS,MATCH(Outputs!A71,Data!A:A,0))))</f>
        <v>843467</v>
      </c>
      <c r="N71" s="143">
        <f>IF(Inputs!$E$30="Yes",INDEX(Data!BN:BN,MATCH(Outputs!$A71,Data!$A:$A,0)),INDEX(Data!BE:BE,MATCH(Outputs!$A71,Data!$A:$A,0)))</f>
        <v>843467</v>
      </c>
      <c r="O71" s="143">
        <f>IF(Inputs!$E$30="Yes",INDEX(Data!BO:BO,MATCH(Outputs!$A71,Data!$A:$A,0)),INDEX(Data!BF:BF,MATCH(Outputs!$A71,Data!$A:$A,0)))</f>
        <v>793351.13769999996</v>
      </c>
      <c r="P71" s="143">
        <f>IF(Inputs!$E$30="Yes",INDEX(Data!BP:BP,MATCH(Outputs!$A71,Data!$A:$A,0)),INDEX(Data!BG:BG,MATCH(Outputs!$A71,Data!$A:$A,0)))</f>
        <v>743235.27539999993</v>
      </c>
      <c r="Q71" s="143">
        <f>IF(Inputs!$E$30="Yes",INDEX(Data!BQ:BQ,MATCH(Outputs!$A71,Data!$A:$A,0)),INDEX(Data!BH:BH,MATCH(Outputs!$A71,Data!$A:$A,0)))</f>
        <v>693119.41309999989</v>
      </c>
      <c r="R71" s="143">
        <f>IF(Inputs!$E$30="Yes",INDEX(Data!BR:BR,MATCH(Outputs!$A71,Data!$A:$A,0)),INDEX(Data!BI:BI,MATCH(Outputs!$A71,Data!$A:$A,0)))</f>
        <v>643003.55079999985</v>
      </c>
      <c r="S71" s="143">
        <f>IF(Inputs!$E$30="Yes",INDEX(Data!BS:BS,MATCH(Outputs!$A71,Data!$A:$A,0)),INDEX(Data!BJ:BJ,MATCH(Outputs!$A71,Data!$A:$A,0)))</f>
        <v>592887.68849999981</v>
      </c>
      <c r="T71" s="143">
        <f>IF(Inputs!$E$30="Yes",INDEX(Data!BT:BT,MATCH(Outputs!$A71,Data!$A:$A,0)),INDEX(Data!BK:BK,MATCH(Outputs!$A71,Data!$A:$A,0)))</f>
        <v>542771.82619999978</v>
      </c>
      <c r="U71" s="143">
        <f>IF(Inputs!$E$30="Yes",INDEX(Data!BU:BU,MATCH(Outputs!$A71,Data!$A:$A,0)),INDEX(Data!BL:BL,MATCH(Outputs!$A71,Data!$A:$A,0)))</f>
        <v>493449</v>
      </c>
      <c r="V71" s="143">
        <f>INDEX('FY 22 OFA Shell'!$AX$27:$AX$195,MATCH(Outputs!A71,'FY 22 OFA Shell'!$I$27:$I$195,0))</f>
        <v>843467</v>
      </c>
      <c r="W71" s="143">
        <f>INDEX('FY 23 OFA Shell'!$AX$27:$AX$195,MATCH(Outputs!A71,'FY 23 OFA Shell'!$I$27:$I$195,0))</f>
        <v>843467</v>
      </c>
      <c r="X71" s="143">
        <f>INDEX('FY 23 OFA Shell'!BK$27:BK$195,MATCH(Outputs!$A71,'FY 23 OFA Shell'!$I$27:$I$195,0))</f>
        <v>793351.13769999996</v>
      </c>
      <c r="Y71" s="143">
        <f>INDEX('FY 23 OFA Shell'!BL$27:BL$195,MATCH(Outputs!$A71,'FY 23 OFA Shell'!$I$27:$I$195,0))</f>
        <v>743235.27539999993</v>
      </c>
      <c r="Z71" s="143">
        <f>INDEX('FY 23 OFA Shell'!BM$27:BM$195,MATCH(Outputs!$A71,'FY 23 OFA Shell'!$I$27:$I$195,0))</f>
        <v>693119.41309999989</v>
      </c>
      <c r="AA71" s="143">
        <f>INDEX('FY 23 OFA Shell'!BN$27:BN$195,MATCH(Outputs!$A71,'FY 23 OFA Shell'!$I$27:$I$195,0))</f>
        <v>643003.55079999985</v>
      </c>
      <c r="AB71" s="143">
        <f>INDEX('FY 23 OFA Shell'!BO$27:BO$195,MATCH(Outputs!$A71,'FY 23 OFA Shell'!$I$27:$I$195,0))</f>
        <v>592887.68849999981</v>
      </c>
      <c r="AC71" s="143">
        <f>INDEX('FY 23 OFA Shell'!BP$27:BP$195,MATCH(Outputs!$A71,'FY 23 OFA Shell'!$I$27:$I$195,0))</f>
        <v>542771.82619999978</v>
      </c>
      <c r="AD71" s="143">
        <f>INDEX('FY 23 OFA Shell'!BQ$27:BQ$195,MATCH(Outputs!$A71,'FY 23 OFA Shell'!$I$27:$I$195,0))</f>
        <v>493449</v>
      </c>
      <c r="AE71" s="129">
        <f t="shared" si="49"/>
        <v>0</v>
      </c>
      <c r="AF71" s="129">
        <f t="shared" si="50"/>
        <v>0</v>
      </c>
      <c r="AG71" s="129">
        <f t="shared" si="51"/>
        <v>0</v>
      </c>
      <c r="AH71" s="129">
        <f t="shared" si="52"/>
        <v>0</v>
      </c>
      <c r="AI71" s="129">
        <f t="shared" si="53"/>
        <v>0</v>
      </c>
      <c r="AJ71" s="129">
        <f t="shared" si="54"/>
        <v>0</v>
      </c>
      <c r="AK71" s="129">
        <f t="shared" si="55"/>
        <v>0</v>
      </c>
      <c r="AL71" s="129">
        <f t="shared" si="56"/>
        <v>0</v>
      </c>
      <c r="AM71" s="129">
        <f t="shared" si="57"/>
        <v>0</v>
      </c>
      <c r="AN71" s="127">
        <f t="shared" si="58"/>
        <v>0</v>
      </c>
      <c r="AO71" s="127">
        <f t="shared" si="59"/>
        <v>0</v>
      </c>
      <c r="AP71" s="127">
        <f t="shared" si="60"/>
        <v>0</v>
      </c>
      <c r="AQ71" s="127">
        <f t="shared" si="61"/>
        <v>0</v>
      </c>
      <c r="AR71" s="127">
        <f t="shared" si="62"/>
        <v>0</v>
      </c>
      <c r="AS71" s="127">
        <f t="shared" si="63"/>
        <v>0</v>
      </c>
      <c r="AT71" s="127">
        <f t="shared" si="64"/>
        <v>0</v>
      </c>
      <c r="AU71" s="127">
        <f t="shared" si="65"/>
        <v>0</v>
      </c>
      <c r="AV71" s="127">
        <f t="shared" si="66"/>
        <v>0</v>
      </c>
    </row>
    <row r="72" spans="1:48" x14ac:dyDescent="0.15">
      <c r="A72" s="29" t="s">
        <v>65</v>
      </c>
      <c r="B72" s="30">
        <f>IF(Data!D67=1, MAX(Data!AA67, Inputs!$E$25) + INDEX(Inputs!$D$38:$D$42, MATCH( Data!AD67, Inputs!$B$38:$B$42, 0), 0), MAX(Data!AA67, Inputs!$E$26) +  INDEX(Inputs!$D$38:$D$42, MATCH( Data!AD67, Inputs!$B$38:$B$42, 0), 0))</f>
        <v>0.106943</v>
      </c>
      <c r="C72" s="141">
        <f>(100*Data!R67)</f>
        <v>0</v>
      </c>
      <c r="D72" s="141">
        <f>ROUND(Data!Q67*C72, 0)</f>
        <v>0</v>
      </c>
      <c r="E72" s="141">
        <f>(100*Data!T67)</f>
        <v>400</v>
      </c>
      <c r="F72" s="141">
        <f>E72*Data!S67</f>
        <v>19600</v>
      </c>
      <c r="G72" s="142">
        <f>ROUND(Inputs!$E$21*Data!W67*B72, 0)</f>
        <v>274667</v>
      </c>
      <c r="H72" s="143">
        <f>IF(G72=0, 0,IF(Inputs!$E$30="Yes", IF(Data!D67=1, MAX(Outputs!D72+Outputs!F72+Outputs!G72, Data!AE67), Outputs!D72+Outputs!F72+Outputs!G72), Outputs!D72+Outputs!F72+Outputs!G72))</f>
        <v>294267</v>
      </c>
      <c r="I72" s="143">
        <f>INDEX('FY 22 OFA Shell'!$AQ$27:$AQ$195,MATCH(Outputs!A72,'FY 22 OFA Shell'!$I$27:$I$195,0))</f>
        <v>294267</v>
      </c>
      <c r="J72" s="129">
        <f>H72-Data!AT67</f>
        <v>-441989</v>
      </c>
      <c r="K72" s="127">
        <f>((H72)/(Data!AT67)) - 1</f>
        <v>-0.60031972574756609</v>
      </c>
      <c r="L72" s="127">
        <f t="shared" si="67"/>
        <v>0</v>
      </c>
      <c r="M72" s="143">
        <f>(IF(Inputs!$E$30="Yes",INDEX(Data!AT:AT,MATCH(Outputs!A72,Data!A:A,0)),INDEX(Data!AS:AS,MATCH(Outputs!A72,Data!A:A,0))))</f>
        <v>736256</v>
      </c>
      <c r="N72" s="143">
        <f>IF(Inputs!$E$30="Yes",INDEX(Data!BN:BN,MATCH(Outputs!$A72,Data!$A:$A,0)),INDEX(Data!BE:BE,MATCH(Outputs!$A72,Data!$A:$A,0)))</f>
        <v>736256</v>
      </c>
      <c r="O72" s="143">
        <f>IF(Inputs!$E$30="Yes",INDEX(Data!BO:BO,MATCH(Outputs!$A72,Data!$A:$A,0)),INDEX(Data!BF:BF,MATCH(Outputs!$A72,Data!$A:$A,0)))</f>
        <v>683859.38370000001</v>
      </c>
      <c r="P72" s="143">
        <f>IF(Inputs!$E$30="Yes",INDEX(Data!BP:BP,MATCH(Outputs!$A72,Data!$A:$A,0)),INDEX(Data!BG:BG,MATCH(Outputs!$A72,Data!$A:$A,0)))</f>
        <v>631462.76740000001</v>
      </c>
      <c r="Q72" s="143">
        <f>IF(Inputs!$E$30="Yes",INDEX(Data!BQ:BQ,MATCH(Outputs!$A72,Data!$A:$A,0)),INDEX(Data!BH:BH,MATCH(Outputs!$A72,Data!$A:$A,0)))</f>
        <v>579066.15110000002</v>
      </c>
      <c r="R72" s="143">
        <f>IF(Inputs!$E$30="Yes",INDEX(Data!BR:BR,MATCH(Outputs!$A72,Data!$A:$A,0)),INDEX(Data!BI:BI,MATCH(Outputs!$A72,Data!$A:$A,0)))</f>
        <v>526669.53480000002</v>
      </c>
      <c r="S72" s="143">
        <f>IF(Inputs!$E$30="Yes",INDEX(Data!BS:BS,MATCH(Outputs!$A72,Data!$A:$A,0)),INDEX(Data!BJ:BJ,MATCH(Outputs!$A72,Data!$A:$A,0)))</f>
        <v>474272.91850000003</v>
      </c>
      <c r="T72" s="143">
        <f>IF(Inputs!$E$30="Yes",INDEX(Data!BT:BT,MATCH(Outputs!$A72,Data!$A:$A,0)),INDEX(Data!BK:BK,MATCH(Outputs!$A72,Data!$A:$A,0)))</f>
        <v>421876.30220000003</v>
      </c>
      <c r="U72" s="143">
        <f>IF(Inputs!$E$30="Yes",INDEX(Data!BU:BU,MATCH(Outputs!$A72,Data!$A:$A,0)),INDEX(Data!BL:BL,MATCH(Outputs!$A72,Data!$A:$A,0)))</f>
        <v>294267</v>
      </c>
      <c r="V72" s="143">
        <f>INDEX('FY 22 OFA Shell'!$AX$27:$AX$195,MATCH(Outputs!A72,'FY 22 OFA Shell'!$I$27:$I$195,0))</f>
        <v>736256</v>
      </c>
      <c r="W72" s="143">
        <f>INDEX('FY 23 OFA Shell'!$AX$27:$AX$195,MATCH(Outputs!A72,'FY 23 OFA Shell'!$I$27:$I$195,0))</f>
        <v>736256</v>
      </c>
      <c r="X72" s="143">
        <f>INDEX('FY 23 OFA Shell'!BK$27:BK$195,MATCH(Outputs!$A72,'FY 23 OFA Shell'!$I$27:$I$195,0))</f>
        <v>683859.38370000001</v>
      </c>
      <c r="Y72" s="143">
        <f>INDEX('FY 23 OFA Shell'!BL$27:BL$195,MATCH(Outputs!$A72,'FY 23 OFA Shell'!$I$27:$I$195,0))</f>
        <v>631462.76740000001</v>
      </c>
      <c r="Z72" s="143">
        <f>INDEX('FY 23 OFA Shell'!BM$27:BM$195,MATCH(Outputs!$A72,'FY 23 OFA Shell'!$I$27:$I$195,0))</f>
        <v>579066.15110000002</v>
      </c>
      <c r="AA72" s="143">
        <f>INDEX('FY 23 OFA Shell'!BN$27:BN$195,MATCH(Outputs!$A72,'FY 23 OFA Shell'!$I$27:$I$195,0))</f>
        <v>526669.53480000002</v>
      </c>
      <c r="AB72" s="143">
        <f>INDEX('FY 23 OFA Shell'!BO$27:BO$195,MATCH(Outputs!$A72,'FY 23 OFA Shell'!$I$27:$I$195,0))</f>
        <v>474272.91850000003</v>
      </c>
      <c r="AC72" s="143">
        <f>INDEX('FY 23 OFA Shell'!BP$27:BP$195,MATCH(Outputs!$A72,'FY 23 OFA Shell'!$I$27:$I$195,0))</f>
        <v>421876.30220000003</v>
      </c>
      <c r="AD72" s="143">
        <f>INDEX('FY 23 OFA Shell'!BQ$27:BQ$195,MATCH(Outputs!$A72,'FY 23 OFA Shell'!$I$27:$I$195,0))</f>
        <v>294267</v>
      </c>
      <c r="AE72" s="129">
        <f t="shared" si="49"/>
        <v>0</v>
      </c>
      <c r="AF72" s="129">
        <f t="shared" si="50"/>
        <v>0</v>
      </c>
      <c r="AG72" s="129">
        <f t="shared" si="51"/>
        <v>0</v>
      </c>
      <c r="AH72" s="129">
        <f t="shared" si="52"/>
        <v>0</v>
      </c>
      <c r="AI72" s="129">
        <f t="shared" si="53"/>
        <v>0</v>
      </c>
      <c r="AJ72" s="129">
        <f t="shared" si="54"/>
        <v>0</v>
      </c>
      <c r="AK72" s="129">
        <f t="shared" si="55"/>
        <v>0</v>
      </c>
      <c r="AL72" s="129">
        <f t="shared" si="56"/>
        <v>0</v>
      </c>
      <c r="AM72" s="129">
        <f t="shared" si="57"/>
        <v>0</v>
      </c>
      <c r="AN72" s="127">
        <f t="shared" si="58"/>
        <v>0</v>
      </c>
      <c r="AO72" s="127">
        <f t="shared" si="59"/>
        <v>0</v>
      </c>
      <c r="AP72" s="127">
        <f t="shared" si="60"/>
        <v>0</v>
      </c>
      <c r="AQ72" s="127">
        <f t="shared" si="61"/>
        <v>0</v>
      </c>
      <c r="AR72" s="127">
        <f t="shared" si="62"/>
        <v>0</v>
      </c>
      <c r="AS72" s="127">
        <f t="shared" si="63"/>
        <v>0</v>
      </c>
      <c r="AT72" s="127">
        <f t="shared" si="64"/>
        <v>0</v>
      </c>
      <c r="AU72" s="127">
        <f t="shared" si="65"/>
        <v>0</v>
      </c>
      <c r="AV72" s="127">
        <f t="shared" si="66"/>
        <v>0</v>
      </c>
    </row>
    <row r="73" spans="1:48" x14ac:dyDescent="0.15">
      <c r="A73" s="29" t="s">
        <v>66</v>
      </c>
      <c r="B73" s="30">
        <f>IF(Data!D68=1, MAX(Data!AA68, Inputs!$E$25) + INDEX(Inputs!$D$38:$D$42, MATCH( Data!AD68, Inputs!$B$38:$B$42, 0), 0), MAX(Data!AA68, Inputs!$E$26) +  INDEX(Inputs!$D$38:$D$42, MATCH( Data!AD68, Inputs!$B$38:$B$42, 0), 0))</f>
        <v>6.8029000000000006E-2</v>
      </c>
      <c r="C73" s="141">
        <f>(100*Data!R68)</f>
        <v>0</v>
      </c>
      <c r="D73" s="141">
        <f>ROUND(Data!Q68*C73, 0)</f>
        <v>0</v>
      </c>
      <c r="E73" s="141">
        <f>(100*Data!T68)</f>
        <v>0</v>
      </c>
      <c r="F73" s="141">
        <f>E73*Data!S68</f>
        <v>0</v>
      </c>
      <c r="G73" s="142">
        <f>ROUND(Inputs!$E$21*Data!W68*B73, 0)</f>
        <v>4777834</v>
      </c>
      <c r="H73" s="143">
        <f>IF(G73=0, 0,IF(Inputs!$E$30="Yes", IF(Data!D68=1, MAX(Outputs!D73+Outputs!F73+Outputs!G73, Data!AE68), Outputs!D73+Outputs!F73+Outputs!G73), Outputs!D73+Outputs!F73+Outputs!G73))</f>
        <v>4777834</v>
      </c>
      <c r="I73" s="143">
        <f>INDEX('FY 22 OFA Shell'!$AQ$27:$AQ$195,MATCH(Outputs!A73,'FY 22 OFA Shell'!$I$27:$I$195,0))</f>
        <v>4777834</v>
      </c>
      <c r="J73" s="129">
        <f>H73-Data!AT68</f>
        <v>-601421</v>
      </c>
      <c r="K73" s="127">
        <f>((H73)/(Data!AT68)) - 1</f>
        <v>-0.11180377208368075</v>
      </c>
      <c r="L73" s="127">
        <f t="shared" si="67"/>
        <v>0</v>
      </c>
      <c r="M73" s="143">
        <f>(IF(Inputs!$E$30="Yes",INDEX(Data!AT:AT,MATCH(Outputs!A73,Data!A:A,0)),INDEX(Data!AS:AS,MATCH(Outputs!A73,Data!A:A,0))))</f>
        <v>5379255</v>
      </c>
      <c r="N73" s="143">
        <f>IF(Inputs!$E$30="Yes",INDEX(Data!BN:BN,MATCH(Outputs!$A73,Data!$A:$A,0)),INDEX(Data!BE:BE,MATCH(Outputs!$A73,Data!$A:$A,0)))</f>
        <v>5379255</v>
      </c>
      <c r="O73" s="143">
        <f>IF(Inputs!$E$30="Yes",INDEX(Data!BO:BO,MATCH(Outputs!$A73,Data!$A:$A,0)),INDEX(Data!BF:BF,MATCH(Outputs!$A73,Data!$A:$A,0)))</f>
        <v>5222938.7182</v>
      </c>
      <c r="P73" s="143">
        <f>IF(Inputs!$E$30="Yes",INDEX(Data!BP:BP,MATCH(Outputs!$A73,Data!$A:$A,0)),INDEX(Data!BG:BG,MATCH(Outputs!$A73,Data!$A:$A,0)))</f>
        <v>5066622.4364</v>
      </c>
      <c r="Q73" s="143">
        <f>IF(Inputs!$E$30="Yes",INDEX(Data!BQ:BQ,MATCH(Outputs!$A73,Data!$A:$A,0)),INDEX(Data!BH:BH,MATCH(Outputs!$A73,Data!$A:$A,0)))</f>
        <v>4910306.1546</v>
      </c>
      <c r="R73" s="143">
        <f>IF(Inputs!$E$30="Yes",INDEX(Data!BR:BR,MATCH(Outputs!$A73,Data!$A:$A,0)),INDEX(Data!BI:BI,MATCH(Outputs!$A73,Data!$A:$A,0)))</f>
        <v>4753989.8728</v>
      </c>
      <c r="S73" s="143">
        <f>IF(Inputs!$E$30="Yes",INDEX(Data!BS:BS,MATCH(Outputs!$A73,Data!$A:$A,0)),INDEX(Data!BJ:BJ,MATCH(Outputs!$A73,Data!$A:$A,0)))</f>
        <v>4597673.591</v>
      </c>
      <c r="T73" s="143">
        <f>IF(Inputs!$E$30="Yes",INDEX(Data!BT:BT,MATCH(Outputs!$A73,Data!$A:$A,0)),INDEX(Data!BK:BK,MATCH(Outputs!$A73,Data!$A:$A,0)))</f>
        <v>4441357.3092</v>
      </c>
      <c r="U73" s="143">
        <f>IF(Inputs!$E$30="Yes",INDEX(Data!BU:BU,MATCH(Outputs!$A73,Data!$A:$A,0)),INDEX(Data!BL:BL,MATCH(Outputs!$A73,Data!$A:$A,0)))</f>
        <v>4777834</v>
      </c>
      <c r="V73" s="143">
        <f>INDEX('FY 22 OFA Shell'!$AX$27:$AX$195,MATCH(Outputs!A73,'FY 22 OFA Shell'!$I$27:$I$195,0))</f>
        <v>5379255</v>
      </c>
      <c r="W73" s="143">
        <f>INDEX('FY 23 OFA Shell'!$AX$27:$AX$195,MATCH(Outputs!A73,'FY 23 OFA Shell'!$I$27:$I$195,0))</f>
        <v>5379255</v>
      </c>
      <c r="X73" s="143">
        <f>INDEX('FY 23 OFA Shell'!BK$27:BK$195,MATCH(Outputs!$A73,'FY 23 OFA Shell'!$I$27:$I$195,0))</f>
        <v>5222938.7182</v>
      </c>
      <c r="Y73" s="143">
        <f>INDEX('FY 23 OFA Shell'!BL$27:BL$195,MATCH(Outputs!$A73,'FY 23 OFA Shell'!$I$27:$I$195,0))</f>
        <v>5066622.4364</v>
      </c>
      <c r="Z73" s="143">
        <f>INDEX('FY 23 OFA Shell'!BM$27:BM$195,MATCH(Outputs!$A73,'FY 23 OFA Shell'!$I$27:$I$195,0))</f>
        <v>4910306.1546</v>
      </c>
      <c r="AA73" s="143">
        <f>INDEX('FY 23 OFA Shell'!BN$27:BN$195,MATCH(Outputs!$A73,'FY 23 OFA Shell'!$I$27:$I$195,0))</f>
        <v>4753989.8728</v>
      </c>
      <c r="AB73" s="143">
        <f>INDEX('FY 23 OFA Shell'!BO$27:BO$195,MATCH(Outputs!$A73,'FY 23 OFA Shell'!$I$27:$I$195,0))</f>
        <v>4597673.591</v>
      </c>
      <c r="AC73" s="143">
        <f>INDEX('FY 23 OFA Shell'!BP$27:BP$195,MATCH(Outputs!$A73,'FY 23 OFA Shell'!$I$27:$I$195,0))</f>
        <v>4441357.3092</v>
      </c>
      <c r="AD73" s="143">
        <f>INDEX('FY 23 OFA Shell'!BQ$27:BQ$195,MATCH(Outputs!$A73,'FY 23 OFA Shell'!$I$27:$I$195,0))</f>
        <v>4777834</v>
      </c>
      <c r="AE73" s="129">
        <f t="shared" si="49"/>
        <v>0</v>
      </c>
      <c r="AF73" s="129">
        <f t="shared" si="50"/>
        <v>0</v>
      </c>
      <c r="AG73" s="129">
        <f t="shared" si="51"/>
        <v>0</v>
      </c>
      <c r="AH73" s="129">
        <f t="shared" si="52"/>
        <v>0</v>
      </c>
      <c r="AI73" s="129">
        <f t="shared" si="53"/>
        <v>0</v>
      </c>
      <c r="AJ73" s="129">
        <f t="shared" si="54"/>
        <v>0</v>
      </c>
      <c r="AK73" s="129">
        <f t="shared" si="55"/>
        <v>0</v>
      </c>
      <c r="AL73" s="129">
        <f t="shared" si="56"/>
        <v>0</v>
      </c>
      <c r="AM73" s="129">
        <f t="shared" si="57"/>
        <v>0</v>
      </c>
      <c r="AN73" s="127">
        <f t="shared" si="58"/>
        <v>0</v>
      </c>
      <c r="AO73" s="127">
        <f t="shared" si="59"/>
        <v>0</v>
      </c>
      <c r="AP73" s="127">
        <f t="shared" si="60"/>
        <v>0</v>
      </c>
      <c r="AQ73" s="127">
        <f t="shared" si="61"/>
        <v>0</v>
      </c>
      <c r="AR73" s="127">
        <f t="shared" si="62"/>
        <v>0</v>
      </c>
      <c r="AS73" s="127">
        <f t="shared" si="63"/>
        <v>0</v>
      </c>
      <c r="AT73" s="127">
        <f t="shared" si="64"/>
        <v>0</v>
      </c>
      <c r="AU73" s="127">
        <f t="shared" si="65"/>
        <v>0</v>
      </c>
      <c r="AV73" s="127">
        <f t="shared" si="66"/>
        <v>0</v>
      </c>
    </row>
    <row r="74" spans="1:48" x14ac:dyDescent="0.15">
      <c r="A74" s="29" t="s">
        <v>67</v>
      </c>
      <c r="B74" s="30">
        <f>IF(Data!D69=1, MAX(Data!AA69, Inputs!$E$25) + INDEX(Inputs!$D$38:$D$42, MATCH( Data!AD69, Inputs!$B$38:$B$42, 0), 0), MAX(Data!AA69, Inputs!$E$26) +  INDEX(Inputs!$D$38:$D$42, MATCH( Data!AD69, Inputs!$B$38:$B$42, 0), 0))</f>
        <v>0.01</v>
      </c>
      <c r="C74" s="141">
        <f>(100*Data!R69)</f>
        <v>1300</v>
      </c>
      <c r="D74" s="141">
        <f>ROUND(Data!Q69*C74, 0)</f>
        <v>443300</v>
      </c>
      <c r="E74" s="141">
        <f>(100*Data!T69)</f>
        <v>0</v>
      </c>
      <c r="F74" s="141">
        <f>E74*Data!S69</f>
        <v>0</v>
      </c>
      <c r="G74" s="142">
        <f>ROUND(Inputs!$E$21*Data!W69*B74, 0)</f>
        <v>40901</v>
      </c>
      <c r="H74" s="143">
        <f>IF(G74=0, 0,IF(Inputs!$E$30="Yes", IF(Data!D69=1, MAX(Outputs!D74+Outputs!F74+Outputs!G74, Data!AE69), Outputs!D74+Outputs!F74+Outputs!G74), Outputs!D74+Outputs!F74+Outputs!G74))</f>
        <v>484201</v>
      </c>
      <c r="I74" s="143">
        <f>INDEX('FY 22 OFA Shell'!$AQ$27:$AQ$195,MATCH(Outputs!A74,'FY 22 OFA Shell'!$I$27:$I$195,0))</f>
        <v>484201</v>
      </c>
      <c r="J74" s="129">
        <f>H74-Data!AT69</f>
        <v>361167.03839999996</v>
      </c>
      <c r="K74" s="127">
        <f>((H74)/(Data!AT69)) - 1</f>
        <v>2.9355068608958779</v>
      </c>
      <c r="L74" s="127">
        <f t="shared" si="67"/>
        <v>0</v>
      </c>
      <c r="M74" s="143">
        <f>(IF(Inputs!$E$30="Yes",INDEX(Data!AT:AT,MATCH(Outputs!A74,Data!A:A,0)),INDEX(Data!AS:AS,MATCH(Outputs!A74,Data!A:A,0))))</f>
        <v>123033.96160000001</v>
      </c>
      <c r="N74" s="143">
        <f>IF(Inputs!$E$30="Yes",INDEX(Data!BN:BN,MATCH(Outputs!$A74,Data!$A:$A,0)),INDEX(Data!BE:BE,MATCH(Outputs!$A74,Data!$A:$A,0)))</f>
        <v>165905.92320000002</v>
      </c>
      <c r="O74" s="143">
        <f>IF(Inputs!$E$30="Yes",INDEX(Data!BO:BO,MATCH(Outputs!$A74,Data!$A:$A,0)),INDEX(Data!BF:BF,MATCH(Outputs!$A74,Data!$A:$A,0)))</f>
        <v>208777.88480000003</v>
      </c>
      <c r="P74" s="143">
        <f>IF(Inputs!$E$30="Yes",INDEX(Data!BP:BP,MATCH(Outputs!$A74,Data!$A:$A,0)),INDEX(Data!BG:BG,MATCH(Outputs!$A74,Data!$A:$A,0)))</f>
        <v>251649.84640000004</v>
      </c>
      <c r="Q74" s="143">
        <f>IF(Inputs!$E$30="Yes",INDEX(Data!BQ:BQ,MATCH(Outputs!$A74,Data!$A:$A,0)),INDEX(Data!BH:BH,MATCH(Outputs!$A74,Data!$A:$A,0)))</f>
        <v>294521.80800000002</v>
      </c>
      <c r="R74" s="143">
        <f>IF(Inputs!$E$30="Yes",INDEX(Data!BR:BR,MATCH(Outputs!$A74,Data!$A:$A,0)),INDEX(Data!BI:BI,MATCH(Outputs!$A74,Data!$A:$A,0)))</f>
        <v>337393.7696</v>
      </c>
      <c r="S74" s="143">
        <f>IF(Inputs!$E$30="Yes",INDEX(Data!BS:BS,MATCH(Outputs!$A74,Data!$A:$A,0)),INDEX(Data!BJ:BJ,MATCH(Outputs!$A74,Data!$A:$A,0)))</f>
        <v>484201</v>
      </c>
      <c r="T74" s="143">
        <f>IF(Inputs!$E$30="Yes",INDEX(Data!BT:BT,MATCH(Outputs!$A74,Data!$A:$A,0)),INDEX(Data!BK:BK,MATCH(Outputs!$A74,Data!$A:$A,0)))</f>
        <v>484201</v>
      </c>
      <c r="U74" s="143">
        <f>IF(Inputs!$E$30="Yes",INDEX(Data!BU:BU,MATCH(Outputs!$A74,Data!$A:$A,0)),INDEX(Data!BL:BL,MATCH(Outputs!$A74,Data!$A:$A,0)))</f>
        <v>484201</v>
      </c>
      <c r="V74" s="143">
        <f>INDEX('FY 22 OFA Shell'!$AX$27:$AX$195,MATCH(Outputs!A74,'FY 22 OFA Shell'!$I$27:$I$195,0))</f>
        <v>123033.96160000001</v>
      </c>
      <c r="W74" s="143">
        <f>INDEX('FY 23 OFA Shell'!$AX$27:$AX$195,MATCH(Outputs!A74,'FY 23 OFA Shell'!$I$27:$I$195,0))</f>
        <v>165905.92320000002</v>
      </c>
      <c r="X74" s="143">
        <f>INDEX('FY 23 OFA Shell'!BK$27:BK$195,MATCH(Outputs!$A74,'FY 23 OFA Shell'!$I$27:$I$195,0))</f>
        <v>208777.88480000003</v>
      </c>
      <c r="Y74" s="143">
        <f>INDEX('FY 23 OFA Shell'!BL$27:BL$195,MATCH(Outputs!$A74,'FY 23 OFA Shell'!$I$27:$I$195,0))</f>
        <v>251649.84640000004</v>
      </c>
      <c r="Z74" s="143">
        <f>INDEX('FY 23 OFA Shell'!BM$27:BM$195,MATCH(Outputs!$A74,'FY 23 OFA Shell'!$I$27:$I$195,0))</f>
        <v>294521.80800000002</v>
      </c>
      <c r="AA74" s="143">
        <f>INDEX('FY 23 OFA Shell'!BN$27:BN$195,MATCH(Outputs!$A74,'FY 23 OFA Shell'!$I$27:$I$195,0))</f>
        <v>337393.7696</v>
      </c>
      <c r="AB74" s="143">
        <f>INDEX('FY 23 OFA Shell'!BO$27:BO$195,MATCH(Outputs!$A74,'FY 23 OFA Shell'!$I$27:$I$195,0))</f>
        <v>484201</v>
      </c>
      <c r="AC74" s="143">
        <f>INDEX('FY 23 OFA Shell'!BP$27:BP$195,MATCH(Outputs!$A74,'FY 23 OFA Shell'!$I$27:$I$195,0))</f>
        <v>484201</v>
      </c>
      <c r="AD74" s="143">
        <f>INDEX('FY 23 OFA Shell'!BQ$27:BQ$195,MATCH(Outputs!$A74,'FY 23 OFA Shell'!$I$27:$I$195,0))</f>
        <v>484201</v>
      </c>
      <c r="AE74" s="129">
        <f t="shared" si="49"/>
        <v>0</v>
      </c>
      <c r="AF74" s="129">
        <f t="shared" si="50"/>
        <v>0</v>
      </c>
      <c r="AG74" s="129">
        <f t="shared" si="51"/>
        <v>0</v>
      </c>
      <c r="AH74" s="129">
        <f t="shared" si="52"/>
        <v>0</v>
      </c>
      <c r="AI74" s="129">
        <f t="shared" si="53"/>
        <v>0</v>
      </c>
      <c r="AJ74" s="129">
        <f t="shared" si="54"/>
        <v>0</v>
      </c>
      <c r="AK74" s="129">
        <f t="shared" si="55"/>
        <v>0</v>
      </c>
      <c r="AL74" s="129">
        <f t="shared" si="56"/>
        <v>0</v>
      </c>
      <c r="AM74" s="129">
        <f t="shared" si="57"/>
        <v>0</v>
      </c>
      <c r="AN74" s="127">
        <f t="shared" si="58"/>
        <v>0</v>
      </c>
      <c r="AO74" s="127">
        <f t="shared" si="59"/>
        <v>0</v>
      </c>
      <c r="AP74" s="127">
        <f t="shared" si="60"/>
        <v>0</v>
      </c>
      <c r="AQ74" s="127">
        <f t="shared" si="61"/>
        <v>0</v>
      </c>
      <c r="AR74" s="127">
        <f t="shared" si="62"/>
        <v>0</v>
      </c>
      <c r="AS74" s="127">
        <f t="shared" si="63"/>
        <v>0</v>
      </c>
      <c r="AT74" s="127">
        <f t="shared" si="64"/>
        <v>0</v>
      </c>
      <c r="AU74" s="127">
        <f t="shared" si="65"/>
        <v>0</v>
      </c>
      <c r="AV74" s="127">
        <f t="shared" si="66"/>
        <v>0</v>
      </c>
    </row>
    <row r="75" spans="1:48" x14ac:dyDescent="0.15">
      <c r="A75" s="29" t="s">
        <v>68</v>
      </c>
      <c r="B75" s="30">
        <f>IF(Data!D70=1, MAX(Data!AA70, Inputs!$E$25) + INDEX(Inputs!$D$38:$D$42, MATCH( Data!AD70, Inputs!$B$38:$B$42, 0), 0), MAX(Data!AA70, Inputs!$E$26) +  INDEX(Inputs!$D$38:$D$42, MATCH( Data!AD70, Inputs!$B$38:$B$42, 0), 0))</f>
        <v>0.22311500000000001</v>
      </c>
      <c r="C75" s="141">
        <f>(100*Data!R70)</f>
        <v>0</v>
      </c>
      <c r="D75" s="141">
        <f>ROUND(Data!Q70*C75, 0)</f>
        <v>0</v>
      </c>
      <c r="E75" s="141">
        <f>(100*Data!T70)</f>
        <v>0</v>
      </c>
      <c r="F75" s="141">
        <f>E75*Data!S70</f>
        <v>0</v>
      </c>
      <c r="G75" s="142">
        <f>ROUND(Inputs!$E$21*Data!W70*B75, 0)</f>
        <v>4485808</v>
      </c>
      <c r="H75" s="143">
        <f>IF(G75=0, 0,IF(Inputs!$E$30="Yes", IF(Data!D70=1, MAX(Outputs!D75+Outputs!F75+Outputs!G75, Data!AE70), Outputs!D75+Outputs!F75+Outputs!G75), Outputs!D75+Outputs!F75+Outputs!G75))</f>
        <v>4485808</v>
      </c>
      <c r="I75" s="143">
        <f>INDEX('FY 22 OFA Shell'!$AQ$27:$AQ$195,MATCH(Outputs!A75,'FY 22 OFA Shell'!$I$27:$I$195,0))</f>
        <v>4485808</v>
      </c>
      <c r="J75" s="129">
        <f>H75-Data!AT70</f>
        <v>-792506</v>
      </c>
      <c r="K75" s="127">
        <f>((H75)/(Data!AT70)) - 1</f>
        <v>-0.15014377697120707</v>
      </c>
      <c r="L75" s="127">
        <f t="shared" si="67"/>
        <v>0</v>
      </c>
      <c r="M75" s="143">
        <f>(IF(Inputs!$E$30="Yes",INDEX(Data!AT:AT,MATCH(Outputs!A75,Data!A:A,0)),INDEX(Data!AS:AS,MATCH(Outputs!A75,Data!A:A,0))))</f>
        <v>5278314</v>
      </c>
      <c r="N75" s="143">
        <f>IF(Inputs!$E$30="Yes",INDEX(Data!BN:BN,MATCH(Outputs!$A75,Data!$A:$A,0)),INDEX(Data!BE:BE,MATCH(Outputs!$A75,Data!$A:$A,0)))</f>
        <v>5278314</v>
      </c>
      <c r="O75" s="143">
        <f>IF(Inputs!$E$30="Yes",INDEX(Data!BO:BO,MATCH(Outputs!$A75,Data!$A:$A,0)),INDEX(Data!BF:BF,MATCH(Outputs!$A75,Data!$A:$A,0)))</f>
        <v>5192980.4803999998</v>
      </c>
      <c r="P75" s="143">
        <f>IF(Inputs!$E$30="Yes",INDEX(Data!BP:BP,MATCH(Outputs!$A75,Data!$A:$A,0)),INDEX(Data!BG:BG,MATCH(Outputs!$A75,Data!$A:$A,0)))</f>
        <v>5107646.9607999995</v>
      </c>
      <c r="Q75" s="143">
        <f>IF(Inputs!$E$30="Yes",INDEX(Data!BQ:BQ,MATCH(Outputs!$A75,Data!$A:$A,0)),INDEX(Data!BH:BH,MATCH(Outputs!$A75,Data!$A:$A,0)))</f>
        <v>5022313.4411999993</v>
      </c>
      <c r="R75" s="143">
        <f>IF(Inputs!$E$30="Yes",INDEX(Data!BR:BR,MATCH(Outputs!$A75,Data!$A:$A,0)),INDEX(Data!BI:BI,MATCH(Outputs!$A75,Data!$A:$A,0)))</f>
        <v>4936979.9215999991</v>
      </c>
      <c r="S75" s="143">
        <f>IF(Inputs!$E$30="Yes",INDEX(Data!BS:BS,MATCH(Outputs!$A75,Data!$A:$A,0)),INDEX(Data!BJ:BJ,MATCH(Outputs!$A75,Data!$A:$A,0)))</f>
        <v>4851646.4019999988</v>
      </c>
      <c r="T75" s="143">
        <f>IF(Inputs!$E$30="Yes",INDEX(Data!BT:BT,MATCH(Outputs!$A75,Data!$A:$A,0)),INDEX(Data!BK:BK,MATCH(Outputs!$A75,Data!$A:$A,0)))</f>
        <v>4766312.8823999986</v>
      </c>
      <c r="U75" s="143">
        <f>IF(Inputs!$E$30="Yes",INDEX(Data!BU:BU,MATCH(Outputs!$A75,Data!$A:$A,0)),INDEX(Data!BL:BL,MATCH(Outputs!$A75,Data!$A:$A,0)))</f>
        <v>4485808</v>
      </c>
      <c r="V75" s="143">
        <f>INDEX('FY 22 OFA Shell'!$AX$27:$AX$195,MATCH(Outputs!A75,'FY 22 OFA Shell'!$I$27:$I$195,0))</f>
        <v>5278314</v>
      </c>
      <c r="W75" s="143">
        <f>INDEX('FY 23 OFA Shell'!$AX$27:$AX$195,MATCH(Outputs!A75,'FY 23 OFA Shell'!$I$27:$I$195,0))</f>
        <v>5278314</v>
      </c>
      <c r="X75" s="143">
        <f>INDEX('FY 23 OFA Shell'!BK$27:BK$195,MATCH(Outputs!$A75,'FY 23 OFA Shell'!$I$27:$I$195,0))</f>
        <v>5192980.4803999998</v>
      </c>
      <c r="Y75" s="143">
        <f>INDEX('FY 23 OFA Shell'!BL$27:BL$195,MATCH(Outputs!$A75,'FY 23 OFA Shell'!$I$27:$I$195,0))</f>
        <v>5107646.9607999995</v>
      </c>
      <c r="Z75" s="143">
        <f>INDEX('FY 23 OFA Shell'!BM$27:BM$195,MATCH(Outputs!$A75,'FY 23 OFA Shell'!$I$27:$I$195,0))</f>
        <v>5022313.4411999993</v>
      </c>
      <c r="AA75" s="143">
        <f>INDEX('FY 23 OFA Shell'!BN$27:BN$195,MATCH(Outputs!$A75,'FY 23 OFA Shell'!$I$27:$I$195,0))</f>
        <v>4936979.9215999991</v>
      </c>
      <c r="AB75" s="143">
        <f>INDEX('FY 23 OFA Shell'!BO$27:BO$195,MATCH(Outputs!$A75,'FY 23 OFA Shell'!$I$27:$I$195,0))</f>
        <v>4851646.4019999988</v>
      </c>
      <c r="AC75" s="143">
        <f>INDEX('FY 23 OFA Shell'!BP$27:BP$195,MATCH(Outputs!$A75,'FY 23 OFA Shell'!$I$27:$I$195,0))</f>
        <v>4766312.8823999986</v>
      </c>
      <c r="AD75" s="143">
        <f>INDEX('FY 23 OFA Shell'!BQ$27:BQ$195,MATCH(Outputs!$A75,'FY 23 OFA Shell'!$I$27:$I$195,0))</f>
        <v>4485808</v>
      </c>
      <c r="AE75" s="129">
        <f t="shared" si="49"/>
        <v>0</v>
      </c>
      <c r="AF75" s="129">
        <f t="shared" si="50"/>
        <v>0</v>
      </c>
      <c r="AG75" s="129">
        <f t="shared" si="51"/>
        <v>0</v>
      </c>
      <c r="AH75" s="129">
        <f t="shared" si="52"/>
        <v>0</v>
      </c>
      <c r="AI75" s="129">
        <f t="shared" si="53"/>
        <v>0</v>
      </c>
      <c r="AJ75" s="129">
        <f t="shared" si="54"/>
        <v>0</v>
      </c>
      <c r="AK75" s="129">
        <f t="shared" si="55"/>
        <v>0</v>
      </c>
      <c r="AL75" s="129">
        <f t="shared" si="56"/>
        <v>0</v>
      </c>
      <c r="AM75" s="129">
        <f t="shared" si="57"/>
        <v>0</v>
      </c>
      <c r="AN75" s="127">
        <f t="shared" si="58"/>
        <v>0</v>
      </c>
      <c r="AO75" s="127">
        <f t="shared" si="59"/>
        <v>0</v>
      </c>
      <c r="AP75" s="127">
        <f t="shared" si="60"/>
        <v>0</v>
      </c>
      <c r="AQ75" s="127">
        <f t="shared" si="61"/>
        <v>0</v>
      </c>
      <c r="AR75" s="127">
        <f t="shared" si="62"/>
        <v>0</v>
      </c>
      <c r="AS75" s="127">
        <f t="shared" si="63"/>
        <v>0</v>
      </c>
      <c r="AT75" s="127">
        <f t="shared" si="64"/>
        <v>0</v>
      </c>
      <c r="AU75" s="127">
        <f t="shared" si="65"/>
        <v>0</v>
      </c>
      <c r="AV75" s="127">
        <f t="shared" si="66"/>
        <v>0</v>
      </c>
    </row>
    <row r="76" spans="1:48" x14ac:dyDescent="0.15">
      <c r="A76" s="29" t="s">
        <v>69</v>
      </c>
      <c r="B76" s="30">
        <f>IF(Data!D71=1, MAX(Data!AA71, Inputs!$E$25) + INDEX(Inputs!$D$38:$D$42, MATCH( Data!AD71, Inputs!$B$38:$B$42, 0), 0), MAX(Data!AA71, Inputs!$E$26) +  INDEX(Inputs!$D$38:$D$42, MATCH( Data!AD71, Inputs!$B$38:$B$42, 0), 0))</f>
        <v>0.01</v>
      </c>
      <c r="C76" s="141">
        <f>(100*Data!R71)</f>
        <v>0</v>
      </c>
      <c r="D76" s="141">
        <f>ROUND(Data!Q71*C76, 0)</f>
        <v>0</v>
      </c>
      <c r="E76" s="141">
        <f>(100*Data!T71)</f>
        <v>0</v>
      </c>
      <c r="F76" s="141">
        <f>E76*Data!S71</f>
        <v>0</v>
      </c>
      <c r="G76" s="142">
        <f>ROUND(Inputs!$E$21*Data!W71*B76, 0)</f>
        <v>1065326</v>
      </c>
      <c r="H76" s="143">
        <f>IF(G76=0, 0,IF(Inputs!$E$30="Yes", IF(Data!D71=1, MAX(Outputs!D76+Outputs!F76+Outputs!G76, Data!AE71), Outputs!D76+Outputs!F76+Outputs!G76), Outputs!D76+Outputs!F76+Outputs!G76))</f>
        <v>1065326</v>
      </c>
      <c r="I76" s="143">
        <f>INDEX('FY 22 OFA Shell'!$AQ$27:$AQ$195,MATCH(Outputs!A76,'FY 22 OFA Shell'!$I$27:$I$195,0))</f>
        <v>1065326</v>
      </c>
      <c r="J76" s="129">
        <f>H76-Data!AT71</f>
        <v>587702.41779999994</v>
      </c>
      <c r="K76" s="127">
        <f>((H76)/(Data!AT71)) - 1</f>
        <v>1.2304719442305627</v>
      </c>
      <c r="L76" s="127">
        <f t="shared" si="67"/>
        <v>0</v>
      </c>
      <c r="M76" s="143">
        <f>(IF(Inputs!$E$30="Yes",INDEX(Data!AT:AT,MATCH(Outputs!A76,Data!A:A,0)),INDEX(Data!AS:AS,MATCH(Outputs!A76,Data!A:A,0))))</f>
        <v>477623.5822</v>
      </c>
      <c r="N76" s="143">
        <f>IF(Inputs!$E$30="Yes",INDEX(Data!BN:BN,MATCH(Outputs!$A76,Data!$A:$A,0)),INDEX(Data!BE:BE,MATCH(Outputs!$A76,Data!$A:$A,0)))</f>
        <v>576598.16440000001</v>
      </c>
      <c r="O76" s="143">
        <f>IF(Inputs!$E$30="Yes",INDEX(Data!BO:BO,MATCH(Outputs!$A76,Data!$A:$A,0)),INDEX(Data!BF:BF,MATCH(Outputs!$A76,Data!$A:$A,0)))</f>
        <v>675572.74659999995</v>
      </c>
      <c r="P76" s="143">
        <f>IF(Inputs!$E$30="Yes",INDEX(Data!BP:BP,MATCH(Outputs!$A76,Data!$A:$A,0)),INDEX(Data!BG:BG,MATCH(Outputs!$A76,Data!$A:$A,0)))</f>
        <v>774547.32880000002</v>
      </c>
      <c r="Q76" s="143">
        <f>IF(Inputs!$E$30="Yes",INDEX(Data!BQ:BQ,MATCH(Outputs!$A76,Data!$A:$A,0)),INDEX(Data!BH:BH,MATCH(Outputs!$A76,Data!$A:$A,0)))</f>
        <v>873521.91100000008</v>
      </c>
      <c r="R76" s="143">
        <f>IF(Inputs!$E$30="Yes",INDEX(Data!BR:BR,MATCH(Outputs!$A76,Data!$A:$A,0)),INDEX(Data!BI:BI,MATCH(Outputs!$A76,Data!$A:$A,0)))</f>
        <v>972496.49320000014</v>
      </c>
      <c r="S76" s="143">
        <f>IF(Inputs!$E$30="Yes",INDEX(Data!BS:BS,MATCH(Outputs!$A76,Data!$A:$A,0)),INDEX(Data!BJ:BJ,MATCH(Outputs!$A76,Data!$A:$A,0)))</f>
        <v>1065326</v>
      </c>
      <c r="T76" s="143">
        <f>IF(Inputs!$E$30="Yes",INDEX(Data!BT:BT,MATCH(Outputs!$A76,Data!$A:$A,0)),INDEX(Data!BK:BK,MATCH(Outputs!$A76,Data!$A:$A,0)))</f>
        <v>1065326</v>
      </c>
      <c r="U76" s="143">
        <f>IF(Inputs!$E$30="Yes",INDEX(Data!BU:BU,MATCH(Outputs!$A76,Data!$A:$A,0)),INDEX(Data!BL:BL,MATCH(Outputs!$A76,Data!$A:$A,0)))</f>
        <v>1065326</v>
      </c>
      <c r="V76" s="143">
        <f>INDEX('FY 22 OFA Shell'!$AX$27:$AX$195,MATCH(Outputs!A76,'FY 22 OFA Shell'!$I$27:$I$195,0))</f>
        <v>477623.5822</v>
      </c>
      <c r="W76" s="143">
        <f>INDEX('FY 23 OFA Shell'!$AX$27:$AX$195,MATCH(Outputs!A76,'FY 23 OFA Shell'!$I$27:$I$195,0))</f>
        <v>576598.16440000001</v>
      </c>
      <c r="X76" s="143">
        <f>INDEX('FY 23 OFA Shell'!BK$27:BK$195,MATCH(Outputs!$A76,'FY 23 OFA Shell'!$I$27:$I$195,0))</f>
        <v>675572.74659999995</v>
      </c>
      <c r="Y76" s="143">
        <f>INDEX('FY 23 OFA Shell'!BL$27:BL$195,MATCH(Outputs!$A76,'FY 23 OFA Shell'!$I$27:$I$195,0))</f>
        <v>774547.32880000002</v>
      </c>
      <c r="Z76" s="143">
        <f>INDEX('FY 23 OFA Shell'!BM$27:BM$195,MATCH(Outputs!$A76,'FY 23 OFA Shell'!$I$27:$I$195,0))</f>
        <v>873521.91100000008</v>
      </c>
      <c r="AA76" s="143">
        <f>INDEX('FY 23 OFA Shell'!BN$27:BN$195,MATCH(Outputs!$A76,'FY 23 OFA Shell'!$I$27:$I$195,0))</f>
        <v>972496.49320000014</v>
      </c>
      <c r="AB76" s="143">
        <f>INDEX('FY 23 OFA Shell'!BO$27:BO$195,MATCH(Outputs!$A76,'FY 23 OFA Shell'!$I$27:$I$195,0))</f>
        <v>1065326</v>
      </c>
      <c r="AC76" s="143">
        <f>INDEX('FY 23 OFA Shell'!BP$27:BP$195,MATCH(Outputs!$A76,'FY 23 OFA Shell'!$I$27:$I$195,0))</f>
        <v>1065326</v>
      </c>
      <c r="AD76" s="143">
        <f>INDEX('FY 23 OFA Shell'!BQ$27:BQ$195,MATCH(Outputs!$A76,'FY 23 OFA Shell'!$I$27:$I$195,0))</f>
        <v>1065326</v>
      </c>
      <c r="AE76" s="129">
        <f t="shared" si="49"/>
        <v>0</v>
      </c>
      <c r="AF76" s="129">
        <f t="shared" si="50"/>
        <v>0</v>
      </c>
      <c r="AG76" s="129">
        <f t="shared" si="51"/>
        <v>0</v>
      </c>
      <c r="AH76" s="129">
        <f t="shared" si="52"/>
        <v>0</v>
      </c>
      <c r="AI76" s="129">
        <f t="shared" si="53"/>
        <v>0</v>
      </c>
      <c r="AJ76" s="129">
        <f t="shared" si="54"/>
        <v>0</v>
      </c>
      <c r="AK76" s="129">
        <f t="shared" si="55"/>
        <v>0</v>
      </c>
      <c r="AL76" s="129">
        <f t="shared" si="56"/>
        <v>0</v>
      </c>
      <c r="AM76" s="129">
        <f t="shared" si="57"/>
        <v>0</v>
      </c>
      <c r="AN76" s="127">
        <f t="shared" si="58"/>
        <v>0</v>
      </c>
      <c r="AO76" s="127">
        <f t="shared" si="59"/>
        <v>0</v>
      </c>
      <c r="AP76" s="127">
        <f t="shared" si="60"/>
        <v>0</v>
      </c>
      <c r="AQ76" s="127">
        <f t="shared" si="61"/>
        <v>0</v>
      </c>
      <c r="AR76" s="127">
        <f t="shared" si="62"/>
        <v>0</v>
      </c>
      <c r="AS76" s="127">
        <f t="shared" si="63"/>
        <v>0</v>
      </c>
      <c r="AT76" s="127">
        <f t="shared" si="64"/>
        <v>0</v>
      </c>
      <c r="AU76" s="127">
        <f t="shared" si="65"/>
        <v>0</v>
      </c>
      <c r="AV76" s="127">
        <f t="shared" si="66"/>
        <v>0</v>
      </c>
    </row>
    <row r="77" spans="1:48" x14ac:dyDescent="0.15">
      <c r="A77" s="29" t="s">
        <v>70</v>
      </c>
      <c r="B77" s="30">
        <f>IF(Data!D72=1, MAX(Data!AA72, Inputs!$E$25) + INDEX(Inputs!$D$38:$D$42, MATCH( Data!AD72, Inputs!$B$38:$B$42, 0), 0), MAX(Data!AA72, Inputs!$E$26) +  INDEX(Inputs!$D$38:$D$42, MATCH( Data!AD72, Inputs!$B$38:$B$42, 0), 0))</f>
        <v>0.51212899999999995</v>
      </c>
      <c r="C77" s="141">
        <f>(100*Data!R72)</f>
        <v>0</v>
      </c>
      <c r="D77" s="141">
        <f>ROUND(Data!Q72*C77, 0)</f>
        <v>0</v>
      </c>
      <c r="E77" s="141">
        <f>(100*Data!T72)</f>
        <v>0</v>
      </c>
      <c r="F77" s="141">
        <f>E77*Data!S72</f>
        <v>0</v>
      </c>
      <c r="G77" s="142">
        <f>ROUND(Inputs!$E$21*Data!W72*B77, 0)</f>
        <v>10552108</v>
      </c>
      <c r="H77" s="143">
        <f>IF(G77=0, 0,IF(Inputs!$E$30="Yes", IF(Data!D72=1, MAX(Outputs!D77+Outputs!F77+Outputs!G77, Data!AE72), Outputs!D77+Outputs!F77+Outputs!G77), Outputs!D77+Outputs!F77+Outputs!G77))</f>
        <v>10552108</v>
      </c>
      <c r="I77" s="143">
        <f>INDEX('FY 22 OFA Shell'!$AQ$27:$AQ$195,MATCH(Outputs!A77,'FY 22 OFA Shell'!$I$27:$I$195,0))</f>
        <v>10552108</v>
      </c>
      <c r="J77" s="129">
        <f>H77-Data!AT72</f>
        <v>-373043</v>
      </c>
      <c r="K77" s="127">
        <f>((H77)/(Data!AT72)) - 1</f>
        <v>-3.414534041680517E-2</v>
      </c>
      <c r="L77" s="127">
        <f t="shared" si="67"/>
        <v>0</v>
      </c>
      <c r="M77" s="143">
        <f>(IF(Inputs!$E$30="Yes",INDEX(Data!AT:AT,MATCH(Outputs!A77,Data!A:A,0)),INDEX(Data!AS:AS,MATCH(Outputs!A77,Data!A:A,0))))</f>
        <v>10925151</v>
      </c>
      <c r="N77" s="143">
        <f>IF(Inputs!$E$30="Yes",INDEX(Data!BN:BN,MATCH(Outputs!$A77,Data!$A:$A,0)),INDEX(Data!BE:BE,MATCH(Outputs!$A77,Data!$A:$A,0)))</f>
        <v>10925151</v>
      </c>
      <c r="O77" s="143">
        <f>IF(Inputs!$E$30="Yes",INDEX(Data!BO:BO,MATCH(Outputs!$A77,Data!$A:$A,0)),INDEX(Data!BF:BF,MATCH(Outputs!$A77,Data!$A:$A,0)))</f>
        <v>10906520.2053</v>
      </c>
      <c r="P77" s="143">
        <f>IF(Inputs!$E$30="Yes",INDEX(Data!BP:BP,MATCH(Outputs!$A77,Data!$A:$A,0)),INDEX(Data!BG:BG,MATCH(Outputs!$A77,Data!$A:$A,0)))</f>
        <v>10887889.410599999</v>
      </c>
      <c r="Q77" s="143">
        <f>IF(Inputs!$E$30="Yes",INDEX(Data!BQ:BQ,MATCH(Outputs!$A77,Data!$A:$A,0)),INDEX(Data!BH:BH,MATCH(Outputs!$A77,Data!$A:$A,0)))</f>
        <v>10869258.615899999</v>
      </c>
      <c r="R77" s="143">
        <f>IF(Inputs!$E$30="Yes",INDEX(Data!BR:BR,MATCH(Outputs!$A77,Data!$A:$A,0)),INDEX(Data!BI:BI,MATCH(Outputs!$A77,Data!$A:$A,0)))</f>
        <v>10850627.821199998</v>
      </c>
      <c r="S77" s="143">
        <f>IF(Inputs!$E$30="Yes",INDEX(Data!BS:BS,MATCH(Outputs!$A77,Data!$A:$A,0)),INDEX(Data!BJ:BJ,MATCH(Outputs!$A77,Data!$A:$A,0)))</f>
        <v>10831997.026499998</v>
      </c>
      <c r="T77" s="143">
        <f>IF(Inputs!$E$30="Yes",INDEX(Data!BT:BT,MATCH(Outputs!$A77,Data!$A:$A,0)),INDEX(Data!BK:BK,MATCH(Outputs!$A77,Data!$A:$A,0)))</f>
        <v>10813366.231799997</v>
      </c>
      <c r="U77" s="143">
        <f>IF(Inputs!$E$30="Yes",INDEX(Data!BU:BU,MATCH(Outputs!$A77,Data!$A:$A,0)),INDEX(Data!BL:BL,MATCH(Outputs!$A77,Data!$A:$A,0)))</f>
        <v>10552108</v>
      </c>
      <c r="V77" s="143">
        <f>INDEX('FY 22 OFA Shell'!$AX$27:$AX$195,MATCH(Outputs!A77,'FY 22 OFA Shell'!$I$27:$I$195,0))</f>
        <v>10925151</v>
      </c>
      <c r="W77" s="143">
        <f>INDEX('FY 23 OFA Shell'!$AX$27:$AX$195,MATCH(Outputs!A77,'FY 23 OFA Shell'!$I$27:$I$195,0))</f>
        <v>10925151</v>
      </c>
      <c r="X77" s="143">
        <f>INDEX('FY 23 OFA Shell'!BK$27:BK$195,MATCH(Outputs!$A77,'FY 23 OFA Shell'!$I$27:$I$195,0))</f>
        <v>10906520.2053</v>
      </c>
      <c r="Y77" s="143">
        <f>INDEX('FY 23 OFA Shell'!BL$27:BL$195,MATCH(Outputs!$A77,'FY 23 OFA Shell'!$I$27:$I$195,0))</f>
        <v>10887889.410599999</v>
      </c>
      <c r="Z77" s="143">
        <f>INDEX('FY 23 OFA Shell'!BM$27:BM$195,MATCH(Outputs!$A77,'FY 23 OFA Shell'!$I$27:$I$195,0))</f>
        <v>10869258.615899999</v>
      </c>
      <c r="AA77" s="143">
        <f>INDEX('FY 23 OFA Shell'!BN$27:BN$195,MATCH(Outputs!$A77,'FY 23 OFA Shell'!$I$27:$I$195,0))</f>
        <v>10850627.821199998</v>
      </c>
      <c r="AB77" s="143">
        <f>INDEX('FY 23 OFA Shell'!BO$27:BO$195,MATCH(Outputs!$A77,'FY 23 OFA Shell'!$I$27:$I$195,0))</f>
        <v>10831997.026499998</v>
      </c>
      <c r="AC77" s="143">
        <f>INDEX('FY 23 OFA Shell'!BP$27:BP$195,MATCH(Outputs!$A77,'FY 23 OFA Shell'!$I$27:$I$195,0))</f>
        <v>10813366.231799997</v>
      </c>
      <c r="AD77" s="143">
        <f>INDEX('FY 23 OFA Shell'!BQ$27:BQ$195,MATCH(Outputs!$A77,'FY 23 OFA Shell'!$I$27:$I$195,0))</f>
        <v>10552108</v>
      </c>
      <c r="AE77" s="129">
        <f t="shared" si="49"/>
        <v>0</v>
      </c>
      <c r="AF77" s="129">
        <f t="shared" si="50"/>
        <v>0</v>
      </c>
      <c r="AG77" s="129">
        <f t="shared" si="51"/>
        <v>0</v>
      </c>
      <c r="AH77" s="129">
        <f t="shared" si="52"/>
        <v>0</v>
      </c>
      <c r="AI77" s="129">
        <f t="shared" si="53"/>
        <v>0</v>
      </c>
      <c r="AJ77" s="129">
        <f t="shared" si="54"/>
        <v>0</v>
      </c>
      <c r="AK77" s="129">
        <f t="shared" si="55"/>
        <v>0</v>
      </c>
      <c r="AL77" s="129">
        <f t="shared" si="56"/>
        <v>0</v>
      </c>
      <c r="AM77" s="129">
        <f t="shared" si="57"/>
        <v>0</v>
      </c>
      <c r="AN77" s="127">
        <f t="shared" si="58"/>
        <v>0</v>
      </c>
      <c r="AO77" s="127">
        <f t="shared" si="59"/>
        <v>0</v>
      </c>
      <c r="AP77" s="127">
        <f t="shared" si="60"/>
        <v>0</v>
      </c>
      <c r="AQ77" s="127">
        <f t="shared" si="61"/>
        <v>0</v>
      </c>
      <c r="AR77" s="127">
        <f t="shared" si="62"/>
        <v>0</v>
      </c>
      <c r="AS77" s="127">
        <f t="shared" si="63"/>
        <v>0</v>
      </c>
      <c r="AT77" s="127">
        <f t="shared" si="64"/>
        <v>0</v>
      </c>
      <c r="AU77" s="127">
        <f t="shared" si="65"/>
        <v>0</v>
      </c>
      <c r="AV77" s="127">
        <f t="shared" si="66"/>
        <v>0</v>
      </c>
    </row>
    <row r="78" spans="1:48" x14ac:dyDescent="0.15">
      <c r="A78" s="29" t="s">
        <v>71</v>
      </c>
      <c r="B78" s="30">
        <f>IF(Data!D73=1, MAX(Data!AA73, Inputs!$E$25) + INDEX(Inputs!$D$38:$D$42, MATCH( Data!AD73, Inputs!$B$38:$B$42, 0), 0), MAX(Data!AA73, Inputs!$E$26) +  INDEX(Inputs!$D$38:$D$42, MATCH( Data!AD73, Inputs!$B$38:$B$42, 0), 0))</f>
        <v>0.292487</v>
      </c>
      <c r="C78" s="141">
        <f>(100*Data!R73)</f>
        <v>0</v>
      </c>
      <c r="D78" s="141">
        <f>ROUND(Data!Q73*C78, 0)</f>
        <v>0</v>
      </c>
      <c r="E78" s="141">
        <f>(100*Data!T73)</f>
        <v>0</v>
      </c>
      <c r="F78" s="141">
        <f>E78*Data!S73</f>
        <v>0</v>
      </c>
      <c r="G78" s="142">
        <f>ROUND(Inputs!$E$21*Data!W73*B78, 0)</f>
        <v>17553421</v>
      </c>
      <c r="H78" s="143">
        <f>IF(G78=0, 0,IF(Inputs!$E$30="Yes", IF(Data!D73=1, MAX(Outputs!D78+Outputs!F78+Outputs!G78, Data!AE73), Outputs!D78+Outputs!F78+Outputs!G78), Outputs!D78+Outputs!F78+Outputs!G78))</f>
        <v>25040045</v>
      </c>
      <c r="I78" s="143">
        <f>INDEX('FY 22 OFA Shell'!$AQ$27:$AQ$195,MATCH(Outputs!A78,'FY 22 OFA Shell'!$I$27:$I$195,0))</f>
        <v>25040045</v>
      </c>
      <c r="J78" s="129">
        <f>H78-Data!AT73</f>
        <v>0</v>
      </c>
      <c r="K78" s="127">
        <f>((H78)/(Data!AT73)) - 1</f>
        <v>0</v>
      </c>
      <c r="L78" s="127">
        <f t="shared" si="67"/>
        <v>0</v>
      </c>
      <c r="M78" s="143">
        <f>(IF(Inputs!$E$30="Yes",INDEX(Data!AT:AT,MATCH(Outputs!A78,Data!A:A,0)),INDEX(Data!AS:AS,MATCH(Outputs!A78,Data!A:A,0))))</f>
        <v>25040045</v>
      </c>
      <c r="N78" s="143">
        <f>IF(Inputs!$E$30="Yes",INDEX(Data!BN:BN,MATCH(Outputs!$A78,Data!$A:$A,0)),INDEX(Data!BE:BE,MATCH(Outputs!$A78,Data!$A:$A,0)))</f>
        <v>25040045</v>
      </c>
      <c r="O78" s="143">
        <f>IF(Inputs!$E$30="Yes",INDEX(Data!BO:BO,MATCH(Outputs!$A78,Data!$A:$A,0)),INDEX(Data!BF:BF,MATCH(Outputs!$A78,Data!$A:$A,0)))</f>
        <v>25040045</v>
      </c>
      <c r="P78" s="143">
        <f>IF(Inputs!$E$30="Yes",INDEX(Data!BP:BP,MATCH(Outputs!$A78,Data!$A:$A,0)),INDEX(Data!BG:BG,MATCH(Outputs!$A78,Data!$A:$A,0)))</f>
        <v>25040045</v>
      </c>
      <c r="Q78" s="143">
        <f>IF(Inputs!$E$30="Yes",INDEX(Data!BQ:BQ,MATCH(Outputs!$A78,Data!$A:$A,0)),INDEX(Data!BH:BH,MATCH(Outputs!$A78,Data!$A:$A,0)))</f>
        <v>25040045</v>
      </c>
      <c r="R78" s="143">
        <f>IF(Inputs!$E$30="Yes",INDEX(Data!BR:BR,MATCH(Outputs!$A78,Data!$A:$A,0)),INDEX(Data!BI:BI,MATCH(Outputs!$A78,Data!$A:$A,0)))</f>
        <v>25040045</v>
      </c>
      <c r="S78" s="143">
        <f>IF(Inputs!$E$30="Yes",INDEX(Data!BS:BS,MATCH(Outputs!$A78,Data!$A:$A,0)),INDEX(Data!BJ:BJ,MATCH(Outputs!$A78,Data!$A:$A,0)))</f>
        <v>25040045</v>
      </c>
      <c r="T78" s="143">
        <f>IF(Inputs!$E$30="Yes",INDEX(Data!BT:BT,MATCH(Outputs!$A78,Data!$A:$A,0)),INDEX(Data!BK:BK,MATCH(Outputs!$A78,Data!$A:$A,0)))</f>
        <v>25040045</v>
      </c>
      <c r="U78" s="143">
        <f>IF(Inputs!$E$30="Yes",INDEX(Data!BU:BU,MATCH(Outputs!$A78,Data!$A:$A,0)),INDEX(Data!BL:BL,MATCH(Outputs!$A78,Data!$A:$A,0)))</f>
        <v>25040045</v>
      </c>
      <c r="V78" s="143">
        <f>INDEX('FY 22 OFA Shell'!$AX$27:$AX$195,MATCH(Outputs!A78,'FY 22 OFA Shell'!$I$27:$I$195,0))</f>
        <v>25040045</v>
      </c>
      <c r="W78" s="143">
        <f>INDEX('FY 23 OFA Shell'!$AX$27:$AX$195,MATCH(Outputs!A78,'FY 23 OFA Shell'!$I$27:$I$195,0))</f>
        <v>25040045</v>
      </c>
      <c r="X78" s="143">
        <f>INDEX('FY 23 OFA Shell'!BK$27:BK$195,MATCH(Outputs!$A78,'FY 23 OFA Shell'!$I$27:$I$195,0))</f>
        <v>25040045</v>
      </c>
      <c r="Y78" s="143">
        <f>INDEX('FY 23 OFA Shell'!BL$27:BL$195,MATCH(Outputs!$A78,'FY 23 OFA Shell'!$I$27:$I$195,0))</f>
        <v>25040045</v>
      </c>
      <c r="Z78" s="143">
        <f>INDEX('FY 23 OFA Shell'!BM$27:BM$195,MATCH(Outputs!$A78,'FY 23 OFA Shell'!$I$27:$I$195,0))</f>
        <v>25040045</v>
      </c>
      <c r="AA78" s="143">
        <f>INDEX('FY 23 OFA Shell'!BN$27:BN$195,MATCH(Outputs!$A78,'FY 23 OFA Shell'!$I$27:$I$195,0))</f>
        <v>25040045</v>
      </c>
      <c r="AB78" s="143">
        <f>INDEX('FY 23 OFA Shell'!BO$27:BO$195,MATCH(Outputs!$A78,'FY 23 OFA Shell'!$I$27:$I$195,0))</f>
        <v>25040045</v>
      </c>
      <c r="AC78" s="143">
        <f>INDEX('FY 23 OFA Shell'!BP$27:BP$195,MATCH(Outputs!$A78,'FY 23 OFA Shell'!$I$27:$I$195,0))</f>
        <v>25040045</v>
      </c>
      <c r="AD78" s="143">
        <f>INDEX('FY 23 OFA Shell'!BQ$27:BQ$195,MATCH(Outputs!$A78,'FY 23 OFA Shell'!$I$27:$I$195,0))</f>
        <v>25040045</v>
      </c>
      <c r="AE78" s="129">
        <f t="shared" si="49"/>
        <v>0</v>
      </c>
      <c r="AF78" s="129">
        <f t="shared" si="50"/>
        <v>0</v>
      </c>
      <c r="AG78" s="129">
        <f t="shared" si="51"/>
        <v>0</v>
      </c>
      <c r="AH78" s="129">
        <f t="shared" si="52"/>
        <v>0</v>
      </c>
      <c r="AI78" s="129">
        <f t="shared" si="53"/>
        <v>0</v>
      </c>
      <c r="AJ78" s="129">
        <f t="shared" si="54"/>
        <v>0</v>
      </c>
      <c r="AK78" s="129">
        <f t="shared" si="55"/>
        <v>0</v>
      </c>
      <c r="AL78" s="129">
        <f t="shared" si="56"/>
        <v>0</v>
      </c>
      <c r="AM78" s="129">
        <f t="shared" si="57"/>
        <v>0</v>
      </c>
      <c r="AN78" s="127">
        <f t="shared" si="58"/>
        <v>0</v>
      </c>
      <c r="AO78" s="127">
        <f t="shared" si="59"/>
        <v>0</v>
      </c>
      <c r="AP78" s="127">
        <f t="shared" si="60"/>
        <v>0</v>
      </c>
      <c r="AQ78" s="127">
        <f t="shared" si="61"/>
        <v>0</v>
      </c>
      <c r="AR78" s="127">
        <f t="shared" si="62"/>
        <v>0</v>
      </c>
      <c r="AS78" s="127">
        <f t="shared" si="63"/>
        <v>0</v>
      </c>
      <c r="AT78" s="127">
        <f t="shared" si="64"/>
        <v>0</v>
      </c>
      <c r="AU78" s="127">
        <f t="shared" si="65"/>
        <v>0</v>
      </c>
      <c r="AV78" s="127">
        <f t="shared" si="66"/>
        <v>0</v>
      </c>
    </row>
    <row r="79" spans="1:48" x14ac:dyDescent="0.15">
      <c r="A79" s="29" t="s">
        <v>72</v>
      </c>
      <c r="B79" s="30">
        <f>IF(Data!D74=1, MAX(Data!AA74, Inputs!$E$25) + INDEX(Inputs!$D$38:$D$42, MATCH( Data!AD74, Inputs!$B$38:$B$42, 0), 0), MAX(Data!AA74, Inputs!$E$26) +  INDEX(Inputs!$D$38:$D$42, MATCH( Data!AD74, Inputs!$B$38:$B$42, 0), 0))</f>
        <v>0.01</v>
      </c>
      <c r="C79" s="141">
        <f>(100*Data!R74)</f>
        <v>0</v>
      </c>
      <c r="D79" s="141">
        <f>ROUND(Data!Q74*C79, 0)</f>
        <v>0</v>
      </c>
      <c r="E79" s="141">
        <f>(100*Data!T74)</f>
        <v>0</v>
      </c>
      <c r="F79" s="141">
        <f>E79*Data!S74</f>
        <v>0</v>
      </c>
      <c r="G79" s="142">
        <f>ROUND(Inputs!$E$21*Data!W74*B79, 0)</f>
        <v>377633</v>
      </c>
      <c r="H79" s="143">
        <f>IF(G79=0, 0,IF(Inputs!$E$30="Yes", IF(Data!D74=1, MAX(Outputs!D79+Outputs!F79+Outputs!G79, Data!AE74), Outputs!D79+Outputs!F79+Outputs!G79), Outputs!D79+Outputs!F79+Outputs!G79))</f>
        <v>377633</v>
      </c>
      <c r="I79" s="143">
        <f>INDEX('FY 22 OFA Shell'!$AQ$27:$AQ$195,MATCH(Outputs!A79,'FY 22 OFA Shell'!$I$27:$I$195,0))</f>
        <v>377633</v>
      </c>
      <c r="J79" s="129">
        <f>H79-Data!AT74</f>
        <v>-1388451</v>
      </c>
      <c r="K79" s="127">
        <f>((H79)/(Data!AT74)) - 1</f>
        <v>-0.78617494977588831</v>
      </c>
      <c r="L79" s="127">
        <f t="shared" si="67"/>
        <v>0</v>
      </c>
      <c r="M79" s="143">
        <f>(IF(Inputs!$E$30="Yes",INDEX(Data!AT:AT,MATCH(Outputs!A79,Data!A:A,0)),INDEX(Data!AS:AS,MATCH(Outputs!A79,Data!A:A,0))))</f>
        <v>1766084</v>
      </c>
      <c r="N79" s="143">
        <f>IF(Inputs!$E$30="Yes",INDEX(Data!BN:BN,MATCH(Outputs!$A79,Data!$A:$A,0)),INDEX(Data!BE:BE,MATCH(Outputs!$A79,Data!$A:$A,0)))</f>
        <v>1766084</v>
      </c>
      <c r="O79" s="143">
        <f>IF(Inputs!$E$30="Yes",INDEX(Data!BO:BO,MATCH(Outputs!$A79,Data!$A:$A,0)),INDEX(Data!BF:BF,MATCH(Outputs!$A79,Data!$A:$A,0)))</f>
        <v>1569266.0087000001</v>
      </c>
      <c r="P79" s="143">
        <f>IF(Inputs!$E$30="Yes",INDEX(Data!BP:BP,MATCH(Outputs!$A79,Data!$A:$A,0)),INDEX(Data!BG:BG,MATCH(Outputs!$A79,Data!$A:$A,0)))</f>
        <v>1372448.0174000002</v>
      </c>
      <c r="Q79" s="143">
        <f>IF(Inputs!$E$30="Yes",INDEX(Data!BQ:BQ,MATCH(Outputs!$A79,Data!$A:$A,0)),INDEX(Data!BH:BH,MATCH(Outputs!$A79,Data!$A:$A,0)))</f>
        <v>1175630.0261000004</v>
      </c>
      <c r="R79" s="143">
        <f>IF(Inputs!$E$30="Yes",INDEX(Data!BR:BR,MATCH(Outputs!$A79,Data!$A:$A,0)),INDEX(Data!BI:BI,MATCH(Outputs!$A79,Data!$A:$A,0)))</f>
        <v>978812.03480000037</v>
      </c>
      <c r="S79" s="143">
        <f>IF(Inputs!$E$30="Yes",INDEX(Data!BS:BS,MATCH(Outputs!$A79,Data!$A:$A,0)),INDEX(Data!BJ:BJ,MATCH(Outputs!$A79,Data!$A:$A,0)))</f>
        <v>781994.04350000038</v>
      </c>
      <c r="T79" s="143">
        <f>IF(Inputs!$E$30="Yes",INDEX(Data!BT:BT,MATCH(Outputs!$A79,Data!$A:$A,0)),INDEX(Data!BK:BK,MATCH(Outputs!$A79,Data!$A:$A,0)))</f>
        <v>585176.05220000038</v>
      </c>
      <c r="U79" s="143">
        <f>IF(Inputs!$E$30="Yes",INDEX(Data!BU:BU,MATCH(Outputs!$A79,Data!$A:$A,0)),INDEX(Data!BL:BL,MATCH(Outputs!$A79,Data!$A:$A,0)))</f>
        <v>377633</v>
      </c>
      <c r="V79" s="143">
        <f>INDEX('FY 22 OFA Shell'!$AX$27:$AX$195,MATCH(Outputs!A79,'FY 22 OFA Shell'!$I$27:$I$195,0))</f>
        <v>1766084</v>
      </c>
      <c r="W79" s="143">
        <f>INDEX('FY 23 OFA Shell'!$AX$27:$AX$195,MATCH(Outputs!A79,'FY 23 OFA Shell'!$I$27:$I$195,0))</f>
        <v>1766084</v>
      </c>
      <c r="X79" s="143">
        <f>INDEX('FY 23 OFA Shell'!BK$27:BK$195,MATCH(Outputs!$A79,'FY 23 OFA Shell'!$I$27:$I$195,0))</f>
        <v>1569266.0087000001</v>
      </c>
      <c r="Y79" s="143">
        <f>INDEX('FY 23 OFA Shell'!BL$27:BL$195,MATCH(Outputs!$A79,'FY 23 OFA Shell'!$I$27:$I$195,0))</f>
        <v>1372448.0174000002</v>
      </c>
      <c r="Z79" s="143">
        <f>INDEX('FY 23 OFA Shell'!BM$27:BM$195,MATCH(Outputs!$A79,'FY 23 OFA Shell'!$I$27:$I$195,0))</f>
        <v>1175630.0261000004</v>
      </c>
      <c r="AA79" s="143">
        <f>INDEX('FY 23 OFA Shell'!BN$27:BN$195,MATCH(Outputs!$A79,'FY 23 OFA Shell'!$I$27:$I$195,0))</f>
        <v>978812.03480000037</v>
      </c>
      <c r="AB79" s="143">
        <f>INDEX('FY 23 OFA Shell'!BO$27:BO$195,MATCH(Outputs!$A79,'FY 23 OFA Shell'!$I$27:$I$195,0))</f>
        <v>781994.04350000038</v>
      </c>
      <c r="AC79" s="143">
        <f>INDEX('FY 23 OFA Shell'!BP$27:BP$195,MATCH(Outputs!$A79,'FY 23 OFA Shell'!$I$27:$I$195,0))</f>
        <v>585176.05220000038</v>
      </c>
      <c r="AD79" s="143">
        <f>INDEX('FY 23 OFA Shell'!BQ$27:BQ$195,MATCH(Outputs!$A79,'FY 23 OFA Shell'!$I$27:$I$195,0))</f>
        <v>377633</v>
      </c>
      <c r="AE79" s="129">
        <f t="shared" si="49"/>
        <v>0</v>
      </c>
      <c r="AF79" s="129">
        <f t="shared" si="50"/>
        <v>0</v>
      </c>
      <c r="AG79" s="129">
        <f t="shared" si="51"/>
        <v>0</v>
      </c>
      <c r="AH79" s="129">
        <f t="shared" si="52"/>
        <v>0</v>
      </c>
      <c r="AI79" s="129">
        <f t="shared" si="53"/>
        <v>0</v>
      </c>
      <c r="AJ79" s="129">
        <f t="shared" si="54"/>
        <v>0</v>
      </c>
      <c r="AK79" s="129">
        <f t="shared" si="55"/>
        <v>0</v>
      </c>
      <c r="AL79" s="129">
        <f t="shared" si="56"/>
        <v>0</v>
      </c>
      <c r="AM79" s="129">
        <f t="shared" si="57"/>
        <v>0</v>
      </c>
      <c r="AN79" s="127">
        <f t="shared" si="58"/>
        <v>0</v>
      </c>
      <c r="AO79" s="127">
        <f t="shared" si="59"/>
        <v>0</v>
      </c>
      <c r="AP79" s="127">
        <f t="shared" si="60"/>
        <v>0</v>
      </c>
      <c r="AQ79" s="127">
        <f t="shared" si="61"/>
        <v>0</v>
      </c>
      <c r="AR79" s="127">
        <f t="shared" si="62"/>
        <v>0</v>
      </c>
      <c r="AS79" s="127">
        <f t="shared" si="63"/>
        <v>0</v>
      </c>
      <c r="AT79" s="127">
        <f t="shared" si="64"/>
        <v>0</v>
      </c>
      <c r="AU79" s="127">
        <f t="shared" si="65"/>
        <v>0</v>
      </c>
      <c r="AV79" s="127">
        <f t="shared" si="66"/>
        <v>0</v>
      </c>
    </row>
    <row r="80" spans="1:48" x14ac:dyDescent="0.15">
      <c r="A80" s="29" t="s">
        <v>73</v>
      </c>
      <c r="B80" s="30">
        <f>IF(Data!D75=1, MAX(Data!AA75, Inputs!$E$25) + INDEX(Inputs!$D$38:$D$42, MATCH( Data!AD75, Inputs!$B$38:$B$42, 0), 0), MAX(Data!AA75, Inputs!$E$26) +  INDEX(Inputs!$D$38:$D$42, MATCH( Data!AD75, Inputs!$B$38:$B$42, 0), 0))</f>
        <v>0.14632999999999999</v>
      </c>
      <c r="C80" s="141">
        <f>(100*Data!R75)</f>
        <v>1300</v>
      </c>
      <c r="D80" s="141">
        <f>ROUND(Data!Q75*C80, 0)</f>
        <v>1478100</v>
      </c>
      <c r="E80" s="141">
        <f>(100*Data!T75)</f>
        <v>0</v>
      </c>
      <c r="F80" s="141">
        <f>E80*Data!S75</f>
        <v>0</v>
      </c>
      <c r="G80" s="142">
        <f>ROUND(Inputs!$E$21*Data!W75*B80, 0)</f>
        <v>2014654</v>
      </c>
      <c r="H80" s="143">
        <f>IF(G80=0, 0,IF(Inputs!$E$30="Yes", IF(Data!D75=1, MAX(Outputs!D80+Outputs!F80+Outputs!G80, Data!AE75), Outputs!D80+Outputs!F80+Outputs!G80), Outputs!D80+Outputs!F80+Outputs!G80))</f>
        <v>3492754</v>
      </c>
      <c r="I80" s="143">
        <f>INDEX('FY 22 OFA Shell'!$AQ$27:$AQ$195,MATCH(Outputs!A80,'FY 22 OFA Shell'!$I$27:$I$195,0))</f>
        <v>3492754</v>
      </c>
      <c r="J80" s="129">
        <f>H80-Data!AT75</f>
        <v>1311574.4048000001</v>
      </c>
      <c r="K80" s="127">
        <f>((H80)/(Data!AT75)) - 1</f>
        <v>0.60131426485297612</v>
      </c>
      <c r="L80" s="127">
        <f t="shared" si="67"/>
        <v>0</v>
      </c>
      <c r="M80" s="143">
        <f>(IF(Inputs!$E$30="Yes",INDEX(Data!AT:AT,MATCH(Outputs!A80,Data!A:A,0)),INDEX(Data!AS:AS,MATCH(Outputs!A80,Data!A:A,0))))</f>
        <v>2181179.5951999999</v>
      </c>
      <c r="N80" s="143">
        <f>IF(Inputs!$E$30="Yes",INDEX(Data!BN:BN,MATCH(Outputs!$A80,Data!$A:$A,0)),INDEX(Data!BE:BE,MATCH(Outputs!$A80,Data!$A:$A,0)))</f>
        <v>2343347.1903999997</v>
      </c>
      <c r="O80" s="143">
        <f>IF(Inputs!$E$30="Yes",INDEX(Data!BO:BO,MATCH(Outputs!$A80,Data!$A:$A,0)),INDEX(Data!BF:BF,MATCH(Outputs!$A80,Data!$A:$A,0)))</f>
        <v>2505514.7855999996</v>
      </c>
      <c r="P80" s="143">
        <f>IF(Inputs!$E$30="Yes",INDEX(Data!BP:BP,MATCH(Outputs!$A80,Data!$A:$A,0)),INDEX(Data!BG:BG,MATCH(Outputs!$A80,Data!$A:$A,0)))</f>
        <v>2667682.3807999995</v>
      </c>
      <c r="Q80" s="143">
        <f>IF(Inputs!$E$30="Yes",INDEX(Data!BQ:BQ,MATCH(Outputs!$A80,Data!$A:$A,0)),INDEX(Data!BH:BH,MATCH(Outputs!$A80,Data!$A:$A,0)))</f>
        <v>2829849.9759999993</v>
      </c>
      <c r="R80" s="143">
        <f>IF(Inputs!$E$30="Yes",INDEX(Data!BR:BR,MATCH(Outputs!$A80,Data!$A:$A,0)),INDEX(Data!BI:BI,MATCH(Outputs!$A80,Data!$A:$A,0)))</f>
        <v>2992017.5711999992</v>
      </c>
      <c r="S80" s="143">
        <f>IF(Inputs!$E$30="Yes",INDEX(Data!BS:BS,MATCH(Outputs!$A80,Data!$A:$A,0)),INDEX(Data!BJ:BJ,MATCH(Outputs!$A80,Data!$A:$A,0)))</f>
        <v>3492754</v>
      </c>
      <c r="T80" s="143">
        <f>IF(Inputs!$E$30="Yes",INDEX(Data!BT:BT,MATCH(Outputs!$A80,Data!$A:$A,0)),INDEX(Data!BK:BK,MATCH(Outputs!$A80,Data!$A:$A,0)))</f>
        <v>3492754</v>
      </c>
      <c r="U80" s="143">
        <f>IF(Inputs!$E$30="Yes",INDEX(Data!BU:BU,MATCH(Outputs!$A80,Data!$A:$A,0)),INDEX(Data!BL:BL,MATCH(Outputs!$A80,Data!$A:$A,0)))</f>
        <v>3492754</v>
      </c>
      <c r="V80" s="143">
        <f>INDEX('FY 22 OFA Shell'!$AX$27:$AX$195,MATCH(Outputs!A80,'FY 22 OFA Shell'!$I$27:$I$195,0))</f>
        <v>2181179.5951999999</v>
      </c>
      <c r="W80" s="143">
        <f>INDEX('FY 23 OFA Shell'!$AX$27:$AX$195,MATCH(Outputs!A80,'FY 23 OFA Shell'!$I$27:$I$195,0))</f>
        <v>2343347.1903999997</v>
      </c>
      <c r="X80" s="143">
        <f>INDEX('FY 23 OFA Shell'!BK$27:BK$195,MATCH(Outputs!$A80,'FY 23 OFA Shell'!$I$27:$I$195,0))</f>
        <v>2505514.7855999996</v>
      </c>
      <c r="Y80" s="143">
        <f>INDEX('FY 23 OFA Shell'!BL$27:BL$195,MATCH(Outputs!$A80,'FY 23 OFA Shell'!$I$27:$I$195,0))</f>
        <v>2667682.3807999995</v>
      </c>
      <c r="Z80" s="143">
        <f>INDEX('FY 23 OFA Shell'!BM$27:BM$195,MATCH(Outputs!$A80,'FY 23 OFA Shell'!$I$27:$I$195,0))</f>
        <v>2829849.9759999993</v>
      </c>
      <c r="AA80" s="143">
        <f>INDEX('FY 23 OFA Shell'!BN$27:BN$195,MATCH(Outputs!$A80,'FY 23 OFA Shell'!$I$27:$I$195,0))</f>
        <v>2992017.5711999992</v>
      </c>
      <c r="AB80" s="143">
        <f>INDEX('FY 23 OFA Shell'!BO$27:BO$195,MATCH(Outputs!$A80,'FY 23 OFA Shell'!$I$27:$I$195,0))</f>
        <v>3492754</v>
      </c>
      <c r="AC80" s="143">
        <f>INDEX('FY 23 OFA Shell'!BP$27:BP$195,MATCH(Outputs!$A80,'FY 23 OFA Shell'!$I$27:$I$195,0))</f>
        <v>3492754</v>
      </c>
      <c r="AD80" s="143">
        <f>INDEX('FY 23 OFA Shell'!BQ$27:BQ$195,MATCH(Outputs!$A80,'FY 23 OFA Shell'!$I$27:$I$195,0))</f>
        <v>3492754</v>
      </c>
      <c r="AE80" s="129">
        <f t="shared" si="49"/>
        <v>0</v>
      </c>
      <c r="AF80" s="129">
        <f t="shared" si="50"/>
        <v>0</v>
      </c>
      <c r="AG80" s="129">
        <f t="shared" si="51"/>
        <v>0</v>
      </c>
      <c r="AH80" s="129">
        <f t="shared" si="52"/>
        <v>0</v>
      </c>
      <c r="AI80" s="129">
        <f t="shared" si="53"/>
        <v>0</v>
      </c>
      <c r="AJ80" s="129">
        <f t="shared" si="54"/>
        <v>0</v>
      </c>
      <c r="AK80" s="129">
        <f t="shared" si="55"/>
        <v>0</v>
      </c>
      <c r="AL80" s="129">
        <f t="shared" si="56"/>
        <v>0</v>
      </c>
      <c r="AM80" s="129">
        <f t="shared" si="57"/>
        <v>0</v>
      </c>
      <c r="AN80" s="127">
        <f t="shared" si="58"/>
        <v>0</v>
      </c>
      <c r="AO80" s="127">
        <f t="shared" si="59"/>
        <v>0</v>
      </c>
      <c r="AP80" s="127">
        <f t="shared" si="60"/>
        <v>0</v>
      </c>
      <c r="AQ80" s="127">
        <f t="shared" si="61"/>
        <v>0</v>
      </c>
      <c r="AR80" s="127">
        <f t="shared" si="62"/>
        <v>0</v>
      </c>
      <c r="AS80" s="127">
        <f t="shared" si="63"/>
        <v>0</v>
      </c>
      <c r="AT80" s="127">
        <f t="shared" si="64"/>
        <v>0</v>
      </c>
      <c r="AU80" s="127">
        <f t="shared" si="65"/>
        <v>0</v>
      </c>
      <c r="AV80" s="127">
        <f t="shared" si="66"/>
        <v>0</v>
      </c>
    </row>
    <row r="81" spans="1:48" x14ac:dyDescent="0.15">
      <c r="A81" s="29" t="s">
        <v>74</v>
      </c>
      <c r="B81" s="30">
        <f>IF(Data!D76=1, MAX(Data!AA76, Inputs!$E$25) + INDEX(Inputs!$D$38:$D$42, MATCH( Data!AD76, Inputs!$B$38:$B$42, 0), 0), MAX(Data!AA76, Inputs!$E$26) +  INDEX(Inputs!$D$38:$D$42, MATCH( Data!AD76, Inputs!$B$38:$B$42, 0), 0))</f>
        <v>0.46998800000000002</v>
      </c>
      <c r="C81" s="141">
        <f>(100*Data!R76)</f>
        <v>0</v>
      </c>
      <c r="D81" s="141">
        <f>ROUND(Data!Q76*C81, 0)</f>
        <v>0</v>
      </c>
      <c r="E81" s="141">
        <f>(100*Data!T76)</f>
        <v>0</v>
      </c>
      <c r="F81" s="141">
        <f>E81*Data!S76</f>
        <v>0</v>
      </c>
      <c r="G81" s="142">
        <f>ROUND(Inputs!$E$21*Data!W76*B81, 0)</f>
        <v>38606196</v>
      </c>
      <c r="H81" s="143">
        <f>IF(G81=0, 0,IF(Inputs!$E$30="Yes", IF(Data!D76=1, MAX(Outputs!D81+Outputs!F81+Outputs!G81, Data!AE76), Outputs!D81+Outputs!F81+Outputs!G81), Outputs!D81+Outputs!F81+Outputs!G81))</f>
        <v>38606196</v>
      </c>
      <c r="I81" s="143">
        <f>INDEX('FY 22 OFA Shell'!$AQ$27:$AQ$195,MATCH(Outputs!A81,'FY 22 OFA Shell'!$I$27:$I$195,0))</f>
        <v>38606196</v>
      </c>
      <c r="J81" s="129">
        <f>H81-Data!AT76</f>
        <v>7431486.7809999995</v>
      </c>
      <c r="K81" s="127">
        <f>((H81)/(Data!AT76)) - 1</f>
        <v>0.23838191172191414</v>
      </c>
      <c r="L81" s="127">
        <f t="shared" si="67"/>
        <v>0</v>
      </c>
      <c r="M81" s="143">
        <f>(IF(Inputs!$E$30="Yes",INDEX(Data!AT:AT,MATCH(Outputs!A81,Data!A:A,0)),INDEX(Data!AS:AS,MATCH(Outputs!A81,Data!A:A,0))))</f>
        <v>31174709.219000001</v>
      </c>
      <c r="N81" s="143">
        <f>IF(Inputs!$E$30="Yes",INDEX(Data!BN:BN,MATCH(Outputs!$A81,Data!$A:$A,0)),INDEX(Data!BE:BE,MATCH(Outputs!$A81,Data!$A:$A,0)))</f>
        <v>32417741.438000001</v>
      </c>
      <c r="O81" s="143">
        <f>IF(Inputs!$E$30="Yes",INDEX(Data!BO:BO,MATCH(Outputs!$A81,Data!$A:$A,0)),INDEX(Data!BF:BF,MATCH(Outputs!$A81,Data!$A:$A,0)))</f>
        <v>33660773.656999998</v>
      </c>
      <c r="P81" s="143">
        <f>IF(Inputs!$E$30="Yes",INDEX(Data!BP:BP,MATCH(Outputs!$A81,Data!$A:$A,0)),INDEX(Data!BG:BG,MATCH(Outputs!$A81,Data!$A:$A,0)))</f>
        <v>34903805.875999995</v>
      </c>
      <c r="Q81" s="143">
        <f>IF(Inputs!$E$30="Yes",INDEX(Data!BQ:BQ,MATCH(Outputs!$A81,Data!$A:$A,0)),INDEX(Data!BH:BH,MATCH(Outputs!$A81,Data!$A:$A,0)))</f>
        <v>36146838.094999991</v>
      </c>
      <c r="R81" s="143">
        <f>IF(Inputs!$E$30="Yes",INDEX(Data!BR:BR,MATCH(Outputs!$A81,Data!$A:$A,0)),INDEX(Data!BI:BI,MATCH(Outputs!$A81,Data!$A:$A,0)))</f>
        <v>37389870.313999988</v>
      </c>
      <c r="S81" s="143">
        <f>IF(Inputs!$E$30="Yes",INDEX(Data!BS:BS,MATCH(Outputs!$A81,Data!$A:$A,0)),INDEX(Data!BJ:BJ,MATCH(Outputs!$A81,Data!$A:$A,0)))</f>
        <v>38606196</v>
      </c>
      <c r="T81" s="143">
        <f>IF(Inputs!$E$30="Yes",INDEX(Data!BT:BT,MATCH(Outputs!$A81,Data!$A:$A,0)),INDEX(Data!BK:BK,MATCH(Outputs!$A81,Data!$A:$A,0)))</f>
        <v>38606196</v>
      </c>
      <c r="U81" s="143">
        <f>IF(Inputs!$E$30="Yes",INDEX(Data!BU:BU,MATCH(Outputs!$A81,Data!$A:$A,0)),INDEX(Data!BL:BL,MATCH(Outputs!$A81,Data!$A:$A,0)))</f>
        <v>38606196</v>
      </c>
      <c r="V81" s="143">
        <f>INDEX('FY 22 OFA Shell'!$AX$27:$AX$195,MATCH(Outputs!A81,'FY 22 OFA Shell'!$I$27:$I$195,0))</f>
        <v>31174709.219000001</v>
      </c>
      <c r="W81" s="143">
        <f>INDEX('FY 23 OFA Shell'!$AX$27:$AX$195,MATCH(Outputs!A81,'FY 23 OFA Shell'!$I$27:$I$195,0))</f>
        <v>32417741.438000001</v>
      </c>
      <c r="X81" s="143">
        <f>INDEX('FY 23 OFA Shell'!BK$27:BK$195,MATCH(Outputs!$A81,'FY 23 OFA Shell'!$I$27:$I$195,0))</f>
        <v>33660773.656999998</v>
      </c>
      <c r="Y81" s="143">
        <f>INDEX('FY 23 OFA Shell'!BL$27:BL$195,MATCH(Outputs!$A81,'FY 23 OFA Shell'!$I$27:$I$195,0))</f>
        <v>34903805.875999995</v>
      </c>
      <c r="Z81" s="143">
        <f>INDEX('FY 23 OFA Shell'!BM$27:BM$195,MATCH(Outputs!$A81,'FY 23 OFA Shell'!$I$27:$I$195,0))</f>
        <v>36146838.094999991</v>
      </c>
      <c r="AA81" s="143">
        <f>INDEX('FY 23 OFA Shell'!BN$27:BN$195,MATCH(Outputs!$A81,'FY 23 OFA Shell'!$I$27:$I$195,0))</f>
        <v>37389870.313999988</v>
      </c>
      <c r="AB81" s="143">
        <f>INDEX('FY 23 OFA Shell'!BO$27:BO$195,MATCH(Outputs!$A81,'FY 23 OFA Shell'!$I$27:$I$195,0))</f>
        <v>38606196</v>
      </c>
      <c r="AC81" s="143">
        <f>INDEX('FY 23 OFA Shell'!BP$27:BP$195,MATCH(Outputs!$A81,'FY 23 OFA Shell'!$I$27:$I$195,0))</f>
        <v>38606196</v>
      </c>
      <c r="AD81" s="143">
        <f>INDEX('FY 23 OFA Shell'!BQ$27:BQ$195,MATCH(Outputs!$A81,'FY 23 OFA Shell'!$I$27:$I$195,0))</f>
        <v>38606196</v>
      </c>
      <c r="AE81" s="129">
        <f t="shared" si="49"/>
        <v>0</v>
      </c>
      <c r="AF81" s="129">
        <f t="shared" si="50"/>
        <v>0</v>
      </c>
      <c r="AG81" s="129">
        <f t="shared" si="51"/>
        <v>0</v>
      </c>
      <c r="AH81" s="129">
        <f t="shared" si="52"/>
        <v>0</v>
      </c>
      <c r="AI81" s="129">
        <f t="shared" si="53"/>
        <v>0</v>
      </c>
      <c r="AJ81" s="129">
        <f t="shared" si="54"/>
        <v>0</v>
      </c>
      <c r="AK81" s="129">
        <f t="shared" si="55"/>
        <v>0</v>
      </c>
      <c r="AL81" s="129">
        <f t="shared" si="56"/>
        <v>0</v>
      </c>
      <c r="AM81" s="129">
        <f t="shared" si="57"/>
        <v>0</v>
      </c>
      <c r="AN81" s="127">
        <f t="shared" si="58"/>
        <v>0</v>
      </c>
      <c r="AO81" s="127">
        <f t="shared" si="59"/>
        <v>0</v>
      </c>
      <c r="AP81" s="127">
        <f t="shared" si="60"/>
        <v>0</v>
      </c>
      <c r="AQ81" s="127">
        <f t="shared" si="61"/>
        <v>0</v>
      </c>
      <c r="AR81" s="127">
        <f t="shared" si="62"/>
        <v>0</v>
      </c>
      <c r="AS81" s="127">
        <f t="shared" si="63"/>
        <v>0</v>
      </c>
      <c r="AT81" s="127">
        <f t="shared" si="64"/>
        <v>0</v>
      </c>
      <c r="AU81" s="127">
        <f t="shared" si="65"/>
        <v>0</v>
      </c>
      <c r="AV81" s="127">
        <f t="shared" si="66"/>
        <v>0</v>
      </c>
    </row>
    <row r="82" spans="1:48" x14ac:dyDescent="0.15">
      <c r="A82" s="29" t="s">
        <v>75</v>
      </c>
      <c r="B82" s="30">
        <f>IF(Data!D77=1, MAX(Data!AA77, Inputs!$E$25) + INDEX(Inputs!$D$38:$D$42, MATCH( Data!AD77, Inputs!$B$38:$B$42, 0), 0), MAX(Data!AA77, Inputs!$E$26) +  INDEX(Inputs!$D$38:$D$42, MATCH( Data!AD77, Inputs!$B$38:$B$42, 0), 0))</f>
        <v>0.38769700000000001</v>
      </c>
      <c r="C82" s="141">
        <f>(100*Data!R77)</f>
        <v>600</v>
      </c>
      <c r="D82" s="141">
        <f>ROUND(Data!Q77*C82, 0)</f>
        <v>36600</v>
      </c>
      <c r="E82" s="141">
        <f>(100*Data!T77)</f>
        <v>0</v>
      </c>
      <c r="F82" s="141">
        <f>E82*Data!S77</f>
        <v>0</v>
      </c>
      <c r="G82" s="142">
        <f>ROUND(Inputs!$E$21*Data!W77*B82, 0)</f>
        <v>629124</v>
      </c>
      <c r="H82" s="143">
        <f>IF(G82=0, 0,IF(Inputs!$E$30="Yes", IF(Data!D77=1, MAX(Outputs!D82+Outputs!F82+Outputs!G82, Data!AE77), Outputs!D82+Outputs!F82+Outputs!G82), Outputs!D82+Outputs!F82+Outputs!G82))</f>
        <v>665724</v>
      </c>
      <c r="I82" s="143">
        <f>INDEX('FY 22 OFA Shell'!$AQ$27:$AQ$195,MATCH(Outputs!A82,'FY 22 OFA Shell'!$I$27:$I$195,0))</f>
        <v>665724</v>
      </c>
      <c r="J82" s="129">
        <f>H82-Data!AT77</f>
        <v>-392684</v>
      </c>
      <c r="K82" s="127">
        <f>((H82)/(Data!AT77)) - 1</f>
        <v>-0.37101382453647369</v>
      </c>
      <c r="L82" s="127">
        <f t="shared" si="67"/>
        <v>0</v>
      </c>
      <c r="M82" s="143">
        <f>(IF(Inputs!$E$30="Yes",INDEX(Data!AT:AT,MATCH(Outputs!A82,Data!A:A,0)),INDEX(Data!AS:AS,MATCH(Outputs!A82,Data!A:A,0))))</f>
        <v>1058408</v>
      </c>
      <c r="N82" s="143">
        <f>IF(Inputs!$E$30="Yes",INDEX(Data!BN:BN,MATCH(Outputs!$A82,Data!$A:$A,0)),INDEX(Data!BE:BE,MATCH(Outputs!$A82,Data!$A:$A,0)))</f>
        <v>1058408</v>
      </c>
      <c r="O82" s="143">
        <f>IF(Inputs!$E$30="Yes",INDEX(Data!BO:BO,MATCH(Outputs!$A82,Data!$A:$A,0)),INDEX(Data!BF:BF,MATCH(Outputs!$A82,Data!$A:$A,0)))</f>
        <v>1004541.3053</v>
      </c>
      <c r="P82" s="143">
        <f>IF(Inputs!$E$30="Yes",INDEX(Data!BP:BP,MATCH(Outputs!$A82,Data!$A:$A,0)),INDEX(Data!BG:BG,MATCH(Outputs!$A82,Data!$A:$A,0)))</f>
        <v>950674.61060000001</v>
      </c>
      <c r="Q82" s="143">
        <f>IF(Inputs!$E$30="Yes",INDEX(Data!BQ:BQ,MATCH(Outputs!$A82,Data!$A:$A,0)),INDEX(Data!BH:BH,MATCH(Outputs!$A82,Data!$A:$A,0)))</f>
        <v>896807.91590000002</v>
      </c>
      <c r="R82" s="143">
        <f>IF(Inputs!$E$30="Yes",INDEX(Data!BR:BR,MATCH(Outputs!$A82,Data!$A:$A,0)),INDEX(Data!BI:BI,MATCH(Outputs!$A82,Data!$A:$A,0)))</f>
        <v>842941.22120000003</v>
      </c>
      <c r="S82" s="143">
        <f>IF(Inputs!$E$30="Yes",INDEX(Data!BS:BS,MATCH(Outputs!$A82,Data!$A:$A,0)),INDEX(Data!BJ:BJ,MATCH(Outputs!$A82,Data!$A:$A,0)))</f>
        <v>789074.52650000004</v>
      </c>
      <c r="T82" s="143">
        <f>IF(Inputs!$E$30="Yes",INDEX(Data!BT:BT,MATCH(Outputs!$A82,Data!$A:$A,0)),INDEX(Data!BK:BK,MATCH(Outputs!$A82,Data!$A:$A,0)))</f>
        <v>735207.83180000004</v>
      </c>
      <c r="U82" s="143">
        <f>IF(Inputs!$E$30="Yes",INDEX(Data!BU:BU,MATCH(Outputs!$A82,Data!$A:$A,0)),INDEX(Data!BL:BL,MATCH(Outputs!$A82,Data!$A:$A,0)))</f>
        <v>665724</v>
      </c>
      <c r="V82" s="143">
        <f>INDEX('FY 22 OFA Shell'!$AX$27:$AX$195,MATCH(Outputs!A82,'FY 22 OFA Shell'!$I$27:$I$195,0))</f>
        <v>1058408</v>
      </c>
      <c r="W82" s="143">
        <f>INDEX('FY 23 OFA Shell'!$AX$27:$AX$195,MATCH(Outputs!A82,'FY 23 OFA Shell'!$I$27:$I$195,0))</f>
        <v>1058408</v>
      </c>
      <c r="X82" s="143">
        <f>INDEX('FY 23 OFA Shell'!BK$27:BK$195,MATCH(Outputs!$A82,'FY 23 OFA Shell'!$I$27:$I$195,0))</f>
        <v>1004541.3053</v>
      </c>
      <c r="Y82" s="143">
        <f>INDEX('FY 23 OFA Shell'!BL$27:BL$195,MATCH(Outputs!$A82,'FY 23 OFA Shell'!$I$27:$I$195,0))</f>
        <v>950674.61060000001</v>
      </c>
      <c r="Z82" s="143">
        <f>INDEX('FY 23 OFA Shell'!BM$27:BM$195,MATCH(Outputs!$A82,'FY 23 OFA Shell'!$I$27:$I$195,0))</f>
        <v>896807.91590000002</v>
      </c>
      <c r="AA82" s="143">
        <f>INDEX('FY 23 OFA Shell'!BN$27:BN$195,MATCH(Outputs!$A82,'FY 23 OFA Shell'!$I$27:$I$195,0))</f>
        <v>842941.22120000003</v>
      </c>
      <c r="AB82" s="143">
        <f>INDEX('FY 23 OFA Shell'!BO$27:BO$195,MATCH(Outputs!$A82,'FY 23 OFA Shell'!$I$27:$I$195,0))</f>
        <v>789074.52650000004</v>
      </c>
      <c r="AC82" s="143">
        <f>INDEX('FY 23 OFA Shell'!BP$27:BP$195,MATCH(Outputs!$A82,'FY 23 OFA Shell'!$I$27:$I$195,0))</f>
        <v>735207.83180000004</v>
      </c>
      <c r="AD82" s="143">
        <f>INDEX('FY 23 OFA Shell'!BQ$27:BQ$195,MATCH(Outputs!$A82,'FY 23 OFA Shell'!$I$27:$I$195,0))</f>
        <v>665724</v>
      </c>
      <c r="AE82" s="129">
        <f t="shared" si="49"/>
        <v>0</v>
      </c>
      <c r="AF82" s="129">
        <f t="shared" si="50"/>
        <v>0</v>
      </c>
      <c r="AG82" s="129">
        <f t="shared" si="51"/>
        <v>0</v>
      </c>
      <c r="AH82" s="129">
        <f t="shared" si="52"/>
        <v>0</v>
      </c>
      <c r="AI82" s="129">
        <f t="shared" si="53"/>
        <v>0</v>
      </c>
      <c r="AJ82" s="129">
        <f t="shared" si="54"/>
        <v>0</v>
      </c>
      <c r="AK82" s="129">
        <f t="shared" si="55"/>
        <v>0</v>
      </c>
      <c r="AL82" s="129">
        <f t="shared" si="56"/>
        <v>0</v>
      </c>
      <c r="AM82" s="129">
        <f t="shared" si="57"/>
        <v>0</v>
      </c>
      <c r="AN82" s="127">
        <f t="shared" si="58"/>
        <v>0</v>
      </c>
      <c r="AO82" s="127">
        <f t="shared" si="59"/>
        <v>0</v>
      </c>
      <c r="AP82" s="127">
        <f t="shared" si="60"/>
        <v>0</v>
      </c>
      <c r="AQ82" s="127">
        <f t="shared" si="61"/>
        <v>0</v>
      </c>
      <c r="AR82" s="127">
        <f t="shared" si="62"/>
        <v>0</v>
      </c>
      <c r="AS82" s="127">
        <f t="shared" si="63"/>
        <v>0</v>
      </c>
      <c r="AT82" s="127">
        <f t="shared" si="64"/>
        <v>0</v>
      </c>
      <c r="AU82" s="127">
        <f t="shared" si="65"/>
        <v>0</v>
      </c>
      <c r="AV82" s="127">
        <f t="shared" si="66"/>
        <v>0</v>
      </c>
    </row>
    <row r="83" spans="1:48" x14ac:dyDescent="0.15">
      <c r="A83" s="29" t="s">
        <v>76</v>
      </c>
      <c r="B83" s="30">
        <f>IF(Data!D78=1, MAX(Data!AA78, Inputs!$E$25) + INDEX(Inputs!$D$38:$D$42, MATCH( Data!AD78, Inputs!$B$38:$B$42, 0), 0), MAX(Data!AA78, Inputs!$E$26) +  INDEX(Inputs!$D$38:$D$42, MATCH( Data!AD78, Inputs!$B$38:$B$42, 0), 0))</f>
        <v>0.76999100000000009</v>
      </c>
      <c r="C83" s="141">
        <f>(100*Data!R78)</f>
        <v>0</v>
      </c>
      <c r="D83" s="141">
        <f>ROUND(Data!Q78*C83, 0)</f>
        <v>0</v>
      </c>
      <c r="E83" s="141">
        <f>(100*Data!T78)</f>
        <v>0</v>
      </c>
      <c r="F83" s="141">
        <f>E83*Data!S78</f>
        <v>0</v>
      </c>
      <c r="G83" s="142">
        <f>ROUND(Inputs!$E$21*Data!W78*B83, 0)</f>
        <v>232789859</v>
      </c>
      <c r="H83" s="143">
        <f>IF(G83=0, 0,IF(Inputs!$E$30="Yes", IF(Data!D78=1, MAX(Outputs!D83+Outputs!F83+Outputs!G83, Data!AE78), Outputs!D83+Outputs!F83+Outputs!G83), Outputs!D83+Outputs!F83+Outputs!G83))</f>
        <v>232789859</v>
      </c>
      <c r="I83" s="143">
        <f>INDEX('FY 22 OFA Shell'!$AQ$27:$AQ$195,MATCH(Outputs!A83,'FY 22 OFA Shell'!$I$27:$I$195,0))</f>
        <v>232789859</v>
      </c>
      <c r="J83" s="129">
        <f>H83-Data!AT78</f>
        <v>20244927.840999991</v>
      </c>
      <c r="K83" s="127">
        <f>((H83)/(Data!AT78)) - 1</f>
        <v>9.5250108909232134E-2</v>
      </c>
      <c r="L83" s="127">
        <f t="shared" si="67"/>
        <v>0</v>
      </c>
      <c r="M83" s="143">
        <f>(IF(Inputs!$E$30="Yes",INDEX(Data!AT:AT,MATCH(Outputs!A83,Data!A:A,0)),INDEX(Data!AS:AS,MATCH(Outputs!A83,Data!A:A,0))))</f>
        <v>212544931.15900001</v>
      </c>
      <c r="N83" s="143">
        <f>IF(Inputs!$E$30="Yes",INDEX(Data!BN:BN,MATCH(Outputs!$A83,Data!$A:$A,0)),INDEX(Data!BE:BE,MATCH(Outputs!$A83,Data!$A:$A,0)))</f>
        <v>215985085.31800002</v>
      </c>
      <c r="O83" s="143">
        <f>IF(Inputs!$E$30="Yes",INDEX(Data!BO:BO,MATCH(Outputs!$A83,Data!$A:$A,0)),INDEX(Data!BF:BF,MATCH(Outputs!$A83,Data!$A:$A,0)))</f>
        <v>219425239.47700003</v>
      </c>
      <c r="P83" s="143">
        <f>IF(Inputs!$E$30="Yes",INDEX(Data!BP:BP,MATCH(Outputs!$A83,Data!$A:$A,0)),INDEX(Data!BG:BG,MATCH(Outputs!$A83,Data!$A:$A,0)))</f>
        <v>222865393.63600004</v>
      </c>
      <c r="Q83" s="143">
        <f>IF(Inputs!$E$30="Yes",INDEX(Data!BQ:BQ,MATCH(Outputs!$A83,Data!$A:$A,0)),INDEX(Data!BH:BH,MATCH(Outputs!$A83,Data!$A:$A,0)))</f>
        <v>226305547.79500005</v>
      </c>
      <c r="R83" s="143">
        <f>IF(Inputs!$E$30="Yes",INDEX(Data!BR:BR,MATCH(Outputs!$A83,Data!$A:$A,0)),INDEX(Data!BI:BI,MATCH(Outputs!$A83,Data!$A:$A,0)))</f>
        <v>229745701.95400006</v>
      </c>
      <c r="S83" s="143">
        <f>IF(Inputs!$E$30="Yes",INDEX(Data!BS:BS,MATCH(Outputs!$A83,Data!$A:$A,0)),INDEX(Data!BJ:BJ,MATCH(Outputs!$A83,Data!$A:$A,0)))</f>
        <v>232789859</v>
      </c>
      <c r="T83" s="143">
        <f>IF(Inputs!$E$30="Yes",INDEX(Data!BT:BT,MATCH(Outputs!$A83,Data!$A:$A,0)),INDEX(Data!BK:BK,MATCH(Outputs!$A83,Data!$A:$A,0)))</f>
        <v>232789859</v>
      </c>
      <c r="U83" s="143">
        <f>IF(Inputs!$E$30="Yes",INDEX(Data!BU:BU,MATCH(Outputs!$A83,Data!$A:$A,0)),INDEX(Data!BL:BL,MATCH(Outputs!$A83,Data!$A:$A,0)))</f>
        <v>232789859</v>
      </c>
      <c r="V83" s="143">
        <f>INDEX('FY 22 OFA Shell'!$AX$27:$AX$195,MATCH(Outputs!A83,'FY 22 OFA Shell'!$I$27:$I$195,0))</f>
        <v>212544931.15900001</v>
      </c>
      <c r="W83" s="143">
        <f>INDEX('FY 23 OFA Shell'!$AX$27:$AX$195,MATCH(Outputs!A83,'FY 23 OFA Shell'!$I$27:$I$195,0))</f>
        <v>215985085.31800002</v>
      </c>
      <c r="X83" s="143">
        <f>INDEX('FY 23 OFA Shell'!BK$27:BK$195,MATCH(Outputs!$A83,'FY 23 OFA Shell'!$I$27:$I$195,0))</f>
        <v>219425239.47700003</v>
      </c>
      <c r="Y83" s="143">
        <f>INDEX('FY 23 OFA Shell'!BL$27:BL$195,MATCH(Outputs!$A83,'FY 23 OFA Shell'!$I$27:$I$195,0))</f>
        <v>222865393.63600004</v>
      </c>
      <c r="Z83" s="143">
        <f>INDEX('FY 23 OFA Shell'!BM$27:BM$195,MATCH(Outputs!$A83,'FY 23 OFA Shell'!$I$27:$I$195,0))</f>
        <v>226305547.79500005</v>
      </c>
      <c r="AA83" s="143">
        <f>INDEX('FY 23 OFA Shell'!BN$27:BN$195,MATCH(Outputs!$A83,'FY 23 OFA Shell'!$I$27:$I$195,0))</f>
        <v>229745701.95400006</v>
      </c>
      <c r="AB83" s="143">
        <f>INDEX('FY 23 OFA Shell'!BO$27:BO$195,MATCH(Outputs!$A83,'FY 23 OFA Shell'!$I$27:$I$195,0))</f>
        <v>232789859</v>
      </c>
      <c r="AC83" s="143">
        <f>INDEX('FY 23 OFA Shell'!BP$27:BP$195,MATCH(Outputs!$A83,'FY 23 OFA Shell'!$I$27:$I$195,0))</f>
        <v>232789859</v>
      </c>
      <c r="AD83" s="143">
        <f>INDEX('FY 23 OFA Shell'!BQ$27:BQ$195,MATCH(Outputs!$A83,'FY 23 OFA Shell'!$I$27:$I$195,0))</f>
        <v>232789859</v>
      </c>
      <c r="AE83" s="129">
        <f t="shared" si="49"/>
        <v>0</v>
      </c>
      <c r="AF83" s="129">
        <f t="shared" si="50"/>
        <v>0</v>
      </c>
      <c r="AG83" s="129">
        <f t="shared" si="51"/>
        <v>0</v>
      </c>
      <c r="AH83" s="129">
        <f t="shared" si="52"/>
        <v>0</v>
      </c>
      <c r="AI83" s="129">
        <f t="shared" si="53"/>
        <v>0</v>
      </c>
      <c r="AJ83" s="129">
        <f t="shared" si="54"/>
        <v>0</v>
      </c>
      <c r="AK83" s="129">
        <f t="shared" si="55"/>
        <v>0</v>
      </c>
      <c r="AL83" s="129">
        <f t="shared" si="56"/>
        <v>0</v>
      </c>
      <c r="AM83" s="129">
        <f t="shared" si="57"/>
        <v>0</v>
      </c>
      <c r="AN83" s="127">
        <f t="shared" si="58"/>
        <v>0</v>
      </c>
      <c r="AO83" s="127">
        <f t="shared" si="59"/>
        <v>0</v>
      </c>
      <c r="AP83" s="127">
        <f t="shared" si="60"/>
        <v>0</v>
      </c>
      <c r="AQ83" s="127">
        <f t="shared" si="61"/>
        <v>0</v>
      </c>
      <c r="AR83" s="127">
        <f t="shared" si="62"/>
        <v>0</v>
      </c>
      <c r="AS83" s="127">
        <f t="shared" si="63"/>
        <v>0</v>
      </c>
      <c r="AT83" s="127">
        <f t="shared" si="64"/>
        <v>0</v>
      </c>
      <c r="AU83" s="127">
        <f t="shared" si="65"/>
        <v>0</v>
      </c>
      <c r="AV83" s="127">
        <f t="shared" si="66"/>
        <v>0</v>
      </c>
    </row>
    <row r="84" spans="1:48" x14ac:dyDescent="0.15">
      <c r="A84" s="29" t="s">
        <v>77</v>
      </c>
      <c r="B84" s="30">
        <f>IF(Data!D79=1, MAX(Data!AA79, Inputs!$E$25) + INDEX(Inputs!$D$38:$D$42, MATCH( Data!AD79, Inputs!$B$38:$B$42, 0), 0), MAX(Data!AA79, Inputs!$E$26) +  INDEX(Inputs!$D$38:$D$42, MATCH( Data!AD79, Inputs!$B$38:$B$42, 0), 0))</f>
        <v>0.23219000000000001</v>
      </c>
      <c r="C84" s="141">
        <f>(100*Data!R79)</f>
        <v>0</v>
      </c>
      <c r="D84" s="141">
        <f>ROUND(Data!Q79*C84, 0)</f>
        <v>0</v>
      </c>
      <c r="E84" s="141">
        <f>(100*Data!T79)</f>
        <v>400</v>
      </c>
      <c r="F84" s="141">
        <f>E84*Data!S79</f>
        <v>400</v>
      </c>
      <c r="G84" s="142">
        <f>ROUND(Inputs!$E$21*Data!W79*B84, 0)</f>
        <v>652861</v>
      </c>
      <c r="H84" s="143">
        <f>IF(G84=0, 0,IF(Inputs!$E$30="Yes", IF(Data!D79=1, MAX(Outputs!D84+Outputs!F84+Outputs!G84, Data!AE79), Outputs!D84+Outputs!F84+Outputs!G84), Outputs!D84+Outputs!F84+Outputs!G84))</f>
        <v>653261</v>
      </c>
      <c r="I84" s="143">
        <f>INDEX('FY 22 OFA Shell'!$AQ$27:$AQ$195,MATCH(Outputs!A84,'FY 22 OFA Shell'!$I$27:$I$195,0))</f>
        <v>653261</v>
      </c>
      <c r="J84" s="129">
        <f>H84-Data!AT79</f>
        <v>-418461</v>
      </c>
      <c r="K84" s="127">
        <f>((H84)/(Data!AT79)) - 1</f>
        <v>-0.39045666693414893</v>
      </c>
      <c r="L84" s="127">
        <f t="shared" ref="L84:L115" si="68">IFERROR(H84/I84-1, 0)</f>
        <v>0</v>
      </c>
      <c r="M84" s="143">
        <f>(IF(Inputs!$E$30="Yes",INDEX(Data!AT:AT,MATCH(Outputs!A84,Data!A:A,0)),INDEX(Data!AS:AS,MATCH(Outputs!A84,Data!A:A,0))))</f>
        <v>1071722</v>
      </c>
      <c r="N84" s="143">
        <f>IF(Inputs!$E$30="Yes",INDEX(Data!BN:BN,MATCH(Outputs!$A84,Data!$A:$A,0)),INDEX(Data!BE:BE,MATCH(Outputs!$A84,Data!$A:$A,0)))</f>
        <v>1071722</v>
      </c>
      <c r="O84" s="143">
        <f>IF(Inputs!$E$30="Yes",INDEX(Data!BO:BO,MATCH(Outputs!$A84,Data!$A:$A,0)),INDEX(Data!BF:BF,MATCH(Outputs!$A84,Data!$A:$A,0)))</f>
        <v>1015545.2297</v>
      </c>
      <c r="P84" s="143">
        <f>IF(Inputs!$E$30="Yes",INDEX(Data!BP:BP,MATCH(Outputs!$A84,Data!$A:$A,0)),INDEX(Data!BG:BG,MATCH(Outputs!$A84,Data!$A:$A,0)))</f>
        <v>959368.45940000005</v>
      </c>
      <c r="Q84" s="143">
        <f>IF(Inputs!$E$30="Yes",INDEX(Data!BQ:BQ,MATCH(Outputs!$A84,Data!$A:$A,0)),INDEX(Data!BH:BH,MATCH(Outputs!$A84,Data!$A:$A,0)))</f>
        <v>903191.68910000008</v>
      </c>
      <c r="R84" s="143">
        <f>IF(Inputs!$E$30="Yes",INDEX(Data!BR:BR,MATCH(Outputs!$A84,Data!$A:$A,0)),INDEX(Data!BI:BI,MATCH(Outputs!$A84,Data!$A:$A,0)))</f>
        <v>847014.9188000001</v>
      </c>
      <c r="S84" s="143">
        <f>IF(Inputs!$E$30="Yes",INDEX(Data!BS:BS,MATCH(Outputs!$A84,Data!$A:$A,0)),INDEX(Data!BJ:BJ,MATCH(Outputs!$A84,Data!$A:$A,0)))</f>
        <v>790838.14850000013</v>
      </c>
      <c r="T84" s="143">
        <f>IF(Inputs!$E$30="Yes",INDEX(Data!BT:BT,MATCH(Outputs!$A84,Data!$A:$A,0)),INDEX(Data!BK:BK,MATCH(Outputs!$A84,Data!$A:$A,0)))</f>
        <v>734661.37820000015</v>
      </c>
      <c r="U84" s="143">
        <f>IF(Inputs!$E$30="Yes",INDEX(Data!BU:BU,MATCH(Outputs!$A84,Data!$A:$A,0)),INDEX(Data!BL:BL,MATCH(Outputs!$A84,Data!$A:$A,0)))</f>
        <v>653261</v>
      </c>
      <c r="V84" s="143">
        <f>INDEX('FY 22 OFA Shell'!$AX$27:$AX$195,MATCH(Outputs!A84,'FY 22 OFA Shell'!$I$27:$I$195,0))</f>
        <v>1071722</v>
      </c>
      <c r="W84" s="143">
        <f>INDEX('FY 23 OFA Shell'!$AX$27:$AX$195,MATCH(Outputs!A84,'FY 23 OFA Shell'!$I$27:$I$195,0))</f>
        <v>1071722</v>
      </c>
      <c r="X84" s="143">
        <f>INDEX('FY 23 OFA Shell'!BK$27:BK$195,MATCH(Outputs!$A84,'FY 23 OFA Shell'!$I$27:$I$195,0))</f>
        <v>1015545.2297</v>
      </c>
      <c r="Y84" s="143">
        <f>INDEX('FY 23 OFA Shell'!BL$27:BL$195,MATCH(Outputs!$A84,'FY 23 OFA Shell'!$I$27:$I$195,0))</f>
        <v>959368.45940000005</v>
      </c>
      <c r="Z84" s="143">
        <f>INDEX('FY 23 OFA Shell'!BM$27:BM$195,MATCH(Outputs!$A84,'FY 23 OFA Shell'!$I$27:$I$195,0))</f>
        <v>903191.68910000008</v>
      </c>
      <c r="AA84" s="143">
        <f>INDEX('FY 23 OFA Shell'!BN$27:BN$195,MATCH(Outputs!$A84,'FY 23 OFA Shell'!$I$27:$I$195,0))</f>
        <v>847014.9188000001</v>
      </c>
      <c r="AB84" s="143">
        <f>INDEX('FY 23 OFA Shell'!BO$27:BO$195,MATCH(Outputs!$A84,'FY 23 OFA Shell'!$I$27:$I$195,0))</f>
        <v>790838.14850000013</v>
      </c>
      <c r="AC84" s="143">
        <f>INDEX('FY 23 OFA Shell'!BP$27:BP$195,MATCH(Outputs!$A84,'FY 23 OFA Shell'!$I$27:$I$195,0))</f>
        <v>734661.37820000015</v>
      </c>
      <c r="AD84" s="143">
        <f>INDEX('FY 23 OFA Shell'!BQ$27:BQ$195,MATCH(Outputs!$A84,'FY 23 OFA Shell'!$I$27:$I$195,0))</f>
        <v>653261</v>
      </c>
      <c r="AE84" s="129">
        <f t="shared" si="49"/>
        <v>0</v>
      </c>
      <c r="AF84" s="129">
        <f t="shared" si="50"/>
        <v>0</v>
      </c>
      <c r="AG84" s="129">
        <f t="shared" si="51"/>
        <v>0</v>
      </c>
      <c r="AH84" s="129">
        <f t="shared" si="52"/>
        <v>0</v>
      </c>
      <c r="AI84" s="129">
        <f t="shared" si="53"/>
        <v>0</v>
      </c>
      <c r="AJ84" s="129">
        <f t="shared" si="54"/>
        <v>0</v>
      </c>
      <c r="AK84" s="129">
        <f t="shared" si="55"/>
        <v>0</v>
      </c>
      <c r="AL84" s="129">
        <f t="shared" si="56"/>
        <v>0</v>
      </c>
      <c r="AM84" s="129">
        <f t="shared" si="57"/>
        <v>0</v>
      </c>
      <c r="AN84" s="127">
        <f t="shared" si="58"/>
        <v>0</v>
      </c>
      <c r="AO84" s="127">
        <f t="shared" si="59"/>
        <v>0</v>
      </c>
      <c r="AP84" s="127">
        <f t="shared" si="60"/>
        <v>0</v>
      </c>
      <c r="AQ84" s="127">
        <f t="shared" si="61"/>
        <v>0</v>
      </c>
      <c r="AR84" s="127">
        <f t="shared" si="62"/>
        <v>0</v>
      </c>
      <c r="AS84" s="127">
        <f t="shared" si="63"/>
        <v>0</v>
      </c>
      <c r="AT84" s="127">
        <f t="shared" si="64"/>
        <v>0</v>
      </c>
      <c r="AU84" s="127">
        <f t="shared" si="65"/>
        <v>0</v>
      </c>
      <c r="AV84" s="127">
        <f t="shared" si="66"/>
        <v>0</v>
      </c>
    </row>
    <row r="85" spans="1:48" x14ac:dyDescent="0.15">
      <c r="A85" s="29" t="s">
        <v>78</v>
      </c>
      <c r="B85" s="30">
        <f>IF(Data!D80=1, MAX(Data!AA80, Inputs!$E$25) + INDEX(Inputs!$D$38:$D$42, MATCH( Data!AD80, Inputs!$B$38:$B$42, 0), 0), MAX(Data!AA80, Inputs!$E$26) +  INDEX(Inputs!$D$38:$D$42, MATCH( Data!AD80, Inputs!$B$38:$B$42, 0), 0))</f>
        <v>0.18199799999999999</v>
      </c>
      <c r="C85" s="141">
        <f>(100*Data!R80)</f>
        <v>1300</v>
      </c>
      <c r="D85" s="141">
        <f>ROUND(Data!Q80*C85, 0)</f>
        <v>991900</v>
      </c>
      <c r="E85" s="141">
        <f>(100*Data!T80)</f>
        <v>0</v>
      </c>
      <c r="F85" s="141">
        <f>E85*Data!S80</f>
        <v>0</v>
      </c>
      <c r="G85" s="142">
        <f>ROUND(Inputs!$E$21*Data!W80*B85, 0)</f>
        <v>1683937</v>
      </c>
      <c r="H85" s="143">
        <f>IF(G85=0, 0,IF(Inputs!$E$30="Yes", IF(Data!D80=1, MAX(Outputs!D85+Outputs!F85+Outputs!G85, Data!AE80), Outputs!D85+Outputs!F85+Outputs!G85), Outputs!D85+Outputs!F85+Outputs!G85))</f>
        <v>2675837</v>
      </c>
      <c r="I85" s="143">
        <f>INDEX('FY 22 OFA Shell'!$AQ$27:$AQ$195,MATCH(Outputs!A85,'FY 22 OFA Shell'!$I$27:$I$195,0))</f>
        <v>2675837</v>
      </c>
      <c r="J85" s="129">
        <f>H85-Data!AT80</f>
        <v>245787</v>
      </c>
      <c r="K85" s="127">
        <f>((H85)/(Data!AT80)) - 1</f>
        <v>0.1011448324108557</v>
      </c>
      <c r="L85" s="127">
        <f t="shared" si="68"/>
        <v>0</v>
      </c>
      <c r="M85" s="143">
        <f>(IF(Inputs!$E$30="Yes",INDEX(Data!AT:AT,MATCH(Outputs!A85,Data!A:A,0)),INDEX(Data!AS:AS,MATCH(Outputs!A85,Data!A:A,0))))</f>
        <v>2430050</v>
      </c>
      <c r="N85" s="143">
        <f>IF(Inputs!$E$30="Yes",INDEX(Data!BN:BN,MATCH(Outputs!$A85,Data!$A:$A,0)),INDEX(Data!BE:BE,MATCH(Outputs!$A85,Data!$A:$A,0)))</f>
        <v>2430050</v>
      </c>
      <c r="O85" s="143">
        <f>IF(Inputs!$E$30="Yes",INDEX(Data!BO:BO,MATCH(Outputs!$A85,Data!$A:$A,0)),INDEX(Data!BF:BF,MATCH(Outputs!$A85,Data!$A:$A,0)))</f>
        <v>2427306.3478999999</v>
      </c>
      <c r="P85" s="143">
        <f>IF(Inputs!$E$30="Yes",INDEX(Data!BP:BP,MATCH(Outputs!$A85,Data!$A:$A,0)),INDEX(Data!BG:BG,MATCH(Outputs!$A85,Data!$A:$A,0)))</f>
        <v>2424562.6957999999</v>
      </c>
      <c r="Q85" s="143">
        <f>IF(Inputs!$E$30="Yes",INDEX(Data!BQ:BQ,MATCH(Outputs!$A85,Data!$A:$A,0)),INDEX(Data!BH:BH,MATCH(Outputs!$A85,Data!$A:$A,0)))</f>
        <v>2421819.0436999998</v>
      </c>
      <c r="R85" s="143">
        <f>IF(Inputs!$E$30="Yes",INDEX(Data!BR:BR,MATCH(Outputs!$A85,Data!$A:$A,0)),INDEX(Data!BI:BI,MATCH(Outputs!$A85,Data!$A:$A,0)))</f>
        <v>2419075.3915999997</v>
      </c>
      <c r="S85" s="143">
        <f>IF(Inputs!$E$30="Yes",INDEX(Data!BS:BS,MATCH(Outputs!$A85,Data!$A:$A,0)),INDEX(Data!BJ:BJ,MATCH(Outputs!$A85,Data!$A:$A,0)))</f>
        <v>2416331.7394999997</v>
      </c>
      <c r="T85" s="143">
        <f>IF(Inputs!$E$30="Yes",INDEX(Data!BT:BT,MATCH(Outputs!$A85,Data!$A:$A,0)),INDEX(Data!BK:BK,MATCH(Outputs!$A85,Data!$A:$A,0)))</f>
        <v>2413588.0873999996</v>
      </c>
      <c r="U85" s="143">
        <f>IF(Inputs!$E$30="Yes",INDEX(Data!BU:BU,MATCH(Outputs!$A85,Data!$A:$A,0)),INDEX(Data!BL:BL,MATCH(Outputs!$A85,Data!$A:$A,0)))</f>
        <v>2675837</v>
      </c>
      <c r="V85" s="143">
        <f>INDEX('FY 22 OFA Shell'!$AX$27:$AX$195,MATCH(Outputs!A85,'FY 22 OFA Shell'!$I$27:$I$195,0))</f>
        <v>2430050</v>
      </c>
      <c r="W85" s="143">
        <f>INDEX('FY 23 OFA Shell'!$AX$27:$AX$195,MATCH(Outputs!A85,'FY 23 OFA Shell'!$I$27:$I$195,0))</f>
        <v>2430050</v>
      </c>
      <c r="X85" s="143">
        <f>INDEX('FY 23 OFA Shell'!BK$27:BK$195,MATCH(Outputs!$A85,'FY 23 OFA Shell'!$I$27:$I$195,0))</f>
        <v>2427306.3478999999</v>
      </c>
      <c r="Y85" s="143">
        <f>INDEX('FY 23 OFA Shell'!BL$27:BL$195,MATCH(Outputs!$A85,'FY 23 OFA Shell'!$I$27:$I$195,0))</f>
        <v>2424562.6957999999</v>
      </c>
      <c r="Z85" s="143">
        <f>INDEX('FY 23 OFA Shell'!BM$27:BM$195,MATCH(Outputs!$A85,'FY 23 OFA Shell'!$I$27:$I$195,0))</f>
        <v>2421819.0436999998</v>
      </c>
      <c r="AA85" s="143">
        <f>INDEX('FY 23 OFA Shell'!BN$27:BN$195,MATCH(Outputs!$A85,'FY 23 OFA Shell'!$I$27:$I$195,0))</f>
        <v>2419075.3915999997</v>
      </c>
      <c r="AB85" s="143">
        <f>INDEX('FY 23 OFA Shell'!BO$27:BO$195,MATCH(Outputs!$A85,'FY 23 OFA Shell'!$I$27:$I$195,0))</f>
        <v>2416331.7394999997</v>
      </c>
      <c r="AC85" s="143">
        <f>INDEX('FY 23 OFA Shell'!BP$27:BP$195,MATCH(Outputs!$A85,'FY 23 OFA Shell'!$I$27:$I$195,0))</f>
        <v>2413588.0873999996</v>
      </c>
      <c r="AD85" s="143">
        <f>INDEX('FY 23 OFA Shell'!BQ$27:BQ$195,MATCH(Outputs!$A85,'FY 23 OFA Shell'!$I$27:$I$195,0))</f>
        <v>2675837</v>
      </c>
      <c r="AE85" s="129">
        <f t="shared" ref="AE85:AE148" si="69">M85-V85</f>
        <v>0</v>
      </c>
      <c r="AF85" s="129">
        <f t="shared" ref="AF85:AF148" si="70">N85-W85</f>
        <v>0</v>
      </c>
      <c r="AG85" s="129">
        <f t="shared" ref="AG85:AG148" si="71">O85-X85</f>
        <v>0</v>
      </c>
      <c r="AH85" s="129">
        <f t="shared" ref="AH85:AH148" si="72">P85-Y85</f>
        <v>0</v>
      </c>
      <c r="AI85" s="129">
        <f t="shared" ref="AI85:AI148" si="73">Q85-Z85</f>
        <v>0</v>
      </c>
      <c r="AJ85" s="129">
        <f t="shared" ref="AJ85:AJ148" si="74">R85-AA85</f>
        <v>0</v>
      </c>
      <c r="AK85" s="129">
        <f t="shared" ref="AK85:AK148" si="75">S85-AB85</f>
        <v>0</v>
      </c>
      <c r="AL85" s="129">
        <f t="shared" ref="AL85:AL148" si="76">T85-AC85</f>
        <v>0</v>
      </c>
      <c r="AM85" s="129">
        <f t="shared" ref="AM85:AM148" si="77">U85-AD85</f>
        <v>0</v>
      </c>
      <c r="AN85" s="127">
        <f t="shared" ref="AN85:AN148" si="78">IFERROR(M85/V85-1, 0)</f>
        <v>0</v>
      </c>
      <c r="AO85" s="127">
        <f t="shared" ref="AO85:AO148" si="79">IFERROR(N85/W85-1, 0)</f>
        <v>0</v>
      </c>
      <c r="AP85" s="127">
        <f t="shared" ref="AP85:AP148" si="80">IFERROR(O85/X85-1, 0)</f>
        <v>0</v>
      </c>
      <c r="AQ85" s="127">
        <f t="shared" ref="AQ85:AQ148" si="81">IFERROR(P85/Y85-1, 0)</f>
        <v>0</v>
      </c>
      <c r="AR85" s="127">
        <f t="shared" ref="AR85:AR148" si="82">IFERROR(Q85/Z85-1, 0)</f>
        <v>0</v>
      </c>
      <c r="AS85" s="127">
        <f t="shared" ref="AS85:AS148" si="83">IFERROR(R85/AA85-1, 0)</f>
        <v>0</v>
      </c>
      <c r="AT85" s="127">
        <f t="shared" ref="AT85:AT148" si="84">IFERROR(S85/AB85-1, 0)</f>
        <v>0</v>
      </c>
      <c r="AU85" s="127">
        <f t="shared" ref="AU85:AU148" si="85">IFERROR(T85/AC85-1, 0)</f>
        <v>0</v>
      </c>
      <c r="AV85" s="127">
        <f t="shared" ref="AV85:AV148" si="86">IFERROR(U85/AD85-1, 0)</f>
        <v>0</v>
      </c>
    </row>
    <row r="86" spans="1:48" x14ac:dyDescent="0.15">
      <c r="A86" s="29" t="s">
        <v>79</v>
      </c>
      <c r="B86" s="30">
        <f>IF(Data!D81=1, MAX(Data!AA81, Inputs!$E$25) + INDEX(Inputs!$D$38:$D$42, MATCH( Data!AD81, Inputs!$B$38:$B$42, 0), 0), MAX(Data!AA81, Inputs!$E$26) +  INDEX(Inputs!$D$38:$D$42, MATCH( Data!AD81, Inputs!$B$38:$B$42, 0), 0))</f>
        <v>0.28831200000000001</v>
      </c>
      <c r="C86" s="141">
        <f>(100*Data!R81)</f>
        <v>600</v>
      </c>
      <c r="D86" s="141">
        <f>ROUND(Data!Q81*C86, 0)</f>
        <v>384000</v>
      </c>
      <c r="E86" s="141">
        <f>(100*Data!T81)</f>
        <v>0</v>
      </c>
      <c r="F86" s="141">
        <f>E86*Data!S81</f>
        <v>0</v>
      </c>
      <c r="G86" s="142">
        <f>ROUND(Inputs!$E$21*Data!W81*B86, 0)</f>
        <v>4334587</v>
      </c>
      <c r="H86" s="143">
        <f>IF(G86=0, 0,IF(Inputs!$E$30="Yes", IF(Data!D81=1, MAX(Outputs!D86+Outputs!F86+Outputs!G86, Data!AE81), Outputs!D86+Outputs!F86+Outputs!G86), Outputs!D86+Outputs!F86+Outputs!G86))</f>
        <v>4718587</v>
      </c>
      <c r="I86" s="143">
        <f>INDEX('FY 22 OFA Shell'!$AQ$27:$AQ$195,MATCH(Outputs!A86,'FY 22 OFA Shell'!$I$27:$I$195,0))</f>
        <v>4718587</v>
      </c>
      <c r="J86" s="129">
        <f>H86-Data!AT81</f>
        <v>-1279106</v>
      </c>
      <c r="K86" s="127">
        <f>((H86)/(Data!AT81)) - 1</f>
        <v>-0.21326633423884822</v>
      </c>
      <c r="L86" s="127">
        <f t="shared" si="68"/>
        <v>0</v>
      </c>
      <c r="M86" s="143">
        <f>(IF(Inputs!$E$30="Yes",INDEX(Data!AT:AT,MATCH(Outputs!A86,Data!A:A,0)),INDEX(Data!AS:AS,MATCH(Outputs!A86,Data!A:A,0))))</f>
        <v>5997693</v>
      </c>
      <c r="N86" s="143">
        <f>IF(Inputs!$E$30="Yes",INDEX(Data!BN:BN,MATCH(Outputs!$A86,Data!$A:$A,0)),INDEX(Data!BE:BE,MATCH(Outputs!$A86,Data!$A:$A,0)))</f>
        <v>5997693</v>
      </c>
      <c r="O86" s="143">
        <f>IF(Inputs!$E$30="Yes",INDEX(Data!BO:BO,MATCH(Outputs!$A86,Data!$A:$A,0)),INDEX(Data!BF:BF,MATCH(Outputs!$A86,Data!$A:$A,0)))</f>
        <v>5818053.5511999996</v>
      </c>
      <c r="P86" s="143">
        <f>IF(Inputs!$E$30="Yes",INDEX(Data!BP:BP,MATCH(Outputs!$A86,Data!$A:$A,0)),INDEX(Data!BG:BG,MATCH(Outputs!$A86,Data!$A:$A,0)))</f>
        <v>5638414.1023999993</v>
      </c>
      <c r="Q86" s="143">
        <f>IF(Inputs!$E$30="Yes",INDEX(Data!BQ:BQ,MATCH(Outputs!$A86,Data!$A:$A,0)),INDEX(Data!BH:BH,MATCH(Outputs!$A86,Data!$A:$A,0)))</f>
        <v>5458774.6535999989</v>
      </c>
      <c r="R86" s="143">
        <f>IF(Inputs!$E$30="Yes",INDEX(Data!BR:BR,MATCH(Outputs!$A86,Data!$A:$A,0)),INDEX(Data!BI:BI,MATCH(Outputs!$A86,Data!$A:$A,0)))</f>
        <v>5279135.2047999986</v>
      </c>
      <c r="S86" s="143">
        <f>IF(Inputs!$E$30="Yes",INDEX(Data!BS:BS,MATCH(Outputs!$A86,Data!$A:$A,0)),INDEX(Data!BJ:BJ,MATCH(Outputs!$A86,Data!$A:$A,0)))</f>
        <v>5099495.7559999982</v>
      </c>
      <c r="T86" s="143">
        <f>IF(Inputs!$E$30="Yes",INDEX(Data!BT:BT,MATCH(Outputs!$A86,Data!$A:$A,0)),INDEX(Data!BK:BK,MATCH(Outputs!$A86,Data!$A:$A,0)))</f>
        <v>4919856.3071999978</v>
      </c>
      <c r="U86" s="143">
        <f>IF(Inputs!$E$30="Yes",INDEX(Data!BU:BU,MATCH(Outputs!$A86,Data!$A:$A,0)),INDEX(Data!BL:BL,MATCH(Outputs!$A86,Data!$A:$A,0)))</f>
        <v>4718587</v>
      </c>
      <c r="V86" s="143">
        <f>INDEX('FY 22 OFA Shell'!$AX$27:$AX$195,MATCH(Outputs!A86,'FY 22 OFA Shell'!$I$27:$I$195,0))</f>
        <v>5997693</v>
      </c>
      <c r="W86" s="143">
        <f>INDEX('FY 23 OFA Shell'!$AX$27:$AX$195,MATCH(Outputs!A86,'FY 23 OFA Shell'!$I$27:$I$195,0))</f>
        <v>5997693</v>
      </c>
      <c r="X86" s="143">
        <f>INDEX('FY 23 OFA Shell'!BK$27:BK$195,MATCH(Outputs!$A86,'FY 23 OFA Shell'!$I$27:$I$195,0))</f>
        <v>5818053.5511999996</v>
      </c>
      <c r="Y86" s="143">
        <f>INDEX('FY 23 OFA Shell'!BL$27:BL$195,MATCH(Outputs!$A86,'FY 23 OFA Shell'!$I$27:$I$195,0))</f>
        <v>5638414.1023999993</v>
      </c>
      <c r="Z86" s="143">
        <f>INDEX('FY 23 OFA Shell'!BM$27:BM$195,MATCH(Outputs!$A86,'FY 23 OFA Shell'!$I$27:$I$195,0))</f>
        <v>5458774.6535999989</v>
      </c>
      <c r="AA86" s="143">
        <f>INDEX('FY 23 OFA Shell'!BN$27:BN$195,MATCH(Outputs!$A86,'FY 23 OFA Shell'!$I$27:$I$195,0))</f>
        <v>5279135.2047999986</v>
      </c>
      <c r="AB86" s="143">
        <f>INDEX('FY 23 OFA Shell'!BO$27:BO$195,MATCH(Outputs!$A86,'FY 23 OFA Shell'!$I$27:$I$195,0))</f>
        <v>5099495.7559999982</v>
      </c>
      <c r="AC86" s="143">
        <f>INDEX('FY 23 OFA Shell'!BP$27:BP$195,MATCH(Outputs!$A86,'FY 23 OFA Shell'!$I$27:$I$195,0))</f>
        <v>4919856.3071999978</v>
      </c>
      <c r="AD86" s="143">
        <f>INDEX('FY 23 OFA Shell'!BQ$27:BQ$195,MATCH(Outputs!$A86,'FY 23 OFA Shell'!$I$27:$I$195,0))</f>
        <v>4718587</v>
      </c>
      <c r="AE86" s="129">
        <f t="shared" si="69"/>
        <v>0</v>
      </c>
      <c r="AF86" s="129">
        <f t="shared" si="70"/>
        <v>0</v>
      </c>
      <c r="AG86" s="129">
        <f t="shared" si="71"/>
        <v>0</v>
      </c>
      <c r="AH86" s="129">
        <f t="shared" si="72"/>
        <v>0</v>
      </c>
      <c r="AI86" s="129">
        <f t="shared" si="73"/>
        <v>0</v>
      </c>
      <c r="AJ86" s="129">
        <f t="shared" si="74"/>
        <v>0</v>
      </c>
      <c r="AK86" s="129">
        <f t="shared" si="75"/>
        <v>0</v>
      </c>
      <c r="AL86" s="129">
        <f t="shared" si="76"/>
        <v>0</v>
      </c>
      <c r="AM86" s="129">
        <f t="shared" si="77"/>
        <v>0</v>
      </c>
      <c r="AN86" s="127">
        <f t="shared" si="78"/>
        <v>0</v>
      </c>
      <c r="AO86" s="127">
        <f t="shared" si="79"/>
        <v>0</v>
      </c>
      <c r="AP86" s="127">
        <f t="shared" si="80"/>
        <v>0</v>
      </c>
      <c r="AQ86" s="127">
        <f t="shared" si="81"/>
        <v>0</v>
      </c>
      <c r="AR86" s="127">
        <f t="shared" si="82"/>
        <v>0</v>
      </c>
      <c r="AS86" s="127">
        <f t="shared" si="83"/>
        <v>0</v>
      </c>
      <c r="AT86" s="127">
        <f t="shared" si="84"/>
        <v>0</v>
      </c>
      <c r="AU86" s="127">
        <f t="shared" si="85"/>
        <v>0</v>
      </c>
      <c r="AV86" s="127">
        <f t="shared" si="86"/>
        <v>0</v>
      </c>
    </row>
    <row r="87" spans="1:48" x14ac:dyDescent="0.15">
      <c r="A87" s="29" t="s">
        <v>80</v>
      </c>
      <c r="B87" s="30">
        <f>IF(Data!D82=1, MAX(Data!AA82, Inputs!$E$25) + INDEX(Inputs!$D$38:$D$42, MATCH( Data!AD82, Inputs!$B$38:$B$42, 0), 0), MAX(Data!AA82, Inputs!$E$26) +  INDEX(Inputs!$D$38:$D$42, MATCH( Data!AD82, Inputs!$B$38:$B$42, 0), 0))</f>
        <v>0.01</v>
      </c>
      <c r="C87" s="141">
        <f>(100*Data!R82)</f>
        <v>400</v>
      </c>
      <c r="D87" s="141">
        <f>ROUND(Data!Q82*C87, 0)</f>
        <v>17600</v>
      </c>
      <c r="E87" s="141">
        <f>(100*Data!T82)</f>
        <v>0</v>
      </c>
      <c r="F87" s="141">
        <f>E87*Data!S82</f>
        <v>0</v>
      </c>
      <c r="G87" s="142">
        <f>ROUND(Inputs!$E$21*Data!W82*B87, 0)</f>
        <v>29399</v>
      </c>
      <c r="H87" s="143">
        <f>IF(G87=0, 0,IF(Inputs!$E$30="Yes", IF(Data!D82=1, MAX(Outputs!D87+Outputs!F87+Outputs!G87, Data!AE82), Outputs!D87+Outputs!F87+Outputs!G87), Outputs!D87+Outputs!F87+Outputs!G87))</f>
        <v>46999</v>
      </c>
      <c r="I87" s="143">
        <f>INDEX('FY 22 OFA Shell'!$AQ$27:$AQ$195,MATCH(Outputs!A87,'FY 22 OFA Shell'!$I$27:$I$195,0))</f>
        <v>46999</v>
      </c>
      <c r="J87" s="129">
        <f>H87-Data!AT82</f>
        <v>17127.491000000002</v>
      </c>
      <c r="K87" s="127">
        <f>((H87)/(Data!AT82)) - 1</f>
        <v>0.57337213864890457</v>
      </c>
      <c r="L87" s="127">
        <f t="shared" si="68"/>
        <v>0</v>
      </c>
      <c r="M87" s="143">
        <f>(IF(Inputs!$E$30="Yes",INDEX(Data!AT:AT,MATCH(Outputs!A87,Data!A:A,0)),INDEX(Data!AS:AS,MATCH(Outputs!A87,Data!A:A,0))))</f>
        <v>29871.508999999998</v>
      </c>
      <c r="N87" s="143">
        <f>IF(Inputs!$E$30="Yes",INDEX(Data!BN:BN,MATCH(Outputs!$A87,Data!$A:$A,0)),INDEX(Data!BE:BE,MATCH(Outputs!$A87,Data!$A:$A,0)))</f>
        <v>32149.017999999996</v>
      </c>
      <c r="O87" s="143">
        <f>IF(Inputs!$E$30="Yes",INDEX(Data!BO:BO,MATCH(Outputs!$A87,Data!$A:$A,0)),INDEX(Data!BF:BF,MATCH(Outputs!$A87,Data!$A:$A,0)))</f>
        <v>34426.526999999995</v>
      </c>
      <c r="P87" s="143">
        <f>IF(Inputs!$E$30="Yes",INDEX(Data!BP:BP,MATCH(Outputs!$A87,Data!$A:$A,0)),INDEX(Data!BG:BG,MATCH(Outputs!$A87,Data!$A:$A,0)))</f>
        <v>36704.035999999993</v>
      </c>
      <c r="Q87" s="143">
        <f>IF(Inputs!$E$30="Yes",INDEX(Data!BQ:BQ,MATCH(Outputs!$A87,Data!$A:$A,0)),INDEX(Data!BH:BH,MATCH(Outputs!$A87,Data!$A:$A,0)))</f>
        <v>38981.544999999991</v>
      </c>
      <c r="R87" s="143">
        <f>IF(Inputs!$E$30="Yes",INDEX(Data!BR:BR,MATCH(Outputs!$A87,Data!$A:$A,0)),INDEX(Data!BI:BI,MATCH(Outputs!$A87,Data!$A:$A,0)))</f>
        <v>41259.053999999989</v>
      </c>
      <c r="S87" s="143">
        <f>IF(Inputs!$E$30="Yes",INDEX(Data!BS:BS,MATCH(Outputs!$A87,Data!$A:$A,0)),INDEX(Data!BJ:BJ,MATCH(Outputs!$A87,Data!$A:$A,0)))</f>
        <v>46999</v>
      </c>
      <c r="T87" s="143">
        <f>IF(Inputs!$E$30="Yes",INDEX(Data!BT:BT,MATCH(Outputs!$A87,Data!$A:$A,0)),INDEX(Data!BK:BK,MATCH(Outputs!$A87,Data!$A:$A,0)))</f>
        <v>46999</v>
      </c>
      <c r="U87" s="143">
        <f>IF(Inputs!$E$30="Yes",INDEX(Data!BU:BU,MATCH(Outputs!$A87,Data!$A:$A,0)),INDEX(Data!BL:BL,MATCH(Outputs!$A87,Data!$A:$A,0)))</f>
        <v>46999</v>
      </c>
      <c r="V87" s="143">
        <f>INDEX('FY 22 OFA Shell'!$AX$27:$AX$195,MATCH(Outputs!A87,'FY 22 OFA Shell'!$I$27:$I$195,0))</f>
        <v>29871.508999999998</v>
      </c>
      <c r="W87" s="143">
        <f>INDEX('FY 23 OFA Shell'!$AX$27:$AX$195,MATCH(Outputs!A87,'FY 23 OFA Shell'!$I$27:$I$195,0))</f>
        <v>32149.017999999996</v>
      </c>
      <c r="X87" s="143">
        <f>INDEX('FY 23 OFA Shell'!BK$27:BK$195,MATCH(Outputs!$A87,'FY 23 OFA Shell'!$I$27:$I$195,0))</f>
        <v>34426.526999999995</v>
      </c>
      <c r="Y87" s="143">
        <f>INDEX('FY 23 OFA Shell'!BL$27:BL$195,MATCH(Outputs!$A87,'FY 23 OFA Shell'!$I$27:$I$195,0))</f>
        <v>36704.035999999993</v>
      </c>
      <c r="Z87" s="143">
        <f>INDEX('FY 23 OFA Shell'!BM$27:BM$195,MATCH(Outputs!$A87,'FY 23 OFA Shell'!$I$27:$I$195,0))</f>
        <v>38981.544999999991</v>
      </c>
      <c r="AA87" s="143">
        <f>INDEX('FY 23 OFA Shell'!BN$27:BN$195,MATCH(Outputs!$A87,'FY 23 OFA Shell'!$I$27:$I$195,0))</f>
        <v>41259.053999999989</v>
      </c>
      <c r="AB87" s="143">
        <f>INDEX('FY 23 OFA Shell'!BO$27:BO$195,MATCH(Outputs!$A87,'FY 23 OFA Shell'!$I$27:$I$195,0))</f>
        <v>46999</v>
      </c>
      <c r="AC87" s="143">
        <f>INDEX('FY 23 OFA Shell'!BP$27:BP$195,MATCH(Outputs!$A87,'FY 23 OFA Shell'!$I$27:$I$195,0))</f>
        <v>46999</v>
      </c>
      <c r="AD87" s="143">
        <f>INDEX('FY 23 OFA Shell'!BQ$27:BQ$195,MATCH(Outputs!$A87,'FY 23 OFA Shell'!$I$27:$I$195,0))</f>
        <v>46999</v>
      </c>
      <c r="AE87" s="129">
        <f t="shared" si="69"/>
        <v>0</v>
      </c>
      <c r="AF87" s="129">
        <f t="shared" si="70"/>
        <v>0</v>
      </c>
      <c r="AG87" s="129">
        <f t="shared" si="71"/>
        <v>0</v>
      </c>
      <c r="AH87" s="129">
        <f t="shared" si="72"/>
        <v>0</v>
      </c>
      <c r="AI87" s="129">
        <f t="shared" si="73"/>
        <v>0</v>
      </c>
      <c r="AJ87" s="129">
        <f t="shared" si="74"/>
        <v>0</v>
      </c>
      <c r="AK87" s="129">
        <f t="shared" si="75"/>
        <v>0</v>
      </c>
      <c r="AL87" s="129">
        <f t="shared" si="76"/>
        <v>0</v>
      </c>
      <c r="AM87" s="129">
        <f t="shared" si="77"/>
        <v>0</v>
      </c>
      <c r="AN87" s="127">
        <f t="shared" si="78"/>
        <v>0</v>
      </c>
      <c r="AO87" s="127">
        <f t="shared" si="79"/>
        <v>0</v>
      </c>
      <c r="AP87" s="127">
        <f t="shared" si="80"/>
        <v>0</v>
      </c>
      <c r="AQ87" s="127">
        <f t="shared" si="81"/>
        <v>0</v>
      </c>
      <c r="AR87" s="127">
        <f t="shared" si="82"/>
        <v>0</v>
      </c>
      <c r="AS87" s="127">
        <f t="shared" si="83"/>
        <v>0</v>
      </c>
      <c r="AT87" s="127">
        <f t="shared" si="84"/>
        <v>0</v>
      </c>
      <c r="AU87" s="127">
        <f t="shared" si="85"/>
        <v>0</v>
      </c>
      <c r="AV87" s="127">
        <f t="shared" si="86"/>
        <v>0</v>
      </c>
    </row>
    <row r="88" spans="1:48" x14ac:dyDescent="0.15">
      <c r="A88" s="29" t="s">
        <v>81</v>
      </c>
      <c r="B88" s="30">
        <f>IF(Data!D83=1, MAX(Data!AA83, Inputs!$E$25) + INDEX(Inputs!$D$38:$D$42, MATCH( Data!AD83, Inputs!$B$38:$B$42, 0), 0), MAX(Data!AA83, Inputs!$E$26) +  INDEX(Inputs!$D$38:$D$42, MATCH( Data!AD83, Inputs!$B$38:$B$42, 0), 0))</f>
        <v>0.42790800000000001</v>
      </c>
      <c r="C88" s="141">
        <f>(100*Data!R83)</f>
        <v>0</v>
      </c>
      <c r="D88" s="141">
        <f>ROUND(Data!Q83*C88, 0)</f>
        <v>0</v>
      </c>
      <c r="E88" s="141">
        <f>(100*Data!T83)</f>
        <v>0</v>
      </c>
      <c r="F88" s="141">
        <f>E88*Data!S83</f>
        <v>0</v>
      </c>
      <c r="G88" s="142">
        <f>ROUND(Inputs!$E$21*Data!W83*B88, 0)</f>
        <v>12031327</v>
      </c>
      <c r="H88" s="143">
        <f>IF(G88=0, 0,IF(Inputs!$E$30="Yes", IF(Data!D83=1, MAX(Outputs!D88+Outputs!F88+Outputs!G88, Data!AE83), Outputs!D88+Outputs!F88+Outputs!G88), Outputs!D88+Outputs!F88+Outputs!G88))</f>
        <v>15574402</v>
      </c>
      <c r="I88" s="143">
        <f>INDEX('FY 22 OFA Shell'!$AQ$27:$AQ$195,MATCH(Outputs!A88,'FY 22 OFA Shell'!$I$27:$I$195,0))</f>
        <v>15574402</v>
      </c>
      <c r="J88" s="129">
        <f>H88-Data!AT83</f>
        <v>0</v>
      </c>
      <c r="K88" s="127">
        <f>((H88)/(Data!AT83)) - 1</f>
        <v>0</v>
      </c>
      <c r="L88" s="127">
        <f t="shared" si="68"/>
        <v>0</v>
      </c>
      <c r="M88" s="143">
        <f>(IF(Inputs!$E$30="Yes",INDEX(Data!AT:AT,MATCH(Outputs!A88,Data!A:A,0)),INDEX(Data!AS:AS,MATCH(Outputs!A88,Data!A:A,0))))</f>
        <v>15574402</v>
      </c>
      <c r="N88" s="143">
        <f>IF(Inputs!$E$30="Yes",INDEX(Data!BN:BN,MATCH(Outputs!$A88,Data!$A:$A,0)),INDEX(Data!BE:BE,MATCH(Outputs!$A88,Data!$A:$A,0)))</f>
        <v>15574402</v>
      </c>
      <c r="O88" s="143">
        <f>IF(Inputs!$E$30="Yes",INDEX(Data!BO:BO,MATCH(Outputs!$A88,Data!$A:$A,0)),INDEX(Data!BF:BF,MATCH(Outputs!$A88,Data!$A:$A,0)))</f>
        <v>15574402</v>
      </c>
      <c r="P88" s="143">
        <f>IF(Inputs!$E$30="Yes",INDEX(Data!BP:BP,MATCH(Outputs!$A88,Data!$A:$A,0)),INDEX(Data!BG:BG,MATCH(Outputs!$A88,Data!$A:$A,0)))</f>
        <v>15574402</v>
      </c>
      <c r="Q88" s="143">
        <f>IF(Inputs!$E$30="Yes",INDEX(Data!BQ:BQ,MATCH(Outputs!$A88,Data!$A:$A,0)),INDEX(Data!BH:BH,MATCH(Outputs!$A88,Data!$A:$A,0)))</f>
        <v>15574402</v>
      </c>
      <c r="R88" s="143">
        <f>IF(Inputs!$E$30="Yes",INDEX(Data!BR:BR,MATCH(Outputs!$A88,Data!$A:$A,0)),INDEX(Data!BI:BI,MATCH(Outputs!$A88,Data!$A:$A,0)))</f>
        <v>15574402</v>
      </c>
      <c r="S88" s="143">
        <f>IF(Inputs!$E$30="Yes",INDEX(Data!BS:BS,MATCH(Outputs!$A88,Data!$A:$A,0)),INDEX(Data!BJ:BJ,MATCH(Outputs!$A88,Data!$A:$A,0)))</f>
        <v>15574402</v>
      </c>
      <c r="T88" s="143">
        <f>IF(Inputs!$E$30="Yes",INDEX(Data!BT:BT,MATCH(Outputs!$A88,Data!$A:$A,0)),INDEX(Data!BK:BK,MATCH(Outputs!$A88,Data!$A:$A,0)))</f>
        <v>15574402</v>
      </c>
      <c r="U88" s="143">
        <f>IF(Inputs!$E$30="Yes",INDEX(Data!BU:BU,MATCH(Outputs!$A88,Data!$A:$A,0)),INDEX(Data!BL:BL,MATCH(Outputs!$A88,Data!$A:$A,0)))</f>
        <v>15574402</v>
      </c>
      <c r="V88" s="143">
        <f>INDEX('FY 22 OFA Shell'!$AX$27:$AX$195,MATCH(Outputs!A88,'FY 22 OFA Shell'!$I$27:$I$195,0))</f>
        <v>15574402</v>
      </c>
      <c r="W88" s="143">
        <f>INDEX('FY 23 OFA Shell'!$AX$27:$AX$195,MATCH(Outputs!A88,'FY 23 OFA Shell'!$I$27:$I$195,0))</f>
        <v>15574402</v>
      </c>
      <c r="X88" s="143">
        <f>INDEX('FY 23 OFA Shell'!BK$27:BK$195,MATCH(Outputs!$A88,'FY 23 OFA Shell'!$I$27:$I$195,0))</f>
        <v>15574402</v>
      </c>
      <c r="Y88" s="143">
        <f>INDEX('FY 23 OFA Shell'!BL$27:BL$195,MATCH(Outputs!$A88,'FY 23 OFA Shell'!$I$27:$I$195,0))</f>
        <v>15574402</v>
      </c>
      <c r="Z88" s="143">
        <f>INDEX('FY 23 OFA Shell'!BM$27:BM$195,MATCH(Outputs!$A88,'FY 23 OFA Shell'!$I$27:$I$195,0))</f>
        <v>15574402</v>
      </c>
      <c r="AA88" s="143">
        <f>INDEX('FY 23 OFA Shell'!BN$27:BN$195,MATCH(Outputs!$A88,'FY 23 OFA Shell'!$I$27:$I$195,0))</f>
        <v>15574402</v>
      </c>
      <c r="AB88" s="143">
        <f>INDEX('FY 23 OFA Shell'!BO$27:BO$195,MATCH(Outputs!$A88,'FY 23 OFA Shell'!$I$27:$I$195,0))</f>
        <v>15574402</v>
      </c>
      <c r="AC88" s="143">
        <f>INDEX('FY 23 OFA Shell'!BP$27:BP$195,MATCH(Outputs!$A88,'FY 23 OFA Shell'!$I$27:$I$195,0))</f>
        <v>15574402</v>
      </c>
      <c r="AD88" s="143">
        <f>INDEX('FY 23 OFA Shell'!BQ$27:BQ$195,MATCH(Outputs!$A88,'FY 23 OFA Shell'!$I$27:$I$195,0))</f>
        <v>15574402</v>
      </c>
      <c r="AE88" s="129">
        <f t="shared" si="69"/>
        <v>0</v>
      </c>
      <c r="AF88" s="129">
        <f t="shared" si="70"/>
        <v>0</v>
      </c>
      <c r="AG88" s="129">
        <f t="shared" si="71"/>
        <v>0</v>
      </c>
      <c r="AH88" s="129">
        <f t="shared" si="72"/>
        <v>0</v>
      </c>
      <c r="AI88" s="129">
        <f t="shared" si="73"/>
        <v>0</v>
      </c>
      <c r="AJ88" s="129">
        <f t="shared" si="74"/>
        <v>0</v>
      </c>
      <c r="AK88" s="129">
        <f t="shared" si="75"/>
        <v>0</v>
      </c>
      <c r="AL88" s="129">
        <f t="shared" si="76"/>
        <v>0</v>
      </c>
      <c r="AM88" s="129">
        <f t="shared" si="77"/>
        <v>0</v>
      </c>
      <c r="AN88" s="127">
        <f t="shared" si="78"/>
        <v>0</v>
      </c>
      <c r="AO88" s="127">
        <f t="shared" si="79"/>
        <v>0</v>
      </c>
      <c r="AP88" s="127">
        <f t="shared" si="80"/>
        <v>0</v>
      </c>
      <c r="AQ88" s="127">
        <f t="shared" si="81"/>
        <v>0</v>
      </c>
      <c r="AR88" s="127">
        <f t="shared" si="82"/>
        <v>0</v>
      </c>
      <c r="AS88" s="127">
        <f t="shared" si="83"/>
        <v>0</v>
      </c>
      <c r="AT88" s="127">
        <f t="shared" si="84"/>
        <v>0</v>
      </c>
      <c r="AU88" s="127">
        <f t="shared" si="85"/>
        <v>0</v>
      </c>
      <c r="AV88" s="127">
        <f t="shared" si="86"/>
        <v>0</v>
      </c>
    </row>
    <row r="89" spans="1:48" x14ac:dyDescent="0.15">
      <c r="A89" s="29" t="s">
        <v>82</v>
      </c>
      <c r="B89" s="30">
        <f>IF(Data!D84=1, MAX(Data!AA84, Inputs!$E$25) + INDEX(Inputs!$D$38:$D$42, MATCH( Data!AD84, Inputs!$B$38:$B$42, 0), 0), MAX(Data!AA84, Inputs!$E$26) +  INDEX(Inputs!$D$38:$D$42, MATCH( Data!AD84, Inputs!$B$38:$B$42, 0), 0))</f>
        <v>0.141509</v>
      </c>
      <c r="C89" s="141">
        <f>(100*Data!R84)</f>
        <v>1300</v>
      </c>
      <c r="D89" s="141">
        <f>ROUND(Data!Q84*C89, 0)</f>
        <v>960700</v>
      </c>
      <c r="E89" s="141">
        <f>(100*Data!T84)</f>
        <v>0</v>
      </c>
      <c r="F89" s="141">
        <f>E89*Data!S84</f>
        <v>0</v>
      </c>
      <c r="G89" s="142">
        <f>ROUND(Inputs!$E$21*Data!W84*B89, 0)</f>
        <v>1230785</v>
      </c>
      <c r="H89" s="143">
        <f>IF(G89=0, 0,IF(Inputs!$E$30="Yes", IF(Data!D84=1, MAX(Outputs!D89+Outputs!F89+Outputs!G89, Data!AE84), Outputs!D89+Outputs!F89+Outputs!G89), Outputs!D89+Outputs!F89+Outputs!G89))</f>
        <v>2191485</v>
      </c>
      <c r="I89" s="143">
        <f>INDEX('FY 22 OFA Shell'!$AQ$27:$AQ$195,MATCH(Outputs!A89,'FY 22 OFA Shell'!$I$27:$I$195,0))</f>
        <v>2191485</v>
      </c>
      <c r="J89" s="129">
        <f>H89-Data!AT84</f>
        <v>511896.27099999995</v>
      </c>
      <c r="K89" s="127">
        <f>((H89)/(Data!AT84)) - 1</f>
        <v>0.3047747714434681</v>
      </c>
      <c r="L89" s="127">
        <f t="shared" si="68"/>
        <v>0</v>
      </c>
      <c r="M89" s="143">
        <f>(IF(Inputs!$E$30="Yes",INDEX(Data!AT:AT,MATCH(Outputs!A89,Data!A:A,0)),INDEX(Data!AS:AS,MATCH(Outputs!A89,Data!A:A,0))))</f>
        <v>1679588.7290000001</v>
      </c>
      <c r="N89" s="143">
        <f>IF(Inputs!$E$30="Yes",INDEX(Data!BN:BN,MATCH(Outputs!$A89,Data!$A:$A,0)),INDEX(Data!BE:BE,MATCH(Outputs!$A89,Data!$A:$A,0)))</f>
        <v>1681514.4580000001</v>
      </c>
      <c r="O89" s="143">
        <f>IF(Inputs!$E$30="Yes",INDEX(Data!BO:BO,MATCH(Outputs!$A89,Data!$A:$A,0)),INDEX(Data!BF:BF,MATCH(Outputs!$A89,Data!$A:$A,0)))</f>
        <v>1683440.1870000002</v>
      </c>
      <c r="P89" s="143">
        <f>IF(Inputs!$E$30="Yes",INDEX(Data!BP:BP,MATCH(Outputs!$A89,Data!$A:$A,0)),INDEX(Data!BG:BG,MATCH(Outputs!$A89,Data!$A:$A,0)))</f>
        <v>1685365.9160000002</v>
      </c>
      <c r="Q89" s="143">
        <f>IF(Inputs!$E$30="Yes",INDEX(Data!BQ:BQ,MATCH(Outputs!$A89,Data!$A:$A,0)),INDEX(Data!BH:BH,MATCH(Outputs!$A89,Data!$A:$A,0)))</f>
        <v>1687291.6450000003</v>
      </c>
      <c r="R89" s="143">
        <f>IF(Inputs!$E$30="Yes",INDEX(Data!BR:BR,MATCH(Outputs!$A89,Data!$A:$A,0)),INDEX(Data!BI:BI,MATCH(Outputs!$A89,Data!$A:$A,0)))</f>
        <v>1689217.3740000003</v>
      </c>
      <c r="S89" s="143">
        <f>IF(Inputs!$E$30="Yes",INDEX(Data!BS:BS,MATCH(Outputs!$A89,Data!$A:$A,0)),INDEX(Data!BJ:BJ,MATCH(Outputs!$A89,Data!$A:$A,0)))</f>
        <v>2191485</v>
      </c>
      <c r="T89" s="143">
        <f>IF(Inputs!$E$30="Yes",INDEX(Data!BT:BT,MATCH(Outputs!$A89,Data!$A:$A,0)),INDEX(Data!BK:BK,MATCH(Outputs!$A89,Data!$A:$A,0)))</f>
        <v>2191485</v>
      </c>
      <c r="U89" s="143">
        <f>IF(Inputs!$E$30="Yes",INDEX(Data!BU:BU,MATCH(Outputs!$A89,Data!$A:$A,0)),INDEX(Data!BL:BL,MATCH(Outputs!$A89,Data!$A:$A,0)))</f>
        <v>2191485</v>
      </c>
      <c r="V89" s="143">
        <f>INDEX('FY 22 OFA Shell'!$AX$27:$AX$195,MATCH(Outputs!A89,'FY 22 OFA Shell'!$I$27:$I$195,0))</f>
        <v>1679588.7290000001</v>
      </c>
      <c r="W89" s="143">
        <f>INDEX('FY 23 OFA Shell'!$AX$27:$AX$195,MATCH(Outputs!A89,'FY 23 OFA Shell'!$I$27:$I$195,0))</f>
        <v>1681514.4580000001</v>
      </c>
      <c r="X89" s="143">
        <f>INDEX('FY 23 OFA Shell'!BK$27:BK$195,MATCH(Outputs!$A89,'FY 23 OFA Shell'!$I$27:$I$195,0))</f>
        <v>1683440.1870000002</v>
      </c>
      <c r="Y89" s="143">
        <f>INDEX('FY 23 OFA Shell'!BL$27:BL$195,MATCH(Outputs!$A89,'FY 23 OFA Shell'!$I$27:$I$195,0))</f>
        <v>1685365.9160000002</v>
      </c>
      <c r="Z89" s="143">
        <f>INDEX('FY 23 OFA Shell'!BM$27:BM$195,MATCH(Outputs!$A89,'FY 23 OFA Shell'!$I$27:$I$195,0))</f>
        <v>1687291.6450000003</v>
      </c>
      <c r="AA89" s="143">
        <f>INDEX('FY 23 OFA Shell'!BN$27:BN$195,MATCH(Outputs!$A89,'FY 23 OFA Shell'!$I$27:$I$195,0))</f>
        <v>1689217.3740000003</v>
      </c>
      <c r="AB89" s="143">
        <f>INDEX('FY 23 OFA Shell'!BO$27:BO$195,MATCH(Outputs!$A89,'FY 23 OFA Shell'!$I$27:$I$195,0))</f>
        <v>2191485</v>
      </c>
      <c r="AC89" s="143">
        <f>INDEX('FY 23 OFA Shell'!BP$27:BP$195,MATCH(Outputs!$A89,'FY 23 OFA Shell'!$I$27:$I$195,0))</f>
        <v>2191485</v>
      </c>
      <c r="AD89" s="143">
        <f>INDEX('FY 23 OFA Shell'!BQ$27:BQ$195,MATCH(Outputs!$A89,'FY 23 OFA Shell'!$I$27:$I$195,0))</f>
        <v>2191485</v>
      </c>
      <c r="AE89" s="129">
        <f t="shared" si="69"/>
        <v>0</v>
      </c>
      <c r="AF89" s="129">
        <f t="shared" si="70"/>
        <v>0</v>
      </c>
      <c r="AG89" s="129">
        <f t="shared" si="71"/>
        <v>0</v>
      </c>
      <c r="AH89" s="129">
        <f t="shared" si="72"/>
        <v>0</v>
      </c>
      <c r="AI89" s="129">
        <f t="shared" si="73"/>
        <v>0</v>
      </c>
      <c r="AJ89" s="129">
        <f t="shared" si="74"/>
        <v>0</v>
      </c>
      <c r="AK89" s="129">
        <f t="shared" si="75"/>
        <v>0</v>
      </c>
      <c r="AL89" s="129">
        <f t="shared" si="76"/>
        <v>0</v>
      </c>
      <c r="AM89" s="129">
        <f t="shared" si="77"/>
        <v>0</v>
      </c>
      <c r="AN89" s="127">
        <f t="shared" si="78"/>
        <v>0</v>
      </c>
      <c r="AO89" s="127">
        <f t="shared" si="79"/>
        <v>0</v>
      </c>
      <c r="AP89" s="127">
        <f t="shared" si="80"/>
        <v>0</v>
      </c>
      <c r="AQ89" s="127">
        <f t="shared" si="81"/>
        <v>0</v>
      </c>
      <c r="AR89" s="127">
        <f t="shared" si="82"/>
        <v>0</v>
      </c>
      <c r="AS89" s="127">
        <f t="shared" si="83"/>
        <v>0</v>
      </c>
      <c r="AT89" s="127">
        <f t="shared" si="84"/>
        <v>0</v>
      </c>
      <c r="AU89" s="127">
        <f t="shared" si="85"/>
        <v>0</v>
      </c>
      <c r="AV89" s="127">
        <f t="shared" si="86"/>
        <v>0</v>
      </c>
    </row>
    <row r="90" spans="1:48" x14ac:dyDescent="0.15">
      <c r="A90" s="29" t="s">
        <v>83</v>
      </c>
      <c r="B90" s="30">
        <f>IF(Data!D85=1, MAX(Data!AA85, Inputs!$E$25) + INDEX(Inputs!$D$38:$D$42, MATCH( Data!AD85, Inputs!$B$38:$B$42, 0), 0), MAX(Data!AA85, Inputs!$E$26) +  INDEX(Inputs!$D$38:$D$42, MATCH( Data!AD85, Inputs!$B$38:$B$42, 0), 0))</f>
        <v>0.28275699999999998</v>
      </c>
      <c r="C90" s="141">
        <f>(100*Data!R85)</f>
        <v>0</v>
      </c>
      <c r="D90" s="141">
        <f>ROUND(Data!Q85*C90, 0)</f>
        <v>0</v>
      </c>
      <c r="E90" s="141">
        <f>(100*Data!T85)</f>
        <v>0</v>
      </c>
      <c r="F90" s="141">
        <f>E90*Data!S85</f>
        <v>0</v>
      </c>
      <c r="G90" s="142">
        <f>ROUND(Inputs!$E$21*Data!W85*B90, 0)</f>
        <v>3172906</v>
      </c>
      <c r="H90" s="143">
        <f>IF(G90=0, 0,IF(Inputs!$E$30="Yes", IF(Data!D85=1, MAX(Outputs!D90+Outputs!F90+Outputs!G90, Data!AE85), Outputs!D90+Outputs!F90+Outputs!G90), Outputs!D90+Outputs!F90+Outputs!G90))</f>
        <v>3172906</v>
      </c>
      <c r="I90" s="143">
        <f>INDEX('FY 22 OFA Shell'!$AQ$27:$AQ$195,MATCH(Outputs!A90,'FY 22 OFA Shell'!$I$27:$I$195,0))</f>
        <v>3172906</v>
      </c>
      <c r="J90" s="129">
        <f>H90-Data!AT85</f>
        <v>-1405683</v>
      </c>
      <c r="K90" s="127">
        <f>((H90)/(Data!AT85)) - 1</f>
        <v>-0.30701226950049454</v>
      </c>
      <c r="L90" s="127">
        <f t="shared" si="68"/>
        <v>0</v>
      </c>
      <c r="M90" s="143">
        <f>(IF(Inputs!$E$30="Yes",INDEX(Data!AT:AT,MATCH(Outputs!A90,Data!A:A,0)),INDEX(Data!AS:AS,MATCH(Outputs!A90,Data!A:A,0))))</f>
        <v>4578589</v>
      </c>
      <c r="N90" s="143">
        <f>IF(Inputs!$E$30="Yes",INDEX(Data!BN:BN,MATCH(Outputs!$A90,Data!$A:$A,0)),INDEX(Data!BE:BE,MATCH(Outputs!$A90,Data!$A:$A,0)))</f>
        <v>4578589</v>
      </c>
      <c r="O90" s="143">
        <f>IF(Inputs!$E$30="Yes",INDEX(Data!BO:BO,MATCH(Outputs!$A90,Data!$A:$A,0)),INDEX(Data!BF:BF,MATCH(Outputs!$A90,Data!$A:$A,0)))</f>
        <v>4392205.4166000001</v>
      </c>
      <c r="P90" s="143">
        <f>IF(Inputs!$E$30="Yes",INDEX(Data!BP:BP,MATCH(Outputs!$A90,Data!$A:$A,0)),INDEX(Data!BG:BG,MATCH(Outputs!$A90,Data!$A:$A,0)))</f>
        <v>4205821.8332000002</v>
      </c>
      <c r="Q90" s="143">
        <f>IF(Inputs!$E$30="Yes",INDEX(Data!BQ:BQ,MATCH(Outputs!$A90,Data!$A:$A,0)),INDEX(Data!BH:BH,MATCH(Outputs!$A90,Data!$A:$A,0)))</f>
        <v>4019438.2498000003</v>
      </c>
      <c r="R90" s="143">
        <f>IF(Inputs!$E$30="Yes",INDEX(Data!BR:BR,MATCH(Outputs!$A90,Data!$A:$A,0)),INDEX(Data!BI:BI,MATCH(Outputs!$A90,Data!$A:$A,0)))</f>
        <v>3833054.6664000005</v>
      </c>
      <c r="S90" s="143">
        <f>IF(Inputs!$E$30="Yes",INDEX(Data!BS:BS,MATCH(Outputs!$A90,Data!$A:$A,0)),INDEX(Data!BJ:BJ,MATCH(Outputs!$A90,Data!$A:$A,0)))</f>
        <v>3646671.0830000006</v>
      </c>
      <c r="T90" s="143">
        <f>IF(Inputs!$E$30="Yes",INDEX(Data!BT:BT,MATCH(Outputs!$A90,Data!$A:$A,0)),INDEX(Data!BK:BK,MATCH(Outputs!$A90,Data!$A:$A,0)))</f>
        <v>3460287.4996000007</v>
      </c>
      <c r="U90" s="143">
        <f>IF(Inputs!$E$30="Yes",INDEX(Data!BU:BU,MATCH(Outputs!$A90,Data!$A:$A,0)),INDEX(Data!BL:BL,MATCH(Outputs!$A90,Data!$A:$A,0)))</f>
        <v>3172906</v>
      </c>
      <c r="V90" s="143">
        <f>INDEX('FY 22 OFA Shell'!$AX$27:$AX$195,MATCH(Outputs!A90,'FY 22 OFA Shell'!$I$27:$I$195,0))</f>
        <v>4578589</v>
      </c>
      <c r="W90" s="143">
        <f>INDEX('FY 23 OFA Shell'!$AX$27:$AX$195,MATCH(Outputs!A90,'FY 23 OFA Shell'!$I$27:$I$195,0))</f>
        <v>4578589</v>
      </c>
      <c r="X90" s="143">
        <f>INDEX('FY 23 OFA Shell'!BK$27:BK$195,MATCH(Outputs!$A90,'FY 23 OFA Shell'!$I$27:$I$195,0))</f>
        <v>4392205.4166000001</v>
      </c>
      <c r="Y90" s="143">
        <f>INDEX('FY 23 OFA Shell'!BL$27:BL$195,MATCH(Outputs!$A90,'FY 23 OFA Shell'!$I$27:$I$195,0))</f>
        <v>4205821.8332000002</v>
      </c>
      <c r="Z90" s="143">
        <f>INDEX('FY 23 OFA Shell'!BM$27:BM$195,MATCH(Outputs!$A90,'FY 23 OFA Shell'!$I$27:$I$195,0))</f>
        <v>4019438.2498000003</v>
      </c>
      <c r="AA90" s="143">
        <f>INDEX('FY 23 OFA Shell'!BN$27:BN$195,MATCH(Outputs!$A90,'FY 23 OFA Shell'!$I$27:$I$195,0))</f>
        <v>3833054.6664000005</v>
      </c>
      <c r="AB90" s="143">
        <f>INDEX('FY 23 OFA Shell'!BO$27:BO$195,MATCH(Outputs!$A90,'FY 23 OFA Shell'!$I$27:$I$195,0))</f>
        <v>3646671.0830000006</v>
      </c>
      <c r="AC90" s="143">
        <f>INDEX('FY 23 OFA Shell'!BP$27:BP$195,MATCH(Outputs!$A90,'FY 23 OFA Shell'!$I$27:$I$195,0))</f>
        <v>3460287.4996000007</v>
      </c>
      <c r="AD90" s="143">
        <f>INDEX('FY 23 OFA Shell'!BQ$27:BQ$195,MATCH(Outputs!$A90,'FY 23 OFA Shell'!$I$27:$I$195,0))</f>
        <v>3172906</v>
      </c>
      <c r="AE90" s="129">
        <f t="shared" si="69"/>
        <v>0</v>
      </c>
      <c r="AF90" s="129">
        <f t="shared" si="70"/>
        <v>0</v>
      </c>
      <c r="AG90" s="129">
        <f t="shared" si="71"/>
        <v>0</v>
      </c>
      <c r="AH90" s="129">
        <f t="shared" si="72"/>
        <v>0</v>
      </c>
      <c r="AI90" s="129">
        <f t="shared" si="73"/>
        <v>0</v>
      </c>
      <c r="AJ90" s="129">
        <f t="shared" si="74"/>
        <v>0</v>
      </c>
      <c r="AK90" s="129">
        <f t="shared" si="75"/>
        <v>0</v>
      </c>
      <c r="AL90" s="129">
        <f t="shared" si="76"/>
        <v>0</v>
      </c>
      <c r="AM90" s="129">
        <f t="shared" si="77"/>
        <v>0</v>
      </c>
      <c r="AN90" s="127">
        <f t="shared" si="78"/>
        <v>0</v>
      </c>
      <c r="AO90" s="127">
        <f t="shared" si="79"/>
        <v>0</v>
      </c>
      <c r="AP90" s="127">
        <f t="shared" si="80"/>
        <v>0</v>
      </c>
      <c r="AQ90" s="127">
        <f t="shared" si="81"/>
        <v>0</v>
      </c>
      <c r="AR90" s="127">
        <f t="shared" si="82"/>
        <v>0</v>
      </c>
      <c r="AS90" s="127">
        <f t="shared" si="83"/>
        <v>0</v>
      </c>
      <c r="AT90" s="127">
        <f t="shared" si="84"/>
        <v>0</v>
      </c>
      <c r="AU90" s="127">
        <f t="shared" si="85"/>
        <v>0</v>
      </c>
      <c r="AV90" s="127">
        <f t="shared" si="86"/>
        <v>0</v>
      </c>
    </row>
    <row r="91" spans="1:48" x14ac:dyDescent="0.15">
      <c r="A91" s="29" t="s">
        <v>84</v>
      </c>
      <c r="B91" s="30">
        <f>IF(Data!D86=1, MAX(Data!AA86, Inputs!$E$25) + INDEX(Inputs!$D$38:$D$42, MATCH( Data!AD86, Inputs!$B$38:$B$42, 0), 0), MAX(Data!AA86, Inputs!$E$26) +  INDEX(Inputs!$D$38:$D$42, MATCH( Data!AD86, Inputs!$B$38:$B$42, 0), 0))</f>
        <v>0.36441299999999999</v>
      </c>
      <c r="C91" s="141">
        <f>(100*Data!R86)</f>
        <v>0</v>
      </c>
      <c r="D91" s="141">
        <f>ROUND(Data!Q86*C91, 0)</f>
        <v>0</v>
      </c>
      <c r="E91" s="141">
        <f>(100*Data!T86)</f>
        <v>0</v>
      </c>
      <c r="F91" s="141">
        <f>E91*Data!S86</f>
        <v>0</v>
      </c>
      <c r="G91" s="142">
        <f>ROUND(Inputs!$E$21*Data!W86*B91, 0)</f>
        <v>10619178</v>
      </c>
      <c r="H91" s="143">
        <f>IF(G91=0, 0,IF(Inputs!$E$30="Yes", IF(Data!D86=1, MAX(Outputs!D91+Outputs!F91+Outputs!G91, Data!AE86), Outputs!D91+Outputs!F91+Outputs!G91), Outputs!D91+Outputs!F91+Outputs!G91))</f>
        <v>10619178</v>
      </c>
      <c r="I91" s="143">
        <f>INDEX('FY 22 OFA Shell'!$AQ$27:$AQ$195,MATCH(Outputs!A91,'FY 22 OFA Shell'!$I$27:$I$195,0))</f>
        <v>10619178</v>
      </c>
      <c r="J91" s="129">
        <f>H91-Data!AT86</f>
        <v>-873338</v>
      </c>
      <c r="K91" s="127">
        <f>((H91)/(Data!AT86)) - 1</f>
        <v>-7.5991888982360312E-2</v>
      </c>
      <c r="L91" s="127">
        <f t="shared" si="68"/>
        <v>0</v>
      </c>
      <c r="M91" s="143">
        <f>(IF(Inputs!$E$30="Yes",INDEX(Data!AT:AT,MATCH(Outputs!A91,Data!A:A,0)),INDEX(Data!AS:AS,MATCH(Outputs!A91,Data!A:A,0))))</f>
        <v>11492516</v>
      </c>
      <c r="N91" s="143">
        <f>IF(Inputs!$E$30="Yes",INDEX(Data!BN:BN,MATCH(Outputs!$A91,Data!$A:$A,0)),INDEX(Data!BE:BE,MATCH(Outputs!$A91,Data!$A:$A,0)))</f>
        <v>11492516</v>
      </c>
      <c r="O91" s="143">
        <f>IF(Inputs!$E$30="Yes",INDEX(Data!BO:BO,MATCH(Outputs!$A91,Data!$A:$A,0)),INDEX(Data!BF:BF,MATCH(Outputs!$A91,Data!$A:$A,0)))</f>
        <v>11379377.440199999</v>
      </c>
      <c r="P91" s="143">
        <f>IF(Inputs!$E$30="Yes",INDEX(Data!BP:BP,MATCH(Outputs!$A91,Data!$A:$A,0)),INDEX(Data!BG:BG,MATCH(Outputs!$A91,Data!$A:$A,0)))</f>
        <v>11266238.880399998</v>
      </c>
      <c r="Q91" s="143">
        <f>IF(Inputs!$E$30="Yes",INDEX(Data!BQ:BQ,MATCH(Outputs!$A91,Data!$A:$A,0)),INDEX(Data!BH:BH,MATCH(Outputs!$A91,Data!$A:$A,0)))</f>
        <v>11153100.320599997</v>
      </c>
      <c r="R91" s="143">
        <f>IF(Inputs!$E$30="Yes",INDEX(Data!BR:BR,MATCH(Outputs!$A91,Data!$A:$A,0)),INDEX(Data!BI:BI,MATCH(Outputs!$A91,Data!$A:$A,0)))</f>
        <v>11039961.760799997</v>
      </c>
      <c r="S91" s="143">
        <f>IF(Inputs!$E$30="Yes",INDEX(Data!BS:BS,MATCH(Outputs!$A91,Data!$A:$A,0)),INDEX(Data!BJ:BJ,MATCH(Outputs!$A91,Data!$A:$A,0)))</f>
        <v>10926823.200999996</v>
      </c>
      <c r="T91" s="143">
        <f>IF(Inputs!$E$30="Yes",INDEX(Data!BT:BT,MATCH(Outputs!$A91,Data!$A:$A,0)),INDEX(Data!BK:BK,MATCH(Outputs!$A91,Data!$A:$A,0)))</f>
        <v>10813684.641199995</v>
      </c>
      <c r="U91" s="143">
        <f>IF(Inputs!$E$30="Yes",INDEX(Data!BU:BU,MATCH(Outputs!$A91,Data!$A:$A,0)),INDEX(Data!BL:BL,MATCH(Outputs!$A91,Data!$A:$A,0)))</f>
        <v>10619178</v>
      </c>
      <c r="V91" s="143">
        <f>INDEX('FY 22 OFA Shell'!$AX$27:$AX$195,MATCH(Outputs!A91,'FY 22 OFA Shell'!$I$27:$I$195,0))</f>
        <v>11492516</v>
      </c>
      <c r="W91" s="143">
        <f>INDEX('FY 23 OFA Shell'!$AX$27:$AX$195,MATCH(Outputs!A91,'FY 23 OFA Shell'!$I$27:$I$195,0))</f>
        <v>11492516</v>
      </c>
      <c r="X91" s="143">
        <f>INDEX('FY 23 OFA Shell'!BK$27:BK$195,MATCH(Outputs!$A91,'FY 23 OFA Shell'!$I$27:$I$195,0))</f>
        <v>11379377.440199999</v>
      </c>
      <c r="Y91" s="143">
        <f>INDEX('FY 23 OFA Shell'!BL$27:BL$195,MATCH(Outputs!$A91,'FY 23 OFA Shell'!$I$27:$I$195,0))</f>
        <v>11266238.880399998</v>
      </c>
      <c r="Z91" s="143">
        <f>INDEX('FY 23 OFA Shell'!BM$27:BM$195,MATCH(Outputs!$A91,'FY 23 OFA Shell'!$I$27:$I$195,0))</f>
        <v>11153100.320599997</v>
      </c>
      <c r="AA91" s="143">
        <f>INDEX('FY 23 OFA Shell'!BN$27:BN$195,MATCH(Outputs!$A91,'FY 23 OFA Shell'!$I$27:$I$195,0))</f>
        <v>11039961.760799997</v>
      </c>
      <c r="AB91" s="143">
        <f>INDEX('FY 23 OFA Shell'!BO$27:BO$195,MATCH(Outputs!$A91,'FY 23 OFA Shell'!$I$27:$I$195,0))</f>
        <v>10926823.200999996</v>
      </c>
      <c r="AC91" s="143">
        <f>INDEX('FY 23 OFA Shell'!BP$27:BP$195,MATCH(Outputs!$A91,'FY 23 OFA Shell'!$I$27:$I$195,0))</f>
        <v>10813684.641199995</v>
      </c>
      <c r="AD91" s="143">
        <f>INDEX('FY 23 OFA Shell'!BQ$27:BQ$195,MATCH(Outputs!$A91,'FY 23 OFA Shell'!$I$27:$I$195,0))</f>
        <v>10619178</v>
      </c>
      <c r="AE91" s="129">
        <f t="shared" si="69"/>
        <v>0</v>
      </c>
      <c r="AF91" s="129">
        <f t="shared" si="70"/>
        <v>0</v>
      </c>
      <c r="AG91" s="129">
        <f t="shared" si="71"/>
        <v>0</v>
      </c>
      <c r="AH91" s="129">
        <f t="shared" si="72"/>
        <v>0</v>
      </c>
      <c r="AI91" s="129">
        <f t="shared" si="73"/>
        <v>0</v>
      </c>
      <c r="AJ91" s="129">
        <f t="shared" si="74"/>
        <v>0</v>
      </c>
      <c r="AK91" s="129">
        <f t="shared" si="75"/>
        <v>0</v>
      </c>
      <c r="AL91" s="129">
        <f t="shared" si="76"/>
        <v>0</v>
      </c>
      <c r="AM91" s="129">
        <f t="shared" si="77"/>
        <v>0</v>
      </c>
      <c r="AN91" s="127">
        <f t="shared" si="78"/>
        <v>0</v>
      </c>
      <c r="AO91" s="127">
        <f t="shared" si="79"/>
        <v>0</v>
      </c>
      <c r="AP91" s="127">
        <f t="shared" si="80"/>
        <v>0</v>
      </c>
      <c r="AQ91" s="127">
        <f t="shared" si="81"/>
        <v>0</v>
      </c>
      <c r="AR91" s="127">
        <f t="shared" si="82"/>
        <v>0</v>
      </c>
      <c r="AS91" s="127">
        <f t="shared" si="83"/>
        <v>0</v>
      </c>
      <c r="AT91" s="127">
        <f t="shared" si="84"/>
        <v>0</v>
      </c>
      <c r="AU91" s="127">
        <f t="shared" si="85"/>
        <v>0</v>
      </c>
      <c r="AV91" s="127">
        <f t="shared" si="86"/>
        <v>0</v>
      </c>
    </row>
    <row r="92" spans="1:48" x14ac:dyDescent="0.15">
      <c r="A92" s="29" t="s">
        <v>85</v>
      </c>
      <c r="B92" s="30">
        <f>IF(Data!D87=1, MAX(Data!AA87, Inputs!$E$25) + INDEX(Inputs!$D$38:$D$42, MATCH( Data!AD87, Inputs!$B$38:$B$42, 0), 0), MAX(Data!AA87, Inputs!$E$26) +  INDEX(Inputs!$D$38:$D$42, MATCH( Data!AD87, Inputs!$B$38:$B$42, 0), 0))</f>
        <v>0.28601199999999999</v>
      </c>
      <c r="C92" s="141">
        <f>(100*Data!R87)</f>
        <v>0</v>
      </c>
      <c r="D92" s="141">
        <f>ROUND(Data!Q87*C92, 0)</f>
        <v>0</v>
      </c>
      <c r="E92" s="141">
        <f>(100*Data!T87)</f>
        <v>400</v>
      </c>
      <c r="F92" s="141">
        <f>E92*Data!S87</f>
        <v>48800</v>
      </c>
      <c r="G92" s="142">
        <f>ROUND(Inputs!$E$21*Data!W87*B92, 0)</f>
        <v>2122546</v>
      </c>
      <c r="H92" s="143">
        <f>IF(G92=0, 0,IF(Inputs!$E$30="Yes", IF(Data!D87=1, MAX(Outputs!D92+Outputs!F92+Outputs!G92, Data!AE87), Outputs!D92+Outputs!F92+Outputs!G92), Outputs!D92+Outputs!F92+Outputs!G92))</f>
        <v>2171346</v>
      </c>
      <c r="I92" s="143">
        <f>INDEX('FY 22 OFA Shell'!$AQ$27:$AQ$195,MATCH(Outputs!A92,'FY 22 OFA Shell'!$I$27:$I$195,0))</f>
        <v>2171346</v>
      </c>
      <c r="J92" s="129">
        <f>H92-Data!AT87</f>
        <v>-728170</v>
      </c>
      <c r="K92" s="127">
        <f>((H92)/(Data!AT87)) - 1</f>
        <v>-0.2511350170166331</v>
      </c>
      <c r="L92" s="127">
        <f t="shared" si="68"/>
        <v>0</v>
      </c>
      <c r="M92" s="143">
        <f>(IF(Inputs!$E$30="Yes",INDEX(Data!AT:AT,MATCH(Outputs!A92,Data!A:A,0)),INDEX(Data!AS:AS,MATCH(Outputs!A92,Data!A:A,0))))</f>
        <v>2899516</v>
      </c>
      <c r="N92" s="143">
        <f>IF(Inputs!$E$30="Yes",INDEX(Data!BN:BN,MATCH(Outputs!$A92,Data!$A:$A,0)),INDEX(Data!BE:BE,MATCH(Outputs!$A92,Data!$A:$A,0)))</f>
        <v>2899516</v>
      </c>
      <c r="O92" s="143">
        <f>IF(Inputs!$E$30="Yes",INDEX(Data!BO:BO,MATCH(Outputs!$A92,Data!$A:$A,0)),INDEX(Data!BF:BF,MATCH(Outputs!$A92,Data!$A:$A,0)))</f>
        <v>2787280.1623</v>
      </c>
      <c r="P92" s="143">
        <f>IF(Inputs!$E$30="Yes",INDEX(Data!BP:BP,MATCH(Outputs!$A92,Data!$A:$A,0)),INDEX(Data!BG:BG,MATCH(Outputs!$A92,Data!$A:$A,0)))</f>
        <v>2675044.3245999999</v>
      </c>
      <c r="Q92" s="143">
        <f>IF(Inputs!$E$30="Yes",INDEX(Data!BQ:BQ,MATCH(Outputs!$A92,Data!$A:$A,0)),INDEX(Data!BH:BH,MATCH(Outputs!$A92,Data!$A:$A,0)))</f>
        <v>2562808.4868999999</v>
      </c>
      <c r="R92" s="143">
        <f>IF(Inputs!$E$30="Yes",INDEX(Data!BR:BR,MATCH(Outputs!$A92,Data!$A:$A,0)),INDEX(Data!BI:BI,MATCH(Outputs!$A92,Data!$A:$A,0)))</f>
        <v>2450572.6491999999</v>
      </c>
      <c r="S92" s="143">
        <f>IF(Inputs!$E$30="Yes",INDEX(Data!BS:BS,MATCH(Outputs!$A92,Data!$A:$A,0)),INDEX(Data!BJ:BJ,MATCH(Outputs!$A92,Data!$A:$A,0)))</f>
        <v>2338336.8114999998</v>
      </c>
      <c r="T92" s="143">
        <f>IF(Inputs!$E$30="Yes",INDEX(Data!BT:BT,MATCH(Outputs!$A92,Data!$A:$A,0)),INDEX(Data!BK:BK,MATCH(Outputs!$A92,Data!$A:$A,0)))</f>
        <v>2226100.9737999998</v>
      </c>
      <c r="U92" s="143">
        <f>IF(Inputs!$E$30="Yes",INDEX(Data!BU:BU,MATCH(Outputs!$A92,Data!$A:$A,0)),INDEX(Data!BL:BL,MATCH(Outputs!$A92,Data!$A:$A,0)))</f>
        <v>2171346</v>
      </c>
      <c r="V92" s="143">
        <f>INDEX('FY 22 OFA Shell'!$AX$27:$AX$195,MATCH(Outputs!A92,'FY 22 OFA Shell'!$I$27:$I$195,0))</f>
        <v>2899516</v>
      </c>
      <c r="W92" s="143">
        <f>INDEX('FY 23 OFA Shell'!$AX$27:$AX$195,MATCH(Outputs!A92,'FY 23 OFA Shell'!$I$27:$I$195,0))</f>
        <v>2899516</v>
      </c>
      <c r="X92" s="143">
        <f>INDEX('FY 23 OFA Shell'!BK$27:BK$195,MATCH(Outputs!$A92,'FY 23 OFA Shell'!$I$27:$I$195,0))</f>
        <v>2787280.1623</v>
      </c>
      <c r="Y92" s="143">
        <f>INDEX('FY 23 OFA Shell'!BL$27:BL$195,MATCH(Outputs!$A92,'FY 23 OFA Shell'!$I$27:$I$195,0))</f>
        <v>2675044.3245999999</v>
      </c>
      <c r="Z92" s="143">
        <f>INDEX('FY 23 OFA Shell'!BM$27:BM$195,MATCH(Outputs!$A92,'FY 23 OFA Shell'!$I$27:$I$195,0))</f>
        <v>2562808.4868999999</v>
      </c>
      <c r="AA92" s="143">
        <f>INDEX('FY 23 OFA Shell'!BN$27:BN$195,MATCH(Outputs!$A92,'FY 23 OFA Shell'!$I$27:$I$195,0))</f>
        <v>2450572.6491999999</v>
      </c>
      <c r="AB92" s="143">
        <f>INDEX('FY 23 OFA Shell'!BO$27:BO$195,MATCH(Outputs!$A92,'FY 23 OFA Shell'!$I$27:$I$195,0))</f>
        <v>2338336.8114999998</v>
      </c>
      <c r="AC92" s="143">
        <f>INDEX('FY 23 OFA Shell'!BP$27:BP$195,MATCH(Outputs!$A92,'FY 23 OFA Shell'!$I$27:$I$195,0))</f>
        <v>2226100.9737999998</v>
      </c>
      <c r="AD92" s="143">
        <f>INDEX('FY 23 OFA Shell'!BQ$27:BQ$195,MATCH(Outputs!$A92,'FY 23 OFA Shell'!$I$27:$I$195,0))</f>
        <v>2171346</v>
      </c>
      <c r="AE92" s="129">
        <f t="shared" si="69"/>
        <v>0</v>
      </c>
      <c r="AF92" s="129">
        <f t="shared" si="70"/>
        <v>0</v>
      </c>
      <c r="AG92" s="129">
        <f t="shared" si="71"/>
        <v>0</v>
      </c>
      <c r="AH92" s="129">
        <f t="shared" si="72"/>
        <v>0</v>
      </c>
      <c r="AI92" s="129">
        <f t="shared" si="73"/>
        <v>0</v>
      </c>
      <c r="AJ92" s="129">
        <f t="shared" si="74"/>
        <v>0</v>
      </c>
      <c r="AK92" s="129">
        <f t="shared" si="75"/>
        <v>0</v>
      </c>
      <c r="AL92" s="129">
        <f t="shared" si="76"/>
        <v>0</v>
      </c>
      <c r="AM92" s="129">
        <f t="shared" si="77"/>
        <v>0</v>
      </c>
      <c r="AN92" s="127">
        <f t="shared" si="78"/>
        <v>0</v>
      </c>
      <c r="AO92" s="127">
        <f t="shared" si="79"/>
        <v>0</v>
      </c>
      <c r="AP92" s="127">
        <f t="shared" si="80"/>
        <v>0</v>
      </c>
      <c r="AQ92" s="127">
        <f t="shared" si="81"/>
        <v>0</v>
      </c>
      <c r="AR92" s="127">
        <f t="shared" si="82"/>
        <v>0</v>
      </c>
      <c r="AS92" s="127">
        <f t="shared" si="83"/>
        <v>0</v>
      </c>
      <c r="AT92" s="127">
        <f t="shared" si="84"/>
        <v>0</v>
      </c>
      <c r="AU92" s="127">
        <f t="shared" si="85"/>
        <v>0</v>
      </c>
      <c r="AV92" s="127">
        <f t="shared" si="86"/>
        <v>0</v>
      </c>
    </row>
    <row r="93" spans="1:48" x14ac:dyDescent="0.15">
      <c r="A93" s="29" t="s">
        <v>86</v>
      </c>
      <c r="B93" s="30">
        <f>IF(Data!D88=1, MAX(Data!AA88, Inputs!$E$25) + INDEX(Inputs!$D$38:$D$42, MATCH( Data!AD88, Inputs!$B$38:$B$42, 0), 0), MAX(Data!AA88, Inputs!$E$26) +  INDEX(Inputs!$D$38:$D$42, MATCH( Data!AD88, Inputs!$B$38:$B$42, 0), 0))</f>
        <v>0.13877999999999999</v>
      </c>
      <c r="C93" s="141">
        <f>(100*Data!R88)</f>
        <v>0</v>
      </c>
      <c r="D93" s="141">
        <f>ROUND(Data!Q88*C93, 0)</f>
        <v>0</v>
      </c>
      <c r="E93" s="141">
        <f>(100*Data!T88)</f>
        <v>0</v>
      </c>
      <c r="F93" s="141">
        <f>E93*Data!S88</f>
        <v>0</v>
      </c>
      <c r="G93" s="142">
        <f>ROUND(Inputs!$E$21*Data!W88*B93, 0)</f>
        <v>1383579</v>
      </c>
      <c r="H93" s="143">
        <f>IF(G93=0, 0,IF(Inputs!$E$30="Yes", IF(Data!D88=1, MAX(Outputs!D93+Outputs!F93+Outputs!G93, Data!AE88), Outputs!D93+Outputs!F93+Outputs!G93), Outputs!D93+Outputs!F93+Outputs!G93))</f>
        <v>1383579</v>
      </c>
      <c r="I93" s="143">
        <f>INDEX('FY 22 OFA Shell'!$AQ$27:$AQ$195,MATCH(Outputs!A93,'FY 22 OFA Shell'!$I$27:$I$195,0))</f>
        <v>1383579</v>
      </c>
      <c r="J93" s="129">
        <f>H93-Data!AT88</f>
        <v>90077</v>
      </c>
      <c r="K93" s="127">
        <f>((H93)/(Data!AT88)) - 1</f>
        <v>6.9638083280891827E-2</v>
      </c>
      <c r="L93" s="127">
        <f t="shared" si="68"/>
        <v>0</v>
      </c>
      <c r="M93" s="143">
        <f>(IF(Inputs!$E$30="Yes",INDEX(Data!AT:AT,MATCH(Outputs!A93,Data!A:A,0)),INDEX(Data!AS:AS,MATCH(Outputs!A93,Data!A:A,0))))</f>
        <v>1293502</v>
      </c>
      <c r="N93" s="143">
        <f>IF(Inputs!$E$30="Yes",INDEX(Data!BN:BN,MATCH(Outputs!$A93,Data!$A:$A,0)),INDEX(Data!BE:BE,MATCH(Outputs!$A93,Data!$A:$A,0)))</f>
        <v>1293502</v>
      </c>
      <c r="O93" s="143">
        <f>IF(Inputs!$E$30="Yes",INDEX(Data!BO:BO,MATCH(Outputs!$A93,Data!$A:$A,0)),INDEX(Data!BF:BF,MATCH(Outputs!$A93,Data!$A:$A,0)))</f>
        <v>1288252.5172999999</v>
      </c>
      <c r="P93" s="143">
        <f>IF(Inputs!$E$30="Yes",INDEX(Data!BP:BP,MATCH(Outputs!$A93,Data!$A:$A,0)),INDEX(Data!BG:BG,MATCH(Outputs!$A93,Data!$A:$A,0)))</f>
        <v>1283003.0345999999</v>
      </c>
      <c r="Q93" s="143">
        <f>IF(Inputs!$E$30="Yes",INDEX(Data!BQ:BQ,MATCH(Outputs!$A93,Data!$A:$A,0)),INDEX(Data!BH:BH,MATCH(Outputs!$A93,Data!$A:$A,0)))</f>
        <v>1277753.5518999998</v>
      </c>
      <c r="R93" s="143">
        <f>IF(Inputs!$E$30="Yes",INDEX(Data!BR:BR,MATCH(Outputs!$A93,Data!$A:$A,0)),INDEX(Data!BI:BI,MATCH(Outputs!$A93,Data!$A:$A,0)))</f>
        <v>1272504.0691999998</v>
      </c>
      <c r="S93" s="143">
        <f>IF(Inputs!$E$30="Yes",INDEX(Data!BS:BS,MATCH(Outputs!$A93,Data!$A:$A,0)),INDEX(Data!BJ:BJ,MATCH(Outputs!$A93,Data!$A:$A,0)))</f>
        <v>1267254.5864999997</v>
      </c>
      <c r="T93" s="143">
        <f>IF(Inputs!$E$30="Yes",INDEX(Data!BT:BT,MATCH(Outputs!$A93,Data!$A:$A,0)),INDEX(Data!BK:BK,MATCH(Outputs!$A93,Data!$A:$A,0)))</f>
        <v>1262005.1037999997</v>
      </c>
      <c r="U93" s="143">
        <f>IF(Inputs!$E$30="Yes",INDEX(Data!BU:BU,MATCH(Outputs!$A93,Data!$A:$A,0)),INDEX(Data!BL:BL,MATCH(Outputs!$A93,Data!$A:$A,0)))</f>
        <v>1383579</v>
      </c>
      <c r="V93" s="143">
        <f>INDEX('FY 22 OFA Shell'!$AX$27:$AX$195,MATCH(Outputs!A93,'FY 22 OFA Shell'!$I$27:$I$195,0))</f>
        <v>1293502</v>
      </c>
      <c r="W93" s="143">
        <f>INDEX('FY 23 OFA Shell'!$AX$27:$AX$195,MATCH(Outputs!A93,'FY 23 OFA Shell'!$I$27:$I$195,0))</f>
        <v>1293502</v>
      </c>
      <c r="X93" s="143">
        <f>INDEX('FY 23 OFA Shell'!BK$27:BK$195,MATCH(Outputs!$A93,'FY 23 OFA Shell'!$I$27:$I$195,0))</f>
        <v>1288252.5172999999</v>
      </c>
      <c r="Y93" s="143">
        <f>INDEX('FY 23 OFA Shell'!BL$27:BL$195,MATCH(Outputs!$A93,'FY 23 OFA Shell'!$I$27:$I$195,0))</f>
        <v>1283003.0345999999</v>
      </c>
      <c r="Z93" s="143">
        <f>INDEX('FY 23 OFA Shell'!BM$27:BM$195,MATCH(Outputs!$A93,'FY 23 OFA Shell'!$I$27:$I$195,0))</f>
        <v>1277753.5518999998</v>
      </c>
      <c r="AA93" s="143">
        <f>INDEX('FY 23 OFA Shell'!BN$27:BN$195,MATCH(Outputs!$A93,'FY 23 OFA Shell'!$I$27:$I$195,0))</f>
        <v>1272504.0691999998</v>
      </c>
      <c r="AB93" s="143">
        <f>INDEX('FY 23 OFA Shell'!BO$27:BO$195,MATCH(Outputs!$A93,'FY 23 OFA Shell'!$I$27:$I$195,0))</f>
        <v>1267254.5864999997</v>
      </c>
      <c r="AC93" s="143">
        <f>INDEX('FY 23 OFA Shell'!BP$27:BP$195,MATCH(Outputs!$A93,'FY 23 OFA Shell'!$I$27:$I$195,0))</f>
        <v>1262005.1037999997</v>
      </c>
      <c r="AD93" s="143">
        <f>INDEX('FY 23 OFA Shell'!BQ$27:BQ$195,MATCH(Outputs!$A93,'FY 23 OFA Shell'!$I$27:$I$195,0))</f>
        <v>1383579</v>
      </c>
      <c r="AE93" s="129">
        <f t="shared" si="69"/>
        <v>0</v>
      </c>
      <c r="AF93" s="129">
        <f t="shared" si="70"/>
        <v>0</v>
      </c>
      <c r="AG93" s="129">
        <f t="shared" si="71"/>
        <v>0</v>
      </c>
      <c r="AH93" s="129">
        <f t="shared" si="72"/>
        <v>0</v>
      </c>
      <c r="AI93" s="129">
        <f t="shared" si="73"/>
        <v>0</v>
      </c>
      <c r="AJ93" s="129">
        <f t="shared" si="74"/>
        <v>0</v>
      </c>
      <c r="AK93" s="129">
        <f t="shared" si="75"/>
        <v>0</v>
      </c>
      <c r="AL93" s="129">
        <f t="shared" si="76"/>
        <v>0</v>
      </c>
      <c r="AM93" s="129">
        <f t="shared" si="77"/>
        <v>0</v>
      </c>
      <c r="AN93" s="127">
        <f t="shared" si="78"/>
        <v>0</v>
      </c>
      <c r="AO93" s="127">
        <f t="shared" si="79"/>
        <v>0</v>
      </c>
      <c r="AP93" s="127">
        <f t="shared" si="80"/>
        <v>0</v>
      </c>
      <c r="AQ93" s="127">
        <f t="shared" si="81"/>
        <v>0</v>
      </c>
      <c r="AR93" s="127">
        <f t="shared" si="82"/>
        <v>0</v>
      </c>
      <c r="AS93" s="127">
        <f t="shared" si="83"/>
        <v>0</v>
      </c>
      <c r="AT93" s="127">
        <f t="shared" si="84"/>
        <v>0</v>
      </c>
      <c r="AU93" s="127">
        <f t="shared" si="85"/>
        <v>0</v>
      </c>
      <c r="AV93" s="127">
        <f t="shared" si="86"/>
        <v>0</v>
      </c>
    </row>
    <row r="94" spans="1:48" x14ac:dyDescent="0.15">
      <c r="A94" s="29" t="s">
        <v>87</v>
      </c>
      <c r="B94" s="30">
        <f>IF(Data!D89=1, MAX(Data!AA89, Inputs!$E$25) + INDEX(Inputs!$D$38:$D$42, MATCH( Data!AD89, Inputs!$B$38:$B$42, 0), 0), MAX(Data!AA89, Inputs!$E$26) +  INDEX(Inputs!$D$38:$D$42, MATCH( Data!AD89, Inputs!$B$38:$B$42, 0), 0))</f>
        <v>0.01</v>
      </c>
      <c r="C94" s="141">
        <f>(100*Data!R89)</f>
        <v>1300</v>
      </c>
      <c r="D94" s="141">
        <f>ROUND(Data!Q89*C94, 0)</f>
        <v>309400</v>
      </c>
      <c r="E94" s="141">
        <f>(100*Data!T89)</f>
        <v>0</v>
      </c>
      <c r="F94" s="141">
        <f>E94*Data!S89</f>
        <v>0</v>
      </c>
      <c r="G94" s="142">
        <f>ROUND(Inputs!$E$21*Data!W89*B94, 0)</f>
        <v>29341</v>
      </c>
      <c r="H94" s="143">
        <f>IF(G94=0, 0,IF(Inputs!$E$30="Yes", IF(Data!D89=1, MAX(Outputs!D94+Outputs!F94+Outputs!G94, Data!AE89), Outputs!D94+Outputs!F94+Outputs!G94), Outputs!D94+Outputs!F94+Outputs!G94))</f>
        <v>338741</v>
      </c>
      <c r="I94" s="143">
        <f>INDEX('FY 22 OFA Shell'!$AQ$27:$AQ$195,MATCH(Outputs!A94,'FY 22 OFA Shell'!$I$27:$I$195,0))</f>
        <v>338741</v>
      </c>
      <c r="J94" s="129">
        <f>H94-Data!AT89</f>
        <v>249138.36479999998</v>
      </c>
      <c r="K94" s="127">
        <f>((H94)/(Data!AT89)) - 1</f>
        <v>2.7804803312302582</v>
      </c>
      <c r="L94" s="127">
        <f t="shared" si="68"/>
        <v>0</v>
      </c>
      <c r="M94" s="143">
        <f>(IF(Inputs!$E$30="Yes",INDEX(Data!AT:AT,MATCH(Outputs!A94,Data!A:A,0)),INDEX(Data!AS:AS,MATCH(Outputs!A94,Data!A:A,0))))</f>
        <v>89602.635200000004</v>
      </c>
      <c r="N94" s="143">
        <f>IF(Inputs!$E$30="Yes",INDEX(Data!BN:BN,MATCH(Outputs!$A94,Data!$A:$A,0)),INDEX(Data!BE:BE,MATCH(Outputs!$A94,Data!$A:$A,0)))</f>
        <v>118989.27040000001</v>
      </c>
      <c r="O94" s="143">
        <f>IF(Inputs!$E$30="Yes",INDEX(Data!BO:BO,MATCH(Outputs!$A94,Data!$A:$A,0)),INDEX(Data!BF:BF,MATCH(Outputs!$A94,Data!$A:$A,0)))</f>
        <v>148375.9056</v>
      </c>
      <c r="P94" s="143">
        <f>IF(Inputs!$E$30="Yes",INDEX(Data!BP:BP,MATCH(Outputs!$A94,Data!$A:$A,0)),INDEX(Data!BG:BG,MATCH(Outputs!$A94,Data!$A:$A,0)))</f>
        <v>177762.54079999999</v>
      </c>
      <c r="Q94" s="143">
        <f>IF(Inputs!$E$30="Yes",INDEX(Data!BQ:BQ,MATCH(Outputs!$A94,Data!$A:$A,0)),INDEX(Data!BH:BH,MATCH(Outputs!$A94,Data!$A:$A,0)))</f>
        <v>207149.17599999998</v>
      </c>
      <c r="R94" s="143">
        <f>IF(Inputs!$E$30="Yes",INDEX(Data!BR:BR,MATCH(Outputs!$A94,Data!$A:$A,0)),INDEX(Data!BI:BI,MATCH(Outputs!$A94,Data!$A:$A,0)))</f>
        <v>236535.81119999997</v>
      </c>
      <c r="S94" s="143">
        <f>IF(Inputs!$E$30="Yes",INDEX(Data!BS:BS,MATCH(Outputs!$A94,Data!$A:$A,0)),INDEX(Data!BJ:BJ,MATCH(Outputs!$A94,Data!$A:$A,0)))</f>
        <v>338741</v>
      </c>
      <c r="T94" s="143">
        <f>IF(Inputs!$E$30="Yes",INDEX(Data!BT:BT,MATCH(Outputs!$A94,Data!$A:$A,0)),INDEX(Data!BK:BK,MATCH(Outputs!$A94,Data!$A:$A,0)))</f>
        <v>338741</v>
      </c>
      <c r="U94" s="143">
        <f>IF(Inputs!$E$30="Yes",INDEX(Data!BU:BU,MATCH(Outputs!$A94,Data!$A:$A,0)),INDEX(Data!BL:BL,MATCH(Outputs!$A94,Data!$A:$A,0)))</f>
        <v>338741</v>
      </c>
      <c r="V94" s="143">
        <f>INDEX('FY 22 OFA Shell'!$AX$27:$AX$195,MATCH(Outputs!A94,'FY 22 OFA Shell'!$I$27:$I$195,0))</f>
        <v>89602.635200000004</v>
      </c>
      <c r="W94" s="143">
        <f>INDEX('FY 23 OFA Shell'!$AX$27:$AX$195,MATCH(Outputs!A94,'FY 23 OFA Shell'!$I$27:$I$195,0))</f>
        <v>118989.27040000001</v>
      </c>
      <c r="X94" s="143">
        <f>INDEX('FY 23 OFA Shell'!BK$27:BK$195,MATCH(Outputs!$A94,'FY 23 OFA Shell'!$I$27:$I$195,0))</f>
        <v>148375.9056</v>
      </c>
      <c r="Y94" s="143">
        <f>INDEX('FY 23 OFA Shell'!BL$27:BL$195,MATCH(Outputs!$A94,'FY 23 OFA Shell'!$I$27:$I$195,0))</f>
        <v>177762.54079999999</v>
      </c>
      <c r="Z94" s="143">
        <f>INDEX('FY 23 OFA Shell'!BM$27:BM$195,MATCH(Outputs!$A94,'FY 23 OFA Shell'!$I$27:$I$195,0))</f>
        <v>207149.17599999998</v>
      </c>
      <c r="AA94" s="143">
        <f>INDEX('FY 23 OFA Shell'!BN$27:BN$195,MATCH(Outputs!$A94,'FY 23 OFA Shell'!$I$27:$I$195,0))</f>
        <v>236535.81119999997</v>
      </c>
      <c r="AB94" s="143">
        <f>INDEX('FY 23 OFA Shell'!BO$27:BO$195,MATCH(Outputs!$A94,'FY 23 OFA Shell'!$I$27:$I$195,0))</f>
        <v>338741</v>
      </c>
      <c r="AC94" s="143">
        <f>INDEX('FY 23 OFA Shell'!BP$27:BP$195,MATCH(Outputs!$A94,'FY 23 OFA Shell'!$I$27:$I$195,0))</f>
        <v>338741</v>
      </c>
      <c r="AD94" s="143">
        <f>INDEX('FY 23 OFA Shell'!BQ$27:BQ$195,MATCH(Outputs!$A94,'FY 23 OFA Shell'!$I$27:$I$195,0))</f>
        <v>338741</v>
      </c>
      <c r="AE94" s="129">
        <f t="shared" si="69"/>
        <v>0</v>
      </c>
      <c r="AF94" s="129">
        <f t="shared" si="70"/>
        <v>0</v>
      </c>
      <c r="AG94" s="129">
        <f t="shared" si="71"/>
        <v>0</v>
      </c>
      <c r="AH94" s="129">
        <f t="shared" si="72"/>
        <v>0</v>
      </c>
      <c r="AI94" s="129">
        <f t="shared" si="73"/>
        <v>0</v>
      </c>
      <c r="AJ94" s="129">
        <f t="shared" si="74"/>
        <v>0</v>
      </c>
      <c r="AK94" s="129">
        <f t="shared" si="75"/>
        <v>0</v>
      </c>
      <c r="AL94" s="129">
        <f t="shared" si="76"/>
        <v>0</v>
      </c>
      <c r="AM94" s="129">
        <f t="shared" si="77"/>
        <v>0</v>
      </c>
      <c r="AN94" s="127">
        <f t="shared" si="78"/>
        <v>0</v>
      </c>
      <c r="AO94" s="127">
        <f t="shared" si="79"/>
        <v>0</v>
      </c>
      <c r="AP94" s="127">
        <f t="shared" si="80"/>
        <v>0</v>
      </c>
      <c r="AQ94" s="127">
        <f t="shared" si="81"/>
        <v>0</v>
      </c>
      <c r="AR94" s="127">
        <f t="shared" si="82"/>
        <v>0</v>
      </c>
      <c r="AS94" s="127">
        <f t="shared" si="83"/>
        <v>0</v>
      </c>
      <c r="AT94" s="127">
        <f t="shared" si="84"/>
        <v>0</v>
      </c>
      <c r="AU94" s="127">
        <f t="shared" si="85"/>
        <v>0</v>
      </c>
      <c r="AV94" s="127">
        <f t="shared" si="86"/>
        <v>0</v>
      </c>
    </row>
    <row r="95" spans="1:48" x14ac:dyDescent="0.15">
      <c r="A95" s="29" t="s">
        <v>88</v>
      </c>
      <c r="B95" s="30">
        <f>IF(Data!D90=1, MAX(Data!AA90, Inputs!$E$25) + INDEX(Inputs!$D$38:$D$42, MATCH( Data!AD90, Inputs!$B$38:$B$42, 0), 0), MAX(Data!AA90, Inputs!$E$26) +  INDEX(Inputs!$D$38:$D$42, MATCH( Data!AD90, Inputs!$B$38:$B$42, 0), 0))</f>
        <v>0.01</v>
      </c>
      <c r="C95" s="141">
        <f>(100*Data!R90)</f>
        <v>0</v>
      </c>
      <c r="D95" s="141">
        <f>ROUND(Data!Q90*C95, 0)</f>
        <v>0</v>
      </c>
      <c r="E95" s="141">
        <f>(100*Data!T90)</f>
        <v>0</v>
      </c>
      <c r="F95" s="141">
        <f>E95*Data!S90</f>
        <v>0</v>
      </c>
      <c r="G95" s="142">
        <f>ROUND(Inputs!$E$21*Data!W90*B95, 0)</f>
        <v>289705</v>
      </c>
      <c r="H95" s="143">
        <f>IF(G95=0, 0,IF(Inputs!$E$30="Yes", IF(Data!D90=1, MAX(Outputs!D95+Outputs!F95+Outputs!G95, Data!AE90), Outputs!D95+Outputs!F95+Outputs!G95), Outputs!D95+Outputs!F95+Outputs!G95))</f>
        <v>289705</v>
      </c>
      <c r="I95" s="143">
        <f>INDEX('FY 22 OFA Shell'!$AQ$27:$AQ$195,MATCH(Outputs!A95,'FY 22 OFA Shell'!$I$27:$I$195,0))</f>
        <v>289705</v>
      </c>
      <c r="J95" s="129">
        <f>H95-Data!AT90</f>
        <v>-105761</v>
      </c>
      <c r="K95" s="127">
        <f>((H95)/(Data!AT90)) - 1</f>
        <v>-0.2674338628352374</v>
      </c>
      <c r="L95" s="127">
        <f t="shared" si="68"/>
        <v>0</v>
      </c>
      <c r="M95" s="143">
        <f>(IF(Inputs!$E$30="Yes",INDEX(Data!AT:AT,MATCH(Outputs!A95,Data!A:A,0)),INDEX(Data!AS:AS,MATCH(Outputs!A95,Data!A:A,0))))</f>
        <v>395466</v>
      </c>
      <c r="N95" s="143">
        <f>IF(Inputs!$E$30="Yes",INDEX(Data!BN:BN,MATCH(Outputs!$A95,Data!$A:$A,0)),INDEX(Data!BE:BE,MATCH(Outputs!$A95,Data!$A:$A,0)))</f>
        <v>395466</v>
      </c>
      <c r="O95" s="143">
        <f>IF(Inputs!$E$30="Yes",INDEX(Data!BO:BO,MATCH(Outputs!$A95,Data!$A:$A,0)),INDEX(Data!BF:BF,MATCH(Outputs!$A95,Data!$A:$A,0)))</f>
        <v>382405.30969999998</v>
      </c>
      <c r="P95" s="143">
        <f>IF(Inputs!$E$30="Yes",INDEX(Data!BP:BP,MATCH(Outputs!$A95,Data!$A:$A,0)),INDEX(Data!BG:BG,MATCH(Outputs!$A95,Data!$A:$A,0)))</f>
        <v>369344.61939999997</v>
      </c>
      <c r="Q95" s="143">
        <f>IF(Inputs!$E$30="Yes",INDEX(Data!BQ:BQ,MATCH(Outputs!$A95,Data!$A:$A,0)),INDEX(Data!BH:BH,MATCH(Outputs!$A95,Data!$A:$A,0)))</f>
        <v>356283.92909999995</v>
      </c>
      <c r="R95" s="143">
        <f>IF(Inputs!$E$30="Yes",INDEX(Data!BR:BR,MATCH(Outputs!$A95,Data!$A:$A,0)),INDEX(Data!BI:BI,MATCH(Outputs!$A95,Data!$A:$A,0)))</f>
        <v>343223.23879999993</v>
      </c>
      <c r="S95" s="143">
        <f>IF(Inputs!$E$30="Yes",INDEX(Data!BS:BS,MATCH(Outputs!$A95,Data!$A:$A,0)),INDEX(Data!BJ:BJ,MATCH(Outputs!$A95,Data!$A:$A,0)))</f>
        <v>330162.54849999992</v>
      </c>
      <c r="T95" s="143">
        <f>IF(Inputs!$E$30="Yes",INDEX(Data!BT:BT,MATCH(Outputs!$A95,Data!$A:$A,0)),INDEX(Data!BK:BK,MATCH(Outputs!$A95,Data!$A:$A,0)))</f>
        <v>317101.8581999999</v>
      </c>
      <c r="U95" s="143">
        <f>IF(Inputs!$E$30="Yes",INDEX(Data!BU:BU,MATCH(Outputs!$A95,Data!$A:$A,0)),INDEX(Data!BL:BL,MATCH(Outputs!$A95,Data!$A:$A,0)))</f>
        <v>289705</v>
      </c>
      <c r="V95" s="143">
        <f>INDEX('FY 22 OFA Shell'!$AX$27:$AX$195,MATCH(Outputs!A95,'FY 22 OFA Shell'!$I$27:$I$195,0))</f>
        <v>395466</v>
      </c>
      <c r="W95" s="143">
        <f>INDEX('FY 23 OFA Shell'!$AX$27:$AX$195,MATCH(Outputs!A95,'FY 23 OFA Shell'!$I$27:$I$195,0))</f>
        <v>395466</v>
      </c>
      <c r="X95" s="143">
        <f>INDEX('FY 23 OFA Shell'!BK$27:BK$195,MATCH(Outputs!$A95,'FY 23 OFA Shell'!$I$27:$I$195,0))</f>
        <v>382405.30969999998</v>
      </c>
      <c r="Y95" s="143">
        <f>INDEX('FY 23 OFA Shell'!BL$27:BL$195,MATCH(Outputs!$A95,'FY 23 OFA Shell'!$I$27:$I$195,0))</f>
        <v>369344.61939999997</v>
      </c>
      <c r="Z95" s="143">
        <f>INDEX('FY 23 OFA Shell'!BM$27:BM$195,MATCH(Outputs!$A95,'FY 23 OFA Shell'!$I$27:$I$195,0))</f>
        <v>356283.92909999995</v>
      </c>
      <c r="AA95" s="143">
        <f>INDEX('FY 23 OFA Shell'!BN$27:BN$195,MATCH(Outputs!$A95,'FY 23 OFA Shell'!$I$27:$I$195,0))</f>
        <v>343223.23879999993</v>
      </c>
      <c r="AB95" s="143">
        <f>INDEX('FY 23 OFA Shell'!BO$27:BO$195,MATCH(Outputs!$A95,'FY 23 OFA Shell'!$I$27:$I$195,0))</f>
        <v>330162.54849999992</v>
      </c>
      <c r="AC95" s="143">
        <f>INDEX('FY 23 OFA Shell'!BP$27:BP$195,MATCH(Outputs!$A95,'FY 23 OFA Shell'!$I$27:$I$195,0))</f>
        <v>317101.8581999999</v>
      </c>
      <c r="AD95" s="143">
        <f>INDEX('FY 23 OFA Shell'!BQ$27:BQ$195,MATCH(Outputs!$A95,'FY 23 OFA Shell'!$I$27:$I$195,0))</f>
        <v>289705</v>
      </c>
      <c r="AE95" s="129">
        <f t="shared" si="69"/>
        <v>0</v>
      </c>
      <c r="AF95" s="129">
        <f t="shared" si="70"/>
        <v>0</v>
      </c>
      <c r="AG95" s="129">
        <f t="shared" si="71"/>
        <v>0</v>
      </c>
      <c r="AH95" s="129">
        <f t="shared" si="72"/>
        <v>0</v>
      </c>
      <c r="AI95" s="129">
        <f t="shared" si="73"/>
        <v>0</v>
      </c>
      <c r="AJ95" s="129">
        <f t="shared" si="74"/>
        <v>0</v>
      </c>
      <c r="AK95" s="129">
        <f t="shared" si="75"/>
        <v>0</v>
      </c>
      <c r="AL95" s="129">
        <f t="shared" si="76"/>
        <v>0</v>
      </c>
      <c r="AM95" s="129">
        <f t="shared" si="77"/>
        <v>0</v>
      </c>
      <c r="AN95" s="127">
        <f t="shared" si="78"/>
        <v>0</v>
      </c>
      <c r="AO95" s="127">
        <f t="shared" si="79"/>
        <v>0</v>
      </c>
      <c r="AP95" s="127">
        <f t="shared" si="80"/>
        <v>0</v>
      </c>
      <c r="AQ95" s="127">
        <f t="shared" si="81"/>
        <v>0</v>
      </c>
      <c r="AR95" s="127">
        <f t="shared" si="82"/>
        <v>0</v>
      </c>
      <c r="AS95" s="127">
        <f t="shared" si="83"/>
        <v>0</v>
      </c>
      <c r="AT95" s="127">
        <f t="shared" si="84"/>
        <v>0</v>
      </c>
      <c r="AU95" s="127">
        <f t="shared" si="85"/>
        <v>0</v>
      </c>
      <c r="AV95" s="127">
        <f t="shared" si="86"/>
        <v>0</v>
      </c>
    </row>
    <row r="96" spans="1:48" x14ac:dyDescent="0.15">
      <c r="A96" s="29" t="s">
        <v>89</v>
      </c>
      <c r="B96" s="30">
        <f>IF(Data!D91=1, MAX(Data!AA91, Inputs!$E$25) + INDEX(Inputs!$D$38:$D$42, MATCH( Data!AD91, Inputs!$B$38:$B$42, 0), 0), MAX(Data!AA91, Inputs!$E$26) +  INDEX(Inputs!$D$38:$D$42, MATCH( Data!AD91, Inputs!$B$38:$B$42, 0), 0))</f>
        <v>0.47807500000000003</v>
      </c>
      <c r="C96" s="141">
        <f>(100*Data!R91)</f>
        <v>0</v>
      </c>
      <c r="D96" s="141">
        <f>ROUND(Data!Q91*C96, 0)</f>
        <v>0</v>
      </c>
      <c r="E96" s="141">
        <f>(100*Data!T91)</f>
        <v>0</v>
      </c>
      <c r="F96" s="141">
        <f>E96*Data!S91</f>
        <v>0</v>
      </c>
      <c r="G96" s="142">
        <f>ROUND(Inputs!$E$21*Data!W91*B96, 0)</f>
        <v>48523062</v>
      </c>
      <c r="H96" s="143">
        <f>IF(G96=0, 0,IF(Inputs!$E$30="Yes", IF(Data!D91=1, MAX(Outputs!D96+Outputs!F96+Outputs!G96, Data!AE91), Outputs!D96+Outputs!F96+Outputs!G96), Outputs!D96+Outputs!F96+Outputs!G96))</f>
        <v>48523062</v>
      </c>
      <c r="I96" s="143">
        <f>INDEX('FY 22 OFA Shell'!$AQ$27:$AQ$195,MATCH(Outputs!A96,'FY 22 OFA Shell'!$I$27:$I$195,0))</f>
        <v>48523062</v>
      </c>
      <c r="J96" s="129">
        <f>H96-Data!AT91</f>
        <v>8770385.7892000005</v>
      </c>
      <c r="K96" s="127">
        <f>((H96)/(Data!AT91)) - 1</f>
        <v>0.22062378247674475</v>
      </c>
      <c r="L96" s="127">
        <f t="shared" si="68"/>
        <v>0</v>
      </c>
      <c r="M96" s="143">
        <f>(IF(Inputs!$E$30="Yes",INDEX(Data!AT:AT,MATCH(Outputs!A96,Data!A:A,0)),INDEX(Data!AS:AS,MATCH(Outputs!A96,Data!A:A,0))))</f>
        <v>39752676.2108</v>
      </c>
      <c r="N96" s="143">
        <f>IF(Inputs!$E$30="Yes",INDEX(Data!BN:BN,MATCH(Outputs!$A96,Data!$A:$A,0)),INDEX(Data!BE:BE,MATCH(Outputs!$A96,Data!$A:$A,0)))</f>
        <v>41253885.421599999</v>
      </c>
      <c r="O96" s="143">
        <f>IF(Inputs!$E$30="Yes",INDEX(Data!BO:BO,MATCH(Outputs!$A96,Data!$A:$A,0)),INDEX(Data!BF:BF,MATCH(Outputs!$A96,Data!$A:$A,0)))</f>
        <v>42755094.632399999</v>
      </c>
      <c r="P96" s="143">
        <f>IF(Inputs!$E$30="Yes",INDEX(Data!BP:BP,MATCH(Outputs!$A96,Data!$A:$A,0)),INDEX(Data!BG:BG,MATCH(Outputs!$A96,Data!$A:$A,0)))</f>
        <v>44256303.843199998</v>
      </c>
      <c r="Q96" s="143">
        <f>IF(Inputs!$E$30="Yes",INDEX(Data!BQ:BQ,MATCH(Outputs!$A96,Data!$A:$A,0)),INDEX(Data!BH:BH,MATCH(Outputs!$A96,Data!$A:$A,0)))</f>
        <v>45757513.053999998</v>
      </c>
      <c r="R96" s="143">
        <f>IF(Inputs!$E$30="Yes",INDEX(Data!BR:BR,MATCH(Outputs!$A96,Data!$A:$A,0)),INDEX(Data!BI:BI,MATCH(Outputs!$A96,Data!$A:$A,0)))</f>
        <v>47258722.264799997</v>
      </c>
      <c r="S96" s="143">
        <f>IF(Inputs!$E$30="Yes",INDEX(Data!BS:BS,MATCH(Outputs!$A96,Data!$A:$A,0)),INDEX(Data!BJ:BJ,MATCH(Outputs!$A96,Data!$A:$A,0)))</f>
        <v>48523062</v>
      </c>
      <c r="T96" s="143">
        <f>IF(Inputs!$E$30="Yes",INDEX(Data!BT:BT,MATCH(Outputs!$A96,Data!$A:$A,0)),INDEX(Data!BK:BK,MATCH(Outputs!$A96,Data!$A:$A,0)))</f>
        <v>48523062</v>
      </c>
      <c r="U96" s="143">
        <f>IF(Inputs!$E$30="Yes",INDEX(Data!BU:BU,MATCH(Outputs!$A96,Data!$A:$A,0)),INDEX(Data!BL:BL,MATCH(Outputs!$A96,Data!$A:$A,0)))</f>
        <v>48523062</v>
      </c>
      <c r="V96" s="143">
        <f>INDEX('FY 22 OFA Shell'!$AX$27:$AX$195,MATCH(Outputs!A96,'FY 22 OFA Shell'!$I$27:$I$195,0))</f>
        <v>39752676.2108</v>
      </c>
      <c r="W96" s="143">
        <f>INDEX('FY 23 OFA Shell'!$AX$27:$AX$195,MATCH(Outputs!A96,'FY 23 OFA Shell'!$I$27:$I$195,0))</f>
        <v>41253885.421599999</v>
      </c>
      <c r="X96" s="143">
        <f>INDEX('FY 23 OFA Shell'!BK$27:BK$195,MATCH(Outputs!$A96,'FY 23 OFA Shell'!$I$27:$I$195,0))</f>
        <v>42755094.632399999</v>
      </c>
      <c r="Y96" s="143">
        <f>INDEX('FY 23 OFA Shell'!BL$27:BL$195,MATCH(Outputs!$A96,'FY 23 OFA Shell'!$I$27:$I$195,0))</f>
        <v>44256303.843199998</v>
      </c>
      <c r="Z96" s="143">
        <f>INDEX('FY 23 OFA Shell'!BM$27:BM$195,MATCH(Outputs!$A96,'FY 23 OFA Shell'!$I$27:$I$195,0))</f>
        <v>45757513.053999998</v>
      </c>
      <c r="AA96" s="143">
        <f>INDEX('FY 23 OFA Shell'!BN$27:BN$195,MATCH(Outputs!$A96,'FY 23 OFA Shell'!$I$27:$I$195,0))</f>
        <v>47258722.264799997</v>
      </c>
      <c r="AB96" s="143">
        <f>INDEX('FY 23 OFA Shell'!BO$27:BO$195,MATCH(Outputs!$A96,'FY 23 OFA Shell'!$I$27:$I$195,0))</f>
        <v>48523062</v>
      </c>
      <c r="AC96" s="143">
        <f>INDEX('FY 23 OFA Shell'!BP$27:BP$195,MATCH(Outputs!$A96,'FY 23 OFA Shell'!$I$27:$I$195,0))</f>
        <v>48523062</v>
      </c>
      <c r="AD96" s="143">
        <f>INDEX('FY 23 OFA Shell'!BQ$27:BQ$195,MATCH(Outputs!$A96,'FY 23 OFA Shell'!$I$27:$I$195,0))</f>
        <v>48523062</v>
      </c>
      <c r="AE96" s="129">
        <f t="shared" si="69"/>
        <v>0</v>
      </c>
      <c r="AF96" s="129">
        <f t="shared" si="70"/>
        <v>0</v>
      </c>
      <c r="AG96" s="129">
        <f t="shared" si="71"/>
        <v>0</v>
      </c>
      <c r="AH96" s="129">
        <f t="shared" si="72"/>
        <v>0</v>
      </c>
      <c r="AI96" s="129">
        <f t="shared" si="73"/>
        <v>0</v>
      </c>
      <c r="AJ96" s="129">
        <f t="shared" si="74"/>
        <v>0</v>
      </c>
      <c r="AK96" s="129">
        <f t="shared" si="75"/>
        <v>0</v>
      </c>
      <c r="AL96" s="129">
        <f t="shared" si="76"/>
        <v>0</v>
      </c>
      <c r="AM96" s="129">
        <f t="shared" si="77"/>
        <v>0</v>
      </c>
      <c r="AN96" s="127">
        <f t="shared" si="78"/>
        <v>0</v>
      </c>
      <c r="AO96" s="127">
        <f t="shared" si="79"/>
        <v>0</v>
      </c>
      <c r="AP96" s="127">
        <f t="shared" si="80"/>
        <v>0</v>
      </c>
      <c r="AQ96" s="127">
        <f t="shared" si="81"/>
        <v>0</v>
      </c>
      <c r="AR96" s="127">
        <f t="shared" si="82"/>
        <v>0</v>
      </c>
      <c r="AS96" s="127">
        <f t="shared" si="83"/>
        <v>0</v>
      </c>
      <c r="AT96" s="127">
        <f t="shared" si="84"/>
        <v>0</v>
      </c>
      <c r="AU96" s="127">
        <f t="shared" si="85"/>
        <v>0</v>
      </c>
      <c r="AV96" s="127">
        <f t="shared" si="86"/>
        <v>0</v>
      </c>
    </row>
    <row r="97" spans="1:48" x14ac:dyDescent="0.15">
      <c r="A97" s="29" t="s">
        <v>90</v>
      </c>
      <c r="B97" s="30">
        <f>IF(Data!D92=1, MAX(Data!AA92, Inputs!$E$25) + INDEX(Inputs!$D$38:$D$42, MATCH( Data!AD92, Inputs!$B$38:$B$42, 0), 0), MAX(Data!AA92, Inputs!$E$26) +  INDEX(Inputs!$D$38:$D$42, MATCH( Data!AD92, Inputs!$B$38:$B$42, 0), 0))</f>
        <v>0.444519</v>
      </c>
      <c r="C97" s="141">
        <f>(100*Data!R92)</f>
        <v>400</v>
      </c>
      <c r="D97" s="141">
        <f>ROUND(Data!Q92*C97, 0)</f>
        <v>210000</v>
      </c>
      <c r="E97" s="141">
        <f>(100*Data!T92)</f>
        <v>0</v>
      </c>
      <c r="F97" s="141">
        <f>E97*Data!S92</f>
        <v>0</v>
      </c>
      <c r="G97" s="142">
        <f>ROUND(Inputs!$E$21*Data!W92*B97, 0)</f>
        <v>8869950</v>
      </c>
      <c r="H97" s="143">
        <f>IF(G97=0, 0,IF(Inputs!$E$30="Yes", IF(Data!D92=1, MAX(Outputs!D97+Outputs!F97+Outputs!G97, Data!AE92), Outputs!D97+Outputs!F97+Outputs!G97), Outputs!D97+Outputs!F97+Outputs!G97))</f>
        <v>9079950</v>
      </c>
      <c r="I97" s="143">
        <f>INDEX('FY 22 OFA Shell'!$AQ$27:$AQ$195,MATCH(Outputs!A97,'FY 22 OFA Shell'!$I$27:$I$195,0))</f>
        <v>9079950</v>
      </c>
      <c r="J97" s="129">
        <f>H97-Data!AT92</f>
        <v>-379772</v>
      </c>
      <c r="K97" s="127">
        <f>((H97)/(Data!AT92)) - 1</f>
        <v>-4.014621148486186E-2</v>
      </c>
      <c r="L97" s="127">
        <f t="shared" si="68"/>
        <v>0</v>
      </c>
      <c r="M97" s="143">
        <f>(IF(Inputs!$E$30="Yes",INDEX(Data!AT:AT,MATCH(Outputs!A97,Data!A:A,0)),INDEX(Data!AS:AS,MATCH(Outputs!A97,Data!A:A,0))))</f>
        <v>9459722</v>
      </c>
      <c r="N97" s="143">
        <f>IF(Inputs!$E$30="Yes",INDEX(Data!BN:BN,MATCH(Outputs!$A97,Data!$A:$A,0)),INDEX(Data!BE:BE,MATCH(Outputs!$A97,Data!$A:$A,0)))</f>
        <v>9459722</v>
      </c>
      <c r="O97" s="143">
        <f>IF(Inputs!$E$30="Yes",INDEX(Data!BO:BO,MATCH(Outputs!$A97,Data!$A:$A,0)),INDEX(Data!BF:BF,MATCH(Outputs!$A97,Data!$A:$A,0)))</f>
        <v>9387462.5820000004</v>
      </c>
      <c r="P97" s="143">
        <f>IF(Inputs!$E$30="Yes",INDEX(Data!BP:BP,MATCH(Outputs!$A97,Data!$A:$A,0)),INDEX(Data!BG:BG,MATCH(Outputs!$A97,Data!$A:$A,0)))</f>
        <v>9315203.1640000008</v>
      </c>
      <c r="Q97" s="143">
        <f>IF(Inputs!$E$30="Yes",INDEX(Data!BQ:BQ,MATCH(Outputs!$A97,Data!$A:$A,0)),INDEX(Data!BH:BH,MATCH(Outputs!$A97,Data!$A:$A,0)))</f>
        <v>9242943.7460000012</v>
      </c>
      <c r="R97" s="143">
        <f>IF(Inputs!$E$30="Yes",INDEX(Data!BR:BR,MATCH(Outputs!$A97,Data!$A:$A,0)),INDEX(Data!BI:BI,MATCH(Outputs!$A97,Data!$A:$A,0)))</f>
        <v>9170684.3280000016</v>
      </c>
      <c r="S97" s="143">
        <f>IF(Inputs!$E$30="Yes",INDEX(Data!BS:BS,MATCH(Outputs!$A97,Data!$A:$A,0)),INDEX(Data!BJ:BJ,MATCH(Outputs!$A97,Data!$A:$A,0)))</f>
        <v>9098424.910000002</v>
      </c>
      <c r="T97" s="143">
        <f>IF(Inputs!$E$30="Yes",INDEX(Data!BT:BT,MATCH(Outputs!$A97,Data!$A:$A,0)),INDEX(Data!BK:BK,MATCH(Outputs!$A97,Data!$A:$A,0)))</f>
        <v>9026165.4920000024</v>
      </c>
      <c r="U97" s="143">
        <f>IF(Inputs!$E$30="Yes",INDEX(Data!BU:BU,MATCH(Outputs!$A97,Data!$A:$A,0)),INDEX(Data!BL:BL,MATCH(Outputs!$A97,Data!$A:$A,0)))</f>
        <v>9079950</v>
      </c>
      <c r="V97" s="143">
        <f>INDEX('FY 22 OFA Shell'!$AX$27:$AX$195,MATCH(Outputs!A97,'FY 22 OFA Shell'!$I$27:$I$195,0))</f>
        <v>9459722</v>
      </c>
      <c r="W97" s="143">
        <f>INDEX('FY 23 OFA Shell'!$AX$27:$AX$195,MATCH(Outputs!A97,'FY 23 OFA Shell'!$I$27:$I$195,0))</f>
        <v>9459722</v>
      </c>
      <c r="X97" s="143">
        <f>INDEX('FY 23 OFA Shell'!BK$27:BK$195,MATCH(Outputs!$A97,'FY 23 OFA Shell'!$I$27:$I$195,0))</f>
        <v>9387462.5820000004</v>
      </c>
      <c r="Y97" s="143">
        <f>INDEX('FY 23 OFA Shell'!BL$27:BL$195,MATCH(Outputs!$A97,'FY 23 OFA Shell'!$I$27:$I$195,0))</f>
        <v>9315203.1640000008</v>
      </c>
      <c r="Z97" s="143">
        <f>INDEX('FY 23 OFA Shell'!BM$27:BM$195,MATCH(Outputs!$A97,'FY 23 OFA Shell'!$I$27:$I$195,0))</f>
        <v>9242943.7460000012</v>
      </c>
      <c r="AA97" s="143">
        <f>INDEX('FY 23 OFA Shell'!BN$27:BN$195,MATCH(Outputs!$A97,'FY 23 OFA Shell'!$I$27:$I$195,0))</f>
        <v>9170684.3280000016</v>
      </c>
      <c r="AB97" s="143">
        <f>INDEX('FY 23 OFA Shell'!BO$27:BO$195,MATCH(Outputs!$A97,'FY 23 OFA Shell'!$I$27:$I$195,0))</f>
        <v>9098424.910000002</v>
      </c>
      <c r="AC97" s="143">
        <f>INDEX('FY 23 OFA Shell'!BP$27:BP$195,MATCH(Outputs!$A97,'FY 23 OFA Shell'!$I$27:$I$195,0))</f>
        <v>9026165.4920000024</v>
      </c>
      <c r="AD97" s="143">
        <f>INDEX('FY 23 OFA Shell'!BQ$27:BQ$195,MATCH(Outputs!$A97,'FY 23 OFA Shell'!$I$27:$I$195,0))</f>
        <v>9079950</v>
      </c>
      <c r="AE97" s="129">
        <f t="shared" si="69"/>
        <v>0</v>
      </c>
      <c r="AF97" s="129">
        <f t="shared" si="70"/>
        <v>0</v>
      </c>
      <c r="AG97" s="129">
        <f t="shared" si="71"/>
        <v>0</v>
      </c>
      <c r="AH97" s="129">
        <f t="shared" si="72"/>
        <v>0</v>
      </c>
      <c r="AI97" s="129">
        <f t="shared" si="73"/>
        <v>0</v>
      </c>
      <c r="AJ97" s="129">
        <f t="shared" si="74"/>
        <v>0</v>
      </c>
      <c r="AK97" s="129">
        <f t="shared" si="75"/>
        <v>0</v>
      </c>
      <c r="AL97" s="129">
        <f t="shared" si="76"/>
        <v>0</v>
      </c>
      <c r="AM97" s="129">
        <f t="shared" si="77"/>
        <v>0</v>
      </c>
      <c r="AN97" s="127">
        <f t="shared" si="78"/>
        <v>0</v>
      </c>
      <c r="AO97" s="127">
        <f t="shared" si="79"/>
        <v>0</v>
      </c>
      <c r="AP97" s="127">
        <f t="shared" si="80"/>
        <v>0</v>
      </c>
      <c r="AQ97" s="127">
        <f t="shared" si="81"/>
        <v>0</v>
      </c>
      <c r="AR97" s="127">
        <f t="shared" si="82"/>
        <v>0</v>
      </c>
      <c r="AS97" s="127">
        <f t="shared" si="83"/>
        <v>0</v>
      </c>
      <c r="AT97" s="127">
        <f t="shared" si="84"/>
        <v>0</v>
      </c>
      <c r="AU97" s="127">
        <f t="shared" si="85"/>
        <v>0</v>
      </c>
      <c r="AV97" s="127">
        <f t="shared" si="86"/>
        <v>0</v>
      </c>
    </row>
    <row r="98" spans="1:48" x14ac:dyDescent="0.15">
      <c r="A98" s="29" t="s">
        <v>91</v>
      </c>
      <c r="B98" s="30">
        <f>IF(Data!D93=1, MAX(Data!AA93, Inputs!$E$25) + INDEX(Inputs!$D$38:$D$42, MATCH( Data!AD93, Inputs!$B$38:$B$42, 0), 0), MAX(Data!AA93, Inputs!$E$26) +  INDEX(Inputs!$D$38:$D$42, MATCH( Data!AD93, Inputs!$B$38:$B$42, 0), 0))</f>
        <v>0.23547000000000001</v>
      </c>
      <c r="C98" s="141">
        <f>(100*Data!R93)</f>
        <v>600</v>
      </c>
      <c r="D98" s="141">
        <f>ROUND(Data!Q93*C98, 0)</f>
        <v>293400</v>
      </c>
      <c r="E98" s="141">
        <f>(100*Data!T93)</f>
        <v>0</v>
      </c>
      <c r="F98" s="141">
        <f>E98*Data!S93</f>
        <v>0</v>
      </c>
      <c r="G98" s="142">
        <f>ROUND(Inputs!$E$21*Data!W93*B98, 0)</f>
        <v>2651320</v>
      </c>
      <c r="H98" s="143">
        <f>IF(G98=0, 0,IF(Inputs!$E$30="Yes", IF(Data!D93=1, MAX(Outputs!D98+Outputs!F98+Outputs!G98, Data!AE93), Outputs!D98+Outputs!F98+Outputs!G98), Outputs!D98+Outputs!F98+Outputs!G98))</f>
        <v>2944720</v>
      </c>
      <c r="I98" s="143">
        <f>INDEX('FY 22 OFA Shell'!$AQ$27:$AQ$195,MATCH(Outputs!A98,'FY 22 OFA Shell'!$I$27:$I$195,0))</f>
        <v>2944720</v>
      </c>
      <c r="J98" s="129">
        <f>H98-Data!AT93</f>
        <v>42381</v>
      </c>
      <c r="K98" s="127">
        <f>((H98)/(Data!AT93)) - 1</f>
        <v>1.4602360372099943E-2</v>
      </c>
      <c r="L98" s="127">
        <f t="shared" si="68"/>
        <v>0</v>
      </c>
      <c r="M98" s="143">
        <f>(IF(Inputs!$E$30="Yes",INDEX(Data!AT:AT,MATCH(Outputs!A98,Data!A:A,0)),INDEX(Data!AS:AS,MATCH(Outputs!A98,Data!A:A,0))))</f>
        <v>2902339</v>
      </c>
      <c r="N98" s="143">
        <f>IF(Inputs!$E$30="Yes",INDEX(Data!BN:BN,MATCH(Outputs!$A98,Data!$A:$A,0)),INDEX(Data!BE:BE,MATCH(Outputs!$A98,Data!$A:$A,0)))</f>
        <v>2902339</v>
      </c>
      <c r="O98" s="143">
        <f>IF(Inputs!$E$30="Yes",INDEX(Data!BO:BO,MATCH(Outputs!$A98,Data!$A:$A,0)),INDEX(Data!BF:BF,MATCH(Outputs!$A98,Data!$A:$A,0)))</f>
        <v>2884904.7264999999</v>
      </c>
      <c r="P98" s="143">
        <f>IF(Inputs!$E$30="Yes",INDEX(Data!BP:BP,MATCH(Outputs!$A98,Data!$A:$A,0)),INDEX(Data!BG:BG,MATCH(Outputs!$A98,Data!$A:$A,0)))</f>
        <v>2867470.4529999997</v>
      </c>
      <c r="Q98" s="143">
        <f>IF(Inputs!$E$30="Yes",INDEX(Data!BQ:BQ,MATCH(Outputs!$A98,Data!$A:$A,0)),INDEX(Data!BH:BH,MATCH(Outputs!$A98,Data!$A:$A,0)))</f>
        <v>2850036.1794999996</v>
      </c>
      <c r="R98" s="143">
        <f>IF(Inputs!$E$30="Yes",INDEX(Data!BR:BR,MATCH(Outputs!$A98,Data!$A:$A,0)),INDEX(Data!BI:BI,MATCH(Outputs!$A98,Data!$A:$A,0)))</f>
        <v>2832601.9059999995</v>
      </c>
      <c r="S98" s="143">
        <f>IF(Inputs!$E$30="Yes",INDEX(Data!BS:BS,MATCH(Outputs!$A98,Data!$A:$A,0)),INDEX(Data!BJ:BJ,MATCH(Outputs!$A98,Data!$A:$A,0)))</f>
        <v>2815167.6324999994</v>
      </c>
      <c r="T98" s="143">
        <f>IF(Inputs!$E$30="Yes",INDEX(Data!BT:BT,MATCH(Outputs!$A98,Data!$A:$A,0)),INDEX(Data!BK:BK,MATCH(Outputs!$A98,Data!$A:$A,0)))</f>
        <v>2797733.3589999992</v>
      </c>
      <c r="U98" s="143">
        <f>IF(Inputs!$E$30="Yes",INDEX(Data!BU:BU,MATCH(Outputs!$A98,Data!$A:$A,0)),INDEX(Data!BL:BL,MATCH(Outputs!$A98,Data!$A:$A,0)))</f>
        <v>2944720</v>
      </c>
      <c r="V98" s="143">
        <f>INDEX('FY 22 OFA Shell'!$AX$27:$AX$195,MATCH(Outputs!A98,'FY 22 OFA Shell'!$I$27:$I$195,0))</f>
        <v>2902339</v>
      </c>
      <c r="W98" s="143">
        <f>INDEX('FY 23 OFA Shell'!$AX$27:$AX$195,MATCH(Outputs!A98,'FY 23 OFA Shell'!$I$27:$I$195,0))</f>
        <v>2902339</v>
      </c>
      <c r="X98" s="143">
        <f>INDEX('FY 23 OFA Shell'!BK$27:BK$195,MATCH(Outputs!$A98,'FY 23 OFA Shell'!$I$27:$I$195,0))</f>
        <v>2884904.7264999999</v>
      </c>
      <c r="Y98" s="143">
        <f>INDEX('FY 23 OFA Shell'!BL$27:BL$195,MATCH(Outputs!$A98,'FY 23 OFA Shell'!$I$27:$I$195,0))</f>
        <v>2867470.4529999997</v>
      </c>
      <c r="Z98" s="143">
        <f>INDEX('FY 23 OFA Shell'!BM$27:BM$195,MATCH(Outputs!$A98,'FY 23 OFA Shell'!$I$27:$I$195,0))</f>
        <v>2850036.1794999996</v>
      </c>
      <c r="AA98" s="143">
        <f>INDEX('FY 23 OFA Shell'!BN$27:BN$195,MATCH(Outputs!$A98,'FY 23 OFA Shell'!$I$27:$I$195,0))</f>
        <v>2832601.9059999995</v>
      </c>
      <c r="AB98" s="143">
        <f>INDEX('FY 23 OFA Shell'!BO$27:BO$195,MATCH(Outputs!$A98,'FY 23 OFA Shell'!$I$27:$I$195,0))</f>
        <v>2815167.6324999994</v>
      </c>
      <c r="AC98" s="143">
        <f>INDEX('FY 23 OFA Shell'!BP$27:BP$195,MATCH(Outputs!$A98,'FY 23 OFA Shell'!$I$27:$I$195,0))</f>
        <v>2797733.3589999992</v>
      </c>
      <c r="AD98" s="143">
        <f>INDEX('FY 23 OFA Shell'!BQ$27:BQ$195,MATCH(Outputs!$A98,'FY 23 OFA Shell'!$I$27:$I$195,0))</f>
        <v>2944720</v>
      </c>
      <c r="AE98" s="129">
        <f t="shared" si="69"/>
        <v>0</v>
      </c>
      <c r="AF98" s="129">
        <f t="shared" si="70"/>
        <v>0</v>
      </c>
      <c r="AG98" s="129">
        <f t="shared" si="71"/>
        <v>0</v>
      </c>
      <c r="AH98" s="129">
        <f t="shared" si="72"/>
        <v>0</v>
      </c>
      <c r="AI98" s="129">
        <f t="shared" si="73"/>
        <v>0</v>
      </c>
      <c r="AJ98" s="129">
        <f t="shared" si="74"/>
        <v>0</v>
      </c>
      <c r="AK98" s="129">
        <f t="shared" si="75"/>
        <v>0</v>
      </c>
      <c r="AL98" s="129">
        <f t="shared" si="76"/>
        <v>0</v>
      </c>
      <c r="AM98" s="129">
        <f t="shared" si="77"/>
        <v>0</v>
      </c>
      <c r="AN98" s="127">
        <f t="shared" si="78"/>
        <v>0</v>
      </c>
      <c r="AO98" s="127">
        <f t="shared" si="79"/>
        <v>0</v>
      </c>
      <c r="AP98" s="127">
        <f t="shared" si="80"/>
        <v>0</v>
      </c>
      <c r="AQ98" s="127">
        <f t="shared" si="81"/>
        <v>0</v>
      </c>
      <c r="AR98" s="127">
        <f t="shared" si="82"/>
        <v>0</v>
      </c>
      <c r="AS98" s="127">
        <f t="shared" si="83"/>
        <v>0</v>
      </c>
      <c r="AT98" s="127">
        <f t="shared" si="84"/>
        <v>0</v>
      </c>
      <c r="AU98" s="127">
        <f t="shared" si="85"/>
        <v>0</v>
      </c>
      <c r="AV98" s="127">
        <f t="shared" si="86"/>
        <v>0</v>
      </c>
    </row>
    <row r="99" spans="1:48" x14ac:dyDescent="0.15">
      <c r="A99" s="29" t="s">
        <v>92</v>
      </c>
      <c r="B99" s="30">
        <f>IF(Data!D94=1, MAX(Data!AA94, Inputs!$E$25) + INDEX(Inputs!$D$38:$D$42, MATCH( Data!AD94, Inputs!$B$38:$B$42, 0), 0), MAX(Data!AA94, Inputs!$E$26) +  INDEX(Inputs!$D$38:$D$42, MATCH( Data!AD94, Inputs!$B$38:$B$42, 0), 0))</f>
        <v>0.61196100000000009</v>
      </c>
      <c r="C99" s="141">
        <f>(100*Data!R94)</f>
        <v>0</v>
      </c>
      <c r="D99" s="141">
        <f>ROUND(Data!Q94*C99, 0)</f>
        <v>0</v>
      </c>
      <c r="E99" s="141">
        <f>(100*Data!T94)</f>
        <v>0</v>
      </c>
      <c r="F99" s="141">
        <f>E99*Data!S94</f>
        <v>0</v>
      </c>
      <c r="G99" s="142">
        <f>ROUND(Inputs!$E$21*Data!W94*B99, 0)</f>
        <v>80580722</v>
      </c>
      <c r="H99" s="143">
        <f>IF(G99=0, 0,IF(Inputs!$E$30="Yes", IF(Data!D94=1, MAX(Outputs!D99+Outputs!F99+Outputs!G99, Data!AE94), Outputs!D99+Outputs!F99+Outputs!G99), Outputs!D99+Outputs!F99+Outputs!G99))</f>
        <v>80580722</v>
      </c>
      <c r="I99" s="143">
        <f>INDEX('FY 22 OFA Shell'!$AQ$27:$AQ$195,MATCH(Outputs!A99,'FY 22 OFA Shell'!$I$27:$I$195,0))</f>
        <v>80580722</v>
      </c>
      <c r="J99" s="129">
        <f>H99-Data!AT94</f>
        <v>13639819.941799998</v>
      </c>
      <c r="K99" s="127">
        <f>((H99)/(Data!AT94)) - 1</f>
        <v>0.20375912965650245</v>
      </c>
      <c r="L99" s="127">
        <f t="shared" si="68"/>
        <v>0</v>
      </c>
      <c r="M99" s="143">
        <f>(IF(Inputs!$E$30="Yes",INDEX(Data!AT:AT,MATCH(Outputs!A99,Data!A:A,0)),INDEX(Data!AS:AS,MATCH(Outputs!A99,Data!A:A,0))))</f>
        <v>66940902.058200002</v>
      </c>
      <c r="N99" s="143">
        <f>IF(Inputs!$E$30="Yes",INDEX(Data!BN:BN,MATCH(Outputs!$A99,Data!$A:$A,0)),INDEX(Data!BE:BE,MATCH(Outputs!$A99,Data!$A:$A,0)))</f>
        <v>69107262.116400003</v>
      </c>
      <c r="O99" s="143">
        <f>IF(Inputs!$E$30="Yes",INDEX(Data!BO:BO,MATCH(Outputs!$A99,Data!$A:$A,0)),INDEX(Data!BF:BF,MATCH(Outputs!$A99,Data!$A:$A,0)))</f>
        <v>71273622.174600005</v>
      </c>
      <c r="P99" s="143">
        <f>IF(Inputs!$E$30="Yes",INDEX(Data!BP:BP,MATCH(Outputs!$A99,Data!$A:$A,0)),INDEX(Data!BG:BG,MATCH(Outputs!$A99,Data!$A:$A,0)))</f>
        <v>73439982.232800007</v>
      </c>
      <c r="Q99" s="143">
        <f>IF(Inputs!$E$30="Yes",INDEX(Data!BQ:BQ,MATCH(Outputs!$A99,Data!$A:$A,0)),INDEX(Data!BH:BH,MATCH(Outputs!$A99,Data!$A:$A,0)))</f>
        <v>75606342.291000009</v>
      </c>
      <c r="R99" s="143">
        <f>IF(Inputs!$E$30="Yes",INDEX(Data!BR:BR,MATCH(Outputs!$A99,Data!$A:$A,0)),INDEX(Data!BI:BI,MATCH(Outputs!$A99,Data!$A:$A,0)))</f>
        <v>77772702.34920001</v>
      </c>
      <c r="S99" s="143">
        <f>IF(Inputs!$E$30="Yes",INDEX(Data!BS:BS,MATCH(Outputs!$A99,Data!$A:$A,0)),INDEX(Data!BJ:BJ,MATCH(Outputs!$A99,Data!$A:$A,0)))</f>
        <v>80580722</v>
      </c>
      <c r="T99" s="143">
        <f>IF(Inputs!$E$30="Yes",INDEX(Data!BT:BT,MATCH(Outputs!$A99,Data!$A:$A,0)),INDEX(Data!BK:BK,MATCH(Outputs!$A99,Data!$A:$A,0)))</f>
        <v>80580722</v>
      </c>
      <c r="U99" s="143">
        <f>IF(Inputs!$E$30="Yes",INDEX(Data!BU:BU,MATCH(Outputs!$A99,Data!$A:$A,0)),INDEX(Data!BL:BL,MATCH(Outputs!$A99,Data!$A:$A,0)))</f>
        <v>80580722</v>
      </c>
      <c r="V99" s="143">
        <f>INDEX('FY 22 OFA Shell'!$AX$27:$AX$195,MATCH(Outputs!A99,'FY 22 OFA Shell'!$I$27:$I$195,0))</f>
        <v>66940902.058200002</v>
      </c>
      <c r="W99" s="143">
        <f>INDEX('FY 23 OFA Shell'!$AX$27:$AX$195,MATCH(Outputs!A99,'FY 23 OFA Shell'!$I$27:$I$195,0))</f>
        <v>69107262.116400003</v>
      </c>
      <c r="X99" s="143">
        <f>INDEX('FY 23 OFA Shell'!BK$27:BK$195,MATCH(Outputs!$A99,'FY 23 OFA Shell'!$I$27:$I$195,0))</f>
        <v>71273622.174600005</v>
      </c>
      <c r="Y99" s="143">
        <f>INDEX('FY 23 OFA Shell'!BL$27:BL$195,MATCH(Outputs!$A99,'FY 23 OFA Shell'!$I$27:$I$195,0))</f>
        <v>73439982.232800007</v>
      </c>
      <c r="Z99" s="143">
        <f>INDEX('FY 23 OFA Shell'!BM$27:BM$195,MATCH(Outputs!$A99,'FY 23 OFA Shell'!$I$27:$I$195,0))</f>
        <v>75606342.291000009</v>
      </c>
      <c r="AA99" s="143">
        <f>INDEX('FY 23 OFA Shell'!BN$27:BN$195,MATCH(Outputs!$A99,'FY 23 OFA Shell'!$I$27:$I$195,0))</f>
        <v>77772702.34920001</v>
      </c>
      <c r="AB99" s="143">
        <f>INDEX('FY 23 OFA Shell'!BO$27:BO$195,MATCH(Outputs!$A99,'FY 23 OFA Shell'!$I$27:$I$195,0))</f>
        <v>80580722</v>
      </c>
      <c r="AC99" s="143">
        <f>INDEX('FY 23 OFA Shell'!BP$27:BP$195,MATCH(Outputs!$A99,'FY 23 OFA Shell'!$I$27:$I$195,0))</f>
        <v>80580722</v>
      </c>
      <c r="AD99" s="143">
        <f>INDEX('FY 23 OFA Shell'!BQ$27:BQ$195,MATCH(Outputs!$A99,'FY 23 OFA Shell'!$I$27:$I$195,0))</f>
        <v>80580722</v>
      </c>
      <c r="AE99" s="129">
        <f t="shared" si="69"/>
        <v>0</v>
      </c>
      <c r="AF99" s="129">
        <f t="shared" si="70"/>
        <v>0</v>
      </c>
      <c r="AG99" s="129">
        <f t="shared" si="71"/>
        <v>0</v>
      </c>
      <c r="AH99" s="129">
        <f t="shared" si="72"/>
        <v>0</v>
      </c>
      <c r="AI99" s="129">
        <f t="shared" si="73"/>
        <v>0</v>
      </c>
      <c r="AJ99" s="129">
        <f t="shared" si="74"/>
        <v>0</v>
      </c>
      <c r="AK99" s="129">
        <f t="shared" si="75"/>
        <v>0</v>
      </c>
      <c r="AL99" s="129">
        <f t="shared" si="76"/>
        <v>0</v>
      </c>
      <c r="AM99" s="129">
        <f t="shared" si="77"/>
        <v>0</v>
      </c>
      <c r="AN99" s="127">
        <f t="shared" si="78"/>
        <v>0</v>
      </c>
      <c r="AO99" s="127">
        <f t="shared" si="79"/>
        <v>0</v>
      </c>
      <c r="AP99" s="127">
        <f t="shared" si="80"/>
        <v>0</v>
      </c>
      <c r="AQ99" s="127">
        <f t="shared" si="81"/>
        <v>0</v>
      </c>
      <c r="AR99" s="127">
        <f t="shared" si="82"/>
        <v>0</v>
      </c>
      <c r="AS99" s="127">
        <f t="shared" si="83"/>
        <v>0</v>
      </c>
      <c r="AT99" s="127">
        <f t="shared" si="84"/>
        <v>0</v>
      </c>
      <c r="AU99" s="127">
        <f t="shared" si="85"/>
        <v>0</v>
      </c>
      <c r="AV99" s="127">
        <f t="shared" si="86"/>
        <v>0</v>
      </c>
    </row>
    <row r="100" spans="1:48" x14ac:dyDescent="0.15">
      <c r="A100" s="29" t="s">
        <v>93</v>
      </c>
      <c r="B100" s="30">
        <f>IF(Data!D95=1, MAX(Data!AA95, Inputs!$E$25) + INDEX(Inputs!$D$38:$D$42, MATCH( Data!AD95, Inputs!$B$38:$B$42, 0), 0), MAX(Data!AA95, Inputs!$E$26) +  INDEX(Inputs!$D$38:$D$42, MATCH( Data!AD95, Inputs!$B$38:$B$42, 0), 0))</f>
        <v>6.5790000000000001E-2</v>
      </c>
      <c r="C100" s="141">
        <f>(100*Data!R95)</f>
        <v>1300</v>
      </c>
      <c r="D100" s="141">
        <f>ROUND(Data!Q95*C100, 0)</f>
        <v>1570400</v>
      </c>
      <c r="E100" s="141">
        <f>(100*Data!T95)</f>
        <v>0</v>
      </c>
      <c r="F100" s="141">
        <f>E100*Data!S95</f>
        <v>0</v>
      </c>
      <c r="G100" s="142">
        <f>ROUND(Inputs!$E$21*Data!W95*B100, 0)</f>
        <v>966098</v>
      </c>
      <c r="H100" s="143">
        <f>IF(G100=0, 0,IF(Inputs!$E$30="Yes", IF(Data!D95=1, MAX(Outputs!D100+Outputs!F100+Outputs!G100, Data!AE95), Outputs!D100+Outputs!F100+Outputs!G100), Outputs!D100+Outputs!F100+Outputs!G100))</f>
        <v>2536498</v>
      </c>
      <c r="I100" s="143">
        <f>INDEX('FY 22 OFA Shell'!$AQ$27:$AQ$195,MATCH(Outputs!A100,'FY 22 OFA Shell'!$I$27:$I$195,0))</f>
        <v>2536498</v>
      </c>
      <c r="J100" s="129">
        <f>H100-Data!AT95</f>
        <v>1509502.4808</v>
      </c>
      <c r="K100" s="127">
        <f>((H100)/(Data!AT95)) - 1</f>
        <v>1.4698238235507191</v>
      </c>
      <c r="L100" s="127">
        <f t="shared" si="68"/>
        <v>0</v>
      </c>
      <c r="M100" s="143">
        <f>(IF(Inputs!$E$30="Yes",INDEX(Data!AT:AT,MATCH(Outputs!A100,Data!A:A,0)),INDEX(Data!AS:AS,MATCH(Outputs!A100,Data!A:A,0))))</f>
        <v>1026995.5192</v>
      </c>
      <c r="N100" s="143">
        <f>IF(Inputs!$E$30="Yes",INDEX(Data!BN:BN,MATCH(Outputs!$A100,Data!$A:$A,0)),INDEX(Data!BE:BE,MATCH(Outputs!$A100,Data!$A:$A,0)))</f>
        <v>1206234.0384</v>
      </c>
      <c r="O100" s="143">
        <f>IF(Inputs!$E$30="Yes",INDEX(Data!BO:BO,MATCH(Outputs!$A100,Data!$A:$A,0)),INDEX(Data!BF:BF,MATCH(Outputs!$A100,Data!$A:$A,0)))</f>
        <v>1385472.5575999999</v>
      </c>
      <c r="P100" s="143">
        <f>IF(Inputs!$E$30="Yes",INDEX(Data!BP:BP,MATCH(Outputs!$A100,Data!$A:$A,0)),INDEX(Data!BG:BG,MATCH(Outputs!$A100,Data!$A:$A,0)))</f>
        <v>1564711.0767999999</v>
      </c>
      <c r="Q100" s="143">
        <f>IF(Inputs!$E$30="Yes",INDEX(Data!BQ:BQ,MATCH(Outputs!$A100,Data!$A:$A,0)),INDEX(Data!BH:BH,MATCH(Outputs!$A100,Data!$A:$A,0)))</f>
        <v>1743949.5959999999</v>
      </c>
      <c r="R100" s="143">
        <f>IF(Inputs!$E$30="Yes",INDEX(Data!BR:BR,MATCH(Outputs!$A100,Data!$A:$A,0)),INDEX(Data!BI:BI,MATCH(Outputs!$A100,Data!$A:$A,0)))</f>
        <v>1923188.1151999999</v>
      </c>
      <c r="S100" s="143">
        <f>IF(Inputs!$E$30="Yes",INDEX(Data!BS:BS,MATCH(Outputs!$A100,Data!$A:$A,0)),INDEX(Data!BJ:BJ,MATCH(Outputs!$A100,Data!$A:$A,0)))</f>
        <v>2536498</v>
      </c>
      <c r="T100" s="143">
        <f>IF(Inputs!$E$30="Yes",INDEX(Data!BT:BT,MATCH(Outputs!$A100,Data!$A:$A,0)),INDEX(Data!BK:BK,MATCH(Outputs!$A100,Data!$A:$A,0)))</f>
        <v>2536498</v>
      </c>
      <c r="U100" s="143">
        <f>IF(Inputs!$E$30="Yes",INDEX(Data!BU:BU,MATCH(Outputs!$A100,Data!$A:$A,0)),INDEX(Data!BL:BL,MATCH(Outputs!$A100,Data!$A:$A,0)))</f>
        <v>2536498</v>
      </c>
      <c r="V100" s="143">
        <f>INDEX('FY 22 OFA Shell'!$AX$27:$AX$195,MATCH(Outputs!A100,'FY 22 OFA Shell'!$I$27:$I$195,0))</f>
        <v>1026995.5192</v>
      </c>
      <c r="W100" s="143">
        <f>INDEX('FY 23 OFA Shell'!$AX$27:$AX$195,MATCH(Outputs!A100,'FY 23 OFA Shell'!$I$27:$I$195,0))</f>
        <v>1206234.0384</v>
      </c>
      <c r="X100" s="143">
        <f>INDEX('FY 23 OFA Shell'!BK$27:BK$195,MATCH(Outputs!$A100,'FY 23 OFA Shell'!$I$27:$I$195,0))</f>
        <v>1385472.5575999999</v>
      </c>
      <c r="Y100" s="143">
        <f>INDEX('FY 23 OFA Shell'!BL$27:BL$195,MATCH(Outputs!$A100,'FY 23 OFA Shell'!$I$27:$I$195,0))</f>
        <v>1564711.0767999999</v>
      </c>
      <c r="Z100" s="143">
        <f>INDEX('FY 23 OFA Shell'!BM$27:BM$195,MATCH(Outputs!$A100,'FY 23 OFA Shell'!$I$27:$I$195,0))</f>
        <v>1743949.5959999999</v>
      </c>
      <c r="AA100" s="143">
        <f>INDEX('FY 23 OFA Shell'!BN$27:BN$195,MATCH(Outputs!$A100,'FY 23 OFA Shell'!$I$27:$I$195,0))</f>
        <v>1923188.1151999999</v>
      </c>
      <c r="AB100" s="143">
        <f>INDEX('FY 23 OFA Shell'!BO$27:BO$195,MATCH(Outputs!$A100,'FY 23 OFA Shell'!$I$27:$I$195,0))</f>
        <v>2536498</v>
      </c>
      <c r="AC100" s="143">
        <f>INDEX('FY 23 OFA Shell'!BP$27:BP$195,MATCH(Outputs!$A100,'FY 23 OFA Shell'!$I$27:$I$195,0))</f>
        <v>2536498</v>
      </c>
      <c r="AD100" s="143">
        <f>INDEX('FY 23 OFA Shell'!BQ$27:BQ$195,MATCH(Outputs!$A100,'FY 23 OFA Shell'!$I$27:$I$195,0))</f>
        <v>2536498</v>
      </c>
      <c r="AE100" s="129">
        <f t="shared" si="69"/>
        <v>0</v>
      </c>
      <c r="AF100" s="129">
        <f t="shared" si="70"/>
        <v>0</v>
      </c>
      <c r="AG100" s="129">
        <f t="shared" si="71"/>
        <v>0</v>
      </c>
      <c r="AH100" s="129">
        <f t="shared" si="72"/>
        <v>0</v>
      </c>
      <c r="AI100" s="129">
        <f t="shared" si="73"/>
        <v>0</v>
      </c>
      <c r="AJ100" s="129">
        <f t="shared" si="74"/>
        <v>0</v>
      </c>
      <c r="AK100" s="129">
        <f t="shared" si="75"/>
        <v>0</v>
      </c>
      <c r="AL100" s="129">
        <f t="shared" si="76"/>
        <v>0</v>
      </c>
      <c r="AM100" s="129">
        <f t="shared" si="77"/>
        <v>0</v>
      </c>
      <c r="AN100" s="127">
        <f t="shared" si="78"/>
        <v>0</v>
      </c>
      <c r="AO100" s="127">
        <f t="shared" si="79"/>
        <v>0</v>
      </c>
      <c r="AP100" s="127">
        <f t="shared" si="80"/>
        <v>0</v>
      </c>
      <c r="AQ100" s="127">
        <f t="shared" si="81"/>
        <v>0</v>
      </c>
      <c r="AR100" s="127">
        <f t="shared" si="82"/>
        <v>0</v>
      </c>
      <c r="AS100" s="127">
        <f t="shared" si="83"/>
        <v>0</v>
      </c>
      <c r="AT100" s="127">
        <f t="shared" si="84"/>
        <v>0</v>
      </c>
      <c r="AU100" s="127">
        <f t="shared" si="85"/>
        <v>0</v>
      </c>
      <c r="AV100" s="127">
        <f t="shared" si="86"/>
        <v>0</v>
      </c>
    </row>
    <row r="101" spans="1:48" x14ac:dyDescent="0.15">
      <c r="A101" s="29" t="s">
        <v>94</v>
      </c>
      <c r="B101" s="30">
        <f>IF(Data!D96=1, MAX(Data!AA96, Inputs!$E$25) + INDEX(Inputs!$D$38:$D$42, MATCH( Data!AD96, Inputs!$B$38:$B$42, 0), 0), MAX(Data!AA96, Inputs!$E$26) +  INDEX(Inputs!$D$38:$D$42, MATCH( Data!AD96, Inputs!$B$38:$B$42, 0), 0))</f>
        <v>0.25489000000000001</v>
      </c>
      <c r="C101" s="141">
        <f>(100*Data!R96)</f>
        <v>1300</v>
      </c>
      <c r="D101" s="141">
        <f>ROUND(Data!Q96*C101, 0)</f>
        <v>642200</v>
      </c>
      <c r="E101" s="141">
        <f>(100*Data!T96)</f>
        <v>0</v>
      </c>
      <c r="F101" s="141">
        <f>E101*Data!S96</f>
        <v>0</v>
      </c>
      <c r="G101" s="142">
        <f>ROUND(Inputs!$E$21*Data!W96*B101, 0)</f>
        <v>1538719</v>
      </c>
      <c r="H101" s="143">
        <f>IF(G101=0, 0,IF(Inputs!$E$30="Yes", IF(Data!D96=1, MAX(Outputs!D101+Outputs!F101+Outputs!G101, Data!AE96), Outputs!D101+Outputs!F101+Outputs!G101), Outputs!D101+Outputs!F101+Outputs!G101))</f>
        <v>2180919</v>
      </c>
      <c r="I101" s="143">
        <f>INDEX('FY 22 OFA Shell'!$AQ$27:$AQ$195,MATCH(Outputs!A101,'FY 22 OFA Shell'!$I$27:$I$195,0))</f>
        <v>2180919</v>
      </c>
      <c r="J101" s="129">
        <f>H101-Data!AT96</f>
        <v>334716.01359999995</v>
      </c>
      <c r="K101" s="127">
        <f>((H101)/(Data!AT96)) - 1</f>
        <v>0.18129968159821841</v>
      </c>
      <c r="L101" s="127">
        <f t="shared" si="68"/>
        <v>0</v>
      </c>
      <c r="M101" s="143">
        <f>(IF(Inputs!$E$30="Yes",INDEX(Data!AT:AT,MATCH(Outputs!A101,Data!A:A,0)),INDEX(Data!AS:AS,MATCH(Outputs!A101,Data!A:A,0))))</f>
        <v>1846202.9864000001</v>
      </c>
      <c r="N101" s="143">
        <f>IF(Inputs!$E$30="Yes",INDEX(Data!BN:BN,MATCH(Outputs!$A101,Data!$A:$A,0)),INDEX(Data!BE:BE,MATCH(Outputs!$A101,Data!$A:$A,0)))</f>
        <v>1854901.9728000001</v>
      </c>
      <c r="O101" s="143">
        <f>IF(Inputs!$E$30="Yes",INDEX(Data!BO:BO,MATCH(Outputs!$A101,Data!$A:$A,0)),INDEX(Data!BF:BF,MATCH(Outputs!$A101,Data!$A:$A,0)))</f>
        <v>1863600.9592000002</v>
      </c>
      <c r="P101" s="143">
        <f>IF(Inputs!$E$30="Yes",INDEX(Data!BP:BP,MATCH(Outputs!$A101,Data!$A:$A,0)),INDEX(Data!BG:BG,MATCH(Outputs!$A101,Data!$A:$A,0)))</f>
        <v>1872299.9456000002</v>
      </c>
      <c r="Q101" s="143">
        <f>IF(Inputs!$E$30="Yes",INDEX(Data!BQ:BQ,MATCH(Outputs!$A101,Data!$A:$A,0)),INDEX(Data!BH:BH,MATCH(Outputs!$A101,Data!$A:$A,0)))</f>
        <v>1880998.9320000003</v>
      </c>
      <c r="R101" s="143">
        <f>IF(Inputs!$E$30="Yes",INDEX(Data!BR:BR,MATCH(Outputs!$A101,Data!$A:$A,0)),INDEX(Data!BI:BI,MATCH(Outputs!$A101,Data!$A:$A,0)))</f>
        <v>1889697.9184000003</v>
      </c>
      <c r="S101" s="143">
        <f>IF(Inputs!$E$30="Yes",INDEX(Data!BS:BS,MATCH(Outputs!$A101,Data!$A:$A,0)),INDEX(Data!BJ:BJ,MATCH(Outputs!$A101,Data!$A:$A,0)))</f>
        <v>2180919</v>
      </c>
      <c r="T101" s="143">
        <f>IF(Inputs!$E$30="Yes",INDEX(Data!BT:BT,MATCH(Outputs!$A101,Data!$A:$A,0)),INDEX(Data!BK:BK,MATCH(Outputs!$A101,Data!$A:$A,0)))</f>
        <v>2180919</v>
      </c>
      <c r="U101" s="143">
        <f>IF(Inputs!$E$30="Yes",INDEX(Data!BU:BU,MATCH(Outputs!$A101,Data!$A:$A,0)),INDEX(Data!BL:BL,MATCH(Outputs!$A101,Data!$A:$A,0)))</f>
        <v>2180919</v>
      </c>
      <c r="V101" s="143">
        <f>INDEX('FY 22 OFA Shell'!$AX$27:$AX$195,MATCH(Outputs!A101,'FY 22 OFA Shell'!$I$27:$I$195,0))</f>
        <v>1846202.9864000001</v>
      </c>
      <c r="W101" s="143">
        <f>INDEX('FY 23 OFA Shell'!$AX$27:$AX$195,MATCH(Outputs!A101,'FY 23 OFA Shell'!$I$27:$I$195,0))</f>
        <v>1854901.9728000001</v>
      </c>
      <c r="X101" s="143">
        <f>INDEX('FY 23 OFA Shell'!BK$27:BK$195,MATCH(Outputs!$A101,'FY 23 OFA Shell'!$I$27:$I$195,0))</f>
        <v>1863600.9592000002</v>
      </c>
      <c r="Y101" s="143">
        <f>INDEX('FY 23 OFA Shell'!BL$27:BL$195,MATCH(Outputs!$A101,'FY 23 OFA Shell'!$I$27:$I$195,0))</f>
        <v>1872299.9456000002</v>
      </c>
      <c r="Z101" s="143">
        <f>INDEX('FY 23 OFA Shell'!BM$27:BM$195,MATCH(Outputs!$A101,'FY 23 OFA Shell'!$I$27:$I$195,0))</f>
        <v>1880998.9320000003</v>
      </c>
      <c r="AA101" s="143">
        <f>INDEX('FY 23 OFA Shell'!BN$27:BN$195,MATCH(Outputs!$A101,'FY 23 OFA Shell'!$I$27:$I$195,0))</f>
        <v>1889697.9184000003</v>
      </c>
      <c r="AB101" s="143">
        <f>INDEX('FY 23 OFA Shell'!BO$27:BO$195,MATCH(Outputs!$A101,'FY 23 OFA Shell'!$I$27:$I$195,0))</f>
        <v>2180919</v>
      </c>
      <c r="AC101" s="143">
        <f>INDEX('FY 23 OFA Shell'!BP$27:BP$195,MATCH(Outputs!$A101,'FY 23 OFA Shell'!$I$27:$I$195,0))</f>
        <v>2180919</v>
      </c>
      <c r="AD101" s="143">
        <f>INDEX('FY 23 OFA Shell'!BQ$27:BQ$195,MATCH(Outputs!$A101,'FY 23 OFA Shell'!$I$27:$I$195,0))</f>
        <v>2180919</v>
      </c>
      <c r="AE101" s="129">
        <f t="shared" si="69"/>
        <v>0</v>
      </c>
      <c r="AF101" s="129">
        <f t="shared" si="70"/>
        <v>0</v>
      </c>
      <c r="AG101" s="129">
        <f t="shared" si="71"/>
        <v>0</v>
      </c>
      <c r="AH101" s="129">
        <f t="shared" si="72"/>
        <v>0</v>
      </c>
      <c r="AI101" s="129">
        <f t="shared" si="73"/>
        <v>0</v>
      </c>
      <c r="AJ101" s="129">
        <f t="shared" si="74"/>
        <v>0</v>
      </c>
      <c r="AK101" s="129">
        <f t="shared" si="75"/>
        <v>0</v>
      </c>
      <c r="AL101" s="129">
        <f t="shared" si="76"/>
        <v>0</v>
      </c>
      <c r="AM101" s="129">
        <f t="shared" si="77"/>
        <v>0</v>
      </c>
      <c r="AN101" s="127">
        <f t="shared" si="78"/>
        <v>0</v>
      </c>
      <c r="AO101" s="127">
        <f t="shared" si="79"/>
        <v>0</v>
      </c>
      <c r="AP101" s="127">
        <f t="shared" si="80"/>
        <v>0</v>
      </c>
      <c r="AQ101" s="127">
        <f t="shared" si="81"/>
        <v>0</v>
      </c>
      <c r="AR101" s="127">
        <f t="shared" si="82"/>
        <v>0</v>
      </c>
      <c r="AS101" s="127">
        <f t="shared" si="83"/>
        <v>0</v>
      </c>
      <c r="AT101" s="127">
        <f t="shared" si="84"/>
        <v>0</v>
      </c>
      <c r="AU101" s="127">
        <f t="shared" si="85"/>
        <v>0</v>
      </c>
      <c r="AV101" s="127">
        <f t="shared" si="86"/>
        <v>0</v>
      </c>
    </row>
    <row r="102" spans="1:48" x14ac:dyDescent="0.15">
      <c r="A102" s="29" t="s">
        <v>95</v>
      </c>
      <c r="B102" s="30">
        <f>IF(Data!D97=1, MAX(Data!AA97, Inputs!$E$25) + INDEX(Inputs!$D$38:$D$42, MATCH( Data!AD97, Inputs!$B$38:$B$42, 0), 0), MAX(Data!AA97, Inputs!$E$26) +  INDEX(Inputs!$D$38:$D$42, MATCH( Data!AD97, Inputs!$B$38:$B$42, 0), 0))</f>
        <v>0.431394</v>
      </c>
      <c r="C102" s="141">
        <f>(100*Data!R97)</f>
        <v>0</v>
      </c>
      <c r="D102" s="141">
        <f>ROUND(Data!Q97*C102, 0)</f>
        <v>0</v>
      </c>
      <c r="E102" s="141">
        <f>(100*Data!T97)</f>
        <v>0</v>
      </c>
      <c r="F102" s="141">
        <f>E102*Data!S97</f>
        <v>0</v>
      </c>
      <c r="G102" s="142">
        <f>ROUND(Inputs!$E$21*Data!W97*B102, 0)</f>
        <v>26291211</v>
      </c>
      <c r="H102" s="143">
        <f>IF(G102=0, 0,IF(Inputs!$E$30="Yes", IF(Data!D97=1, MAX(Outputs!D102+Outputs!F102+Outputs!G102, Data!AE97), Outputs!D102+Outputs!F102+Outputs!G102), Outputs!D102+Outputs!F102+Outputs!G102))</f>
        <v>26291211</v>
      </c>
      <c r="I102" s="143">
        <f>INDEX('FY 22 OFA Shell'!$AQ$27:$AQ$195,MATCH(Outputs!A102,'FY 22 OFA Shell'!$I$27:$I$195,0))</f>
        <v>26291211</v>
      </c>
      <c r="J102" s="129">
        <f>H102-Data!AT97</f>
        <v>4016989.8524000011</v>
      </c>
      <c r="K102" s="127">
        <f>((H102)/(Data!AT97)) - 1</f>
        <v>0.18034255051080983</v>
      </c>
      <c r="L102" s="127">
        <f t="shared" si="68"/>
        <v>0</v>
      </c>
      <c r="M102" s="143">
        <f>(IF(Inputs!$E$30="Yes",INDEX(Data!AT:AT,MATCH(Outputs!A102,Data!A:A,0)),INDEX(Data!AS:AS,MATCH(Outputs!A102,Data!A:A,0))))</f>
        <v>22274221.147599999</v>
      </c>
      <c r="N102" s="143">
        <f>IF(Inputs!$E$30="Yes",INDEX(Data!BN:BN,MATCH(Outputs!$A102,Data!$A:$A,0)),INDEX(Data!BE:BE,MATCH(Outputs!$A102,Data!$A:$A,0)))</f>
        <v>22996477.295199998</v>
      </c>
      <c r="O102" s="143">
        <f>IF(Inputs!$E$30="Yes",INDEX(Data!BO:BO,MATCH(Outputs!$A102,Data!$A:$A,0)),INDEX(Data!BF:BF,MATCH(Outputs!$A102,Data!$A:$A,0)))</f>
        <v>23718733.442799997</v>
      </c>
      <c r="P102" s="143">
        <f>IF(Inputs!$E$30="Yes",INDEX(Data!BP:BP,MATCH(Outputs!$A102,Data!$A:$A,0)),INDEX(Data!BG:BG,MATCH(Outputs!$A102,Data!$A:$A,0)))</f>
        <v>24440989.590399995</v>
      </c>
      <c r="Q102" s="143">
        <f>IF(Inputs!$E$30="Yes",INDEX(Data!BQ:BQ,MATCH(Outputs!$A102,Data!$A:$A,0)),INDEX(Data!BH:BH,MATCH(Outputs!$A102,Data!$A:$A,0)))</f>
        <v>25163245.737999994</v>
      </c>
      <c r="R102" s="143">
        <f>IF(Inputs!$E$30="Yes",INDEX(Data!BR:BR,MATCH(Outputs!$A102,Data!$A:$A,0)),INDEX(Data!BI:BI,MATCH(Outputs!$A102,Data!$A:$A,0)))</f>
        <v>25885501.885599993</v>
      </c>
      <c r="S102" s="143">
        <f>IF(Inputs!$E$30="Yes",INDEX(Data!BS:BS,MATCH(Outputs!$A102,Data!$A:$A,0)),INDEX(Data!BJ:BJ,MATCH(Outputs!$A102,Data!$A:$A,0)))</f>
        <v>26291211</v>
      </c>
      <c r="T102" s="143">
        <f>IF(Inputs!$E$30="Yes",INDEX(Data!BT:BT,MATCH(Outputs!$A102,Data!$A:$A,0)),INDEX(Data!BK:BK,MATCH(Outputs!$A102,Data!$A:$A,0)))</f>
        <v>26291211</v>
      </c>
      <c r="U102" s="143">
        <f>IF(Inputs!$E$30="Yes",INDEX(Data!BU:BU,MATCH(Outputs!$A102,Data!$A:$A,0)),INDEX(Data!BL:BL,MATCH(Outputs!$A102,Data!$A:$A,0)))</f>
        <v>26291211</v>
      </c>
      <c r="V102" s="143">
        <f>INDEX('FY 22 OFA Shell'!$AX$27:$AX$195,MATCH(Outputs!A102,'FY 22 OFA Shell'!$I$27:$I$195,0))</f>
        <v>22274221.147599999</v>
      </c>
      <c r="W102" s="143">
        <f>INDEX('FY 23 OFA Shell'!$AX$27:$AX$195,MATCH(Outputs!A102,'FY 23 OFA Shell'!$I$27:$I$195,0))</f>
        <v>22996477.295199998</v>
      </c>
      <c r="X102" s="143">
        <f>INDEX('FY 23 OFA Shell'!BK$27:BK$195,MATCH(Outputs!$A102,'FY 23 OFA Shell'!$I$27:$I$195,0))</f>
        <v>23718733.442799997</v>
      </c>
      <c r="Y102" s="143">
        <f>INDEX('FY 23 OFA Shell'!BL$27:BL$195,MATCH(Outputs!$A102,'FY 23 OFA Shell'!$I$27:$I$195,0))</f>
        <v>24440989.590399995</v>
      </c>
      <c r="Z102" s="143">
        <f>INDEX('FY 23 OFA Shell'!BM$27:BM$195,MATCH(Outputs!$A102,'FY 23 OFA Shell'!$I$27:$I$195,0))</f>
        <v>25163245.737999994</v>
      </c>
      <c r="AA102" s="143">
        <f>INDEX('FY 23 OFA Shell'!BN$27:BN$195,MATCH(Outputs!$A102,'FY 23 OFA Shell'!$I$27:$I$195,0))</f>
        <v>25885501.885599993</v>
      </c>
      <c r="AB102" s="143">
        <f>INDEX('FY 23 OFA Shell'!BO$27:BO$195,MATCH(Outputs!$A102,'FY 23 OFA Shell'!$I$27:$I$195,0))</f>
        <v>26291211</v>
      </c>
      <c r="AC102" s="143">
        <f>INDEX('FY 23 OFA Shell'!BP$27:BP$195,MATCH(Outputs!$A102,'FY 23 OFA Shell'!$I$27:$I$195,0))</f>
        <v>26291211</v>
      </c>
      <c r="AD102" s="143">
        <f>INDEX('FY 23 OFA Shell'!BQ$27:BQ$195,MATCH(Outputs!$A102,'FY 23 OFA Shell'!$I$27:$I$195,0))</f>
        <v>26291211</v>
      </c>
      <c r="AE102" s="129">
        <f t="shared" si="69"/>
        <v>0</v>
      </c>
      <c r="AF102" s="129">
        <f t="shared" si="70"/>
        <v>0</v>
      </c>
      <c r="AG102" s="129">
        <f t="shared" si="71"/>
        <v>0</v>
      </c>
      <c r="AH102" s="129">
        <f t="shared" si="72"/>
        <v>0</v>
      </c>
      <c r="AI102" s="129">
        <f t="shared" si="73"/>
        <v>0</v>
      </c>
      <c r="AJ102" s="129">
        <f t="shared" si="74"/>
        <v>0</v>
      </c>
      <c r="AK102" s="129">
        <f t="shared" si="75"/>
        <v>0</v>
      </c>
      <c r="AL102" s="129">
        <f t="shared" si="76"/>
        <v>0</v>
      </c>
      <c r="AM102" s="129">
        <f t="shared" si="77"/>
        <v>0</v>
      </c>
      <c r="AN102" s="127">
        <f t="shared" si="78"/>
        <v>0</v>
      </c>
      <c r="AO102" s="127">
        <f t="shared" si="79"/>
        <v>0</v>
      </c>
      <c r="AP102" s="127">
        <f t="shared" si="80"/>
        <v>0</v>
      </c>
      <c r="AQ102" s="127">
        <f t="shared" si="81"/>
        <v>0</v>
      </c>
      <c r="AR102" s="127">
        <f t="shared" si="82"/>
        <v>0</v>
      </c>
      <c r="AS102" s="127">
        <f t="shared" si="83"/>
        <v>0</v>
      </c>
      <c r="AT102" s="127">
        <f t="shared" si="84"/>
        <v>0</v>
      </c>
      <c r="AU102" s="127">
        <f t="shared" si="85"/>
        <v>0</v>
      </c>
      <c r="AV102" s="127">
        <f t="shared" si="86"/>
        <v>0</v>
      </c>
    </row>
    <row r="103" spans="1:48" x14ac:dyDescent="0.15">
      <c r="A103" s="29" t="s">
        <v>96</v>
      </c>
      <c r="B103" s="30">
        <f>IF(Data!D98=1, MAX(Data!AA98, Inputs!$E$25) + INDEX(Inputs!$D$38:$D$42, MATCH( Data!AD98, Inputs!$B$38:$B$42, 0), 0), MAX(Data!AA98, Inputs!$E$26) +  INDEX(Inputs!$D$38:$D$42, MATCH( Data!AD98, Inputs!$B$38:$B$42, 0), 0))</f>
        <v>0.12579599999999999</v>
      </c>
      <c r="C103" s="141">
        <f>(100*Data!R98)</f>
        <v>0</v>
      </c>
      <c r="D103" s="141">
        <f>ROUND(Data!Q98*C103, 0)</f>
        <v>0</v>
      </c>
      <c r="E103" s="141">
        <f>(100*Data!T98)</f>
        <v>0</v>
      </c>
      <c r="F103" s="141">
        <f>E103*Data!S98</f>
        <v>0</v>
      </c>
      <c r="G103" s="142">
        <f>ROUND(Inputs!$E$21*Data!W98*B103, 0)</f>
        <v>8588261</v>
      </c>
      <c r="H103" s="143">
        <f>IF(G103=0, 0,IF(Inputs!$E$30="Yes", IF(Data!D98=1, MAX(Outputs!D103+Outputs!F103+Outputs!G103, Data!AE98), Outputs!D103+Outputs!F103+Outputs!G103), Outputs!D103+Outputs!F103+Outputs!G103))</f>
        <v>8588261</v>
      </c>
      <c r="I103" s="143">
        <f>INDEX('FY 22 OFA Shell'!$AQ$27:$AQ$195,MATCH(Outputs!A103,'FY 22 OFA Shell'!$I$27:$I$195,0))</f>
        <v>8588261</v>
      </c>
      <c r="J103" s="129">
        <f>H103-Data!AT98</f>
        <v>-1084974</v>
      </c>
      <c r="K103" s="127">
        <f>((H103)/(Data!AT98)) - 1</f>
        <v>-0.11216247718576056</v>
      </c>
      <c r="L103" s="127">
        <f t="shared" si="68"/>
        <v>0</v>
      </c>
      <c r="M103" s="143">
        <f>(IF(Inputs!$E$30="Yes",INDEX(Data!AT:AT,MATCH(Outputs!A103,Data!A:A,0)),INDEX(Data!AS:AS,MATCH(Outputs!A103,Data!A:A,0))))</f>
        <v>9673235</v>
      </c>
      <c r="N103" s="143">
        <f>IF(Inputs!$E$30="Yes",INDEX(Data!BN:BN,MATCH(Outputs!$A103,Data!$A:$A,0)),INDEX(Data!BE:BE,MATCH(Outputs!$A103,Data!$A:$A,0)))</f>
        <v>9673235</v>
      </c>
      <c r="O103" s="143">
        <f>IF(Inputs!$E$30="Yes",INDEX(Data!BO:BO,MATCH(Outputs!$A103,Data!$A:$A,0)),INDEX(Data!BF:BF,MATCH(Outputs!$A103,Data!$A:$A,0)))</f>
        <v>9484907.0280000009</v>
      </c>
      <c r="P103" s="143">
        <f>IF(Inputs!$E$30="Yes",INDEX(Data!BP:BP,MATCH(Outputs!$A103,Data!$A:$A,0)),INDEX(Data!BG:BG,MATCH(Outputs!$A103,Data!$A:$A,0)))</f>
        <v>9296579.0560000017</v>
      </c>
      <c r="Q103" s="143">
        <f>IF(Inputs!$E$30="Yes",INDEX(Data!BQ:BQ,MATCH(Outputs!$A103,Data!$A:$A,0)),INDEX(Data!BH:BH,MATCH(Outputs!$A103,Data!$A:$A,0)))</f>
        <v>9108251.0840000026</v>
      </c>
      <c r="R103" s="143">
        <f>IF(Inputs!$E$30="Yes",INDEX(Data!BR:BR,MATCH(Outputs!$A103,Data!$A:$A,0)),INDEX(Data!BI:BI,MATCH(Outputs!$A103,Data!$A:$A,0)))</f>
        <v>8919923.1120000035</v>
      </c>
      <c r="S103" s="143">
        <f>IF(Inputs!$E$30="Yes",INDEX(Data!BS:BS,MATCH(Outputs!$A103,Data!$A:$A,0)),INDEX(Data!BJ:BJ,MATCH(Outputs!$A103,Data!$A:$A,0)))</f>
        <v>8731595.1400000043</v>
      </c>
      <c r="T103" s="143">
        <f>IF(Inputs!$E$30="Yes",INDEX(Data!BT:BT,MATCH(Outputs!$A103,Data!$A:$A,0)),INDEX(Data!BK:BK,MATCH(Outputs!$A103,Data!$A:$A,0)))</f>
        <v>8543267.1680000052</v>
      </c>
      <c r="U103" s="143">
        <f>IF(Inputs!$E$30="Yes",INDEX(Data!BU:BU,MATCH(Outputs!$A103,Data!$A:$A,0)),INDEX(Data!BL:BL,MATCH(Outputs!$A103,Data!$A:$A,0)))</f>
        <v>8588261</v>
      </c>
      <c r="V103" s="143">
        <f>INDEX('FY 22 OFA Shell'!$AX$27:$AX$195,MATCH(Outputs!A103,'FY 22 OFA Shell'!$I$27:$I$195,0))</f>
        <v>9673235</v>
      </c>
      <c r="W103" s="143">
        <f>INDEX('FY 23 OFA Shell'!$AX$27:$AX$195,MATCH(Outputs!A103,'FY 23 OFA Shell'!$I$27:$I$195,0))</f>
        <v>9673235</v>
      </c>
      <c r="X103" s="143">
        <f>INDEX('FY 23 OFA Shell'!BK$27:BK$195,MATCH(Outputs!$A103,'FY 23 OFA Shell'!$I$27:$I$195,0))</f>
        <v>9484907.0280000009</v>
      </c>
      <c r="Y103" s="143">
        <f>INDEX('FY 23 OFA Shell'!BL$27:BL$195,MATCH(Outputs!$A103,'FY 23 OFA Shell'!$I$27:$I$195,0))</f>
        <v>9296579.0560000017</v>
      </c>
      <c r="Z103" s="143">
        <f>INDEX('FY 23 OFA Shell'!BM$27:BM$195,MATCH(Outputs!$A103,'FY 23 OFA Shell'!$I$27:$I$195,0))</f>
        <v>9108251.0840000026</v>
      </c>
      <c r="AA103" s="143">
        <f>INDEX('FY 23 OFA Shell'!BN$27:BN$195,MATCH(Outputs!$A103,'FY 23 OFA Shell'!$I$27:$I$195,0))</f>
        <v>8919923.1120000035</v>
      </c>
      <c r="AB103" s="143">
        <f>INDEX('FY 23 OFA Shell'!BO$27:BO$195,MATCH(Outputs!$A103,'FY 23 OFA Shell'!$I$27:$I$195,0))</f>
        <v>8731595.1400000043</v>
      </c>
      <c r="AC103" s="143">
        <f>INDEX('FY 23 OFA Shell'!BP$27:BP$195,MATCH(Outputs!$A103,'FY 23 OFA Shell'!$I$27:$I$195,0))</f>
        <v>8543267.1680000052</v>
      </c>
      <c r="AD103" s="143">
        <f>INDEX('FY 23 OFA Shell'!BQ$27:BQ$195,MATCH(Outputs!$A103,'FY 23 OFA Shell'!$I$27:$I$195,0))</f>
        <v>8588261</v>
      </c>
      <c r="AE103" s="129">
        <f t="shared" si="69"/>
        <v>0</v>
      </c>
      <c r="AF103" s="129">
        <f t="shared" si="70"/>
        <v>0</v>
      </c>
      <c r="AG103" s="129">
        <f t="shared" si="71"/>
        <v>0</v>
      </c>
      <c r="AH103" s="129">
        <f t="shared" si="72"/>
        <v>0</v>
      </c>
      <c r="AI103" s="129">
        <f t="shared" si="73"/>
        <v>0</v>
      </c>
      <c r="AJ103" s="129">
        <f t="shared" si="74"/>
        <v>0</v>
      </c>
      <c r="AK103" s="129">
        <f t="shared" si="75"/>
        <v>0</v>
      </c>
      <c r="AL103" s="129">
        <f t="shared" si="76"/>
        <v>0</v>
      </c>
      <c r="AM103" s="129">
        <f t="shared" si="77"/>
        <v>0</v>
      </c>
      <c r="AN103" s="127">
        <f t="shared" si="78"/>
        <v>0</v>
      </c>
      <c r="AO103" s="127">
        <f t="shared" si="79"/>
        <v>0</v>
      </c>
      <c r="AP103" s="127">
        <f t="shared" si="80"/>
        <v>0</v>
      </c>
      <c r="AQ103" s="127">
        <f t="shared" si="81"/>
        <v>0</v>
      </c>
      <c r="AR103" s="127">
        <f t="shared" si="82"/>
        <v>0</v>
      </c>
      <c r="AS103" s="127">
        <f t="shared" si="83"/>
        <v>0</v>
      </c>
      <c r="AT103" s="127">
        <f t="shared" si="84"/>
        <v>0</v>
      </c>
      <c r="AU103" s="127">
        <f t="shared" si="85"/>
        <v>0</v>
      </c>
      <c r="AV103" s="127">
        <f t="shared" si="86"/>
        <v>0</v>
      </c>
    </row>
    <row r="104" spans="1:48" x14ac:dyDescent="0.15">
      <c r="A104" s="29" t="s">
        <v>97</v>
      </c>
      <c r="B104" s="30">
        <f>IF(Data!D99=1, MAX(Data!AA99, Inputs!$E$25) + INDEX(Inputs!$D$38:$D$42, MATCH( Data!AD99, Inputs!$B$38:$B$42, 0), 0), MAX(Data!AA99, Inputs!$E$26) +  INDEX(Inputs!$D$38:$D$42, MATCH( Data!AD99, Inputs!$B$38:$B$42, 0), 0))</f>
        <v>0.11287800000000001</v>
      </c>
      <c r="C104" s="141">
        <f>(100*Data!R99)</f>
        <v>0</v>
      </c>
      <c r="D104" s="141">
        <f>ROUND(Data!Q99*C104, 0)</f>
        <v>0</v>
      </c>
      <c r="E104" s="141">
        <f>(100*Data!T99)</f>
        <v>0</v>
      </c>
      <c r="F104" s="141">
        <f>E104*Data!S99</f>
        <v>0</v>
      </c>
      <c r="G104" s="142">
        <f>ROUND(Inputs!$E$21*Data!W99*B104, 0)</f>
        <v>4315083</v>
      </c>
      <c r="H104" s="143">
        <f>IF(G104=0, 0,IF(Inputs!$E$30="Yes", IF(Data!D99=1, MAX(Outputs!D104+Outputs!F104+Outputs!G104, Data!AE99), Outputs!D104+Outputs!F104+Outputs!G104), Outputs!D104+Outputs!F104+Outputs!G104))</f>
        <v>4315083</v>
      </c>
      <c r="I104" s="143">
        <f>INDEX('FY 22 OFA Shell'!$AQ$27:$AQ$195,MATCH(Outputs!A104,'FY 22 OFA Shell'!$I$27:$I$195,0))</f>
        <v>4315083</v>
      </c>
      <c r="J104" s="129">
        <f>H104-Data!AT99</f>
        <v>-957852</v>
      </c>
      <c r="K104" s="127">
        <f>((H104)/(Data!AT99)) - 1</f>
        <v>-0.18165442964876299</v>
      </c>
      <c r="L104" s="127">
        <f t="shared" si="68"/>
        <v>0</v>
      </c>
      <c r="M104" s="143">
        <f>(IF(Inputs!$E$30="Yes",INDEX(Data!AT:AT,MATCH(Outputs!A104,Data!A:A,0)),INDEX(Data!AS:AS,MATCH(Outputs!A104,Data!A:A,0))))</f>
        <v>5272935</v>
      </c>
      <c r="N104" s="143">
        <f>IF(Inputs!$E$30="Yes",INDEX(Data!BN:BN,MATCH(Outputs!$A104,Data!$A:$A,0)),INDEX(Data!BE:BE,MATCH(Outputs!$A104,Data!$A:$A,0)))</f>
        <v>5272935</v>
      </c>
      <c r="O104" s="143">
        <f>IF(Inputs!$E$30="Yes",INDEX(Data!BO:BO,MATCH(Outputs!$A104,Data!$A:$A,0)),INDEX(Data!BF:BF,MATCH(Outputs!$A104,Data!$A:$A,0)))</f>
        <v>5099718.0645000003</v>
      </c>
      <c r="P104" s="143">
        <f>IF(Inputs!$E$30="Yes",INDEX(Data!BP:BP,MATCH(Outputs!$A104,Data!$A:$A,0)),INDEX(Data!BG:BG,MATCH(Outputs!$A104,Data!$A:$A,0)))</f>
        <v>4926501.1290000007</v>
      </c>
      <c r="Q104" s="143">
        <f>IF(Inputs!$E$30="Yes",INDEX(Data!BQ:BQ,MATCH(Outputs!$A104,Data!$A:$A,0)),INDEX(Data!BH:BH,MATCH(Outputs!$A104,Data!$A:$A,0)))</f>
        <v>4753284.193500001</v>
      </c>
      <c r="R104" s="143">
        <f>IF(Inputs!$E$30="Yes",INDEX(Data!BR:BR,MATCH(Outputs!$A104,Data!$A:$A,0)),INDEX(Data!BI:BI,MATCH(Outputs!$A104,Data!$A:$A,0)))</f>
        <v>4580067.2580000013</v>
      </c>
      <c r="S104" s="143">
        <f>IF(Inputs!$E$30="Yes",INDEX(Data!BS:BS,MATCH(Outputs!$A104,Data!$A:$A,0)),INDEX(Data!BJ:BJ,MATCH(Outputs!$A104,Data!$A:$A,0)))</f>
        <v>4406850.3225000016</v>
      </c>
      <c r="T104" s="143">
        <f>IF(Inputs!$E$30="Yes",INDEX(Data!BT:BT,MATCH(Outputs!$A104,Data!$A:$A,0)),INDEX(Data!BK:BK,MATCH(Outputs!$A104,Data!$A:$A,0)))</f>
        <v>4233633.387000002</v>
      </c>
      <c r="U104" s="143">
        <f>IF(Inputs!$E$30="Yes",INDEX(Data!BU:BU,MATCH(Outputs!$A104,Data!$A:$A,0)),INDEX(Data!BL:BL,MATCH(Outputs!$A104,Data!$A:$A,0)))</f>
        <v>4315083</v>
      </c>
      <c r="V104" s="143">
        <f>INDEX('FY 22 OFA Shell'!$AX$27:$AX$195,MATCH(Outputs!A104,'FY 22 OFA Shell'!$I$27:$I$195,0))</f>
        <v>5272935</v>
      </c>
      <c r="W104" s="143">
        <f>INDEX('FY 23 OFA Shell'!$AX$27:$AX$195,MATCH(Outputs!A104,'FY 23 OFA Shell'!$I$27:$I$195,0))</f>
        <v>5272935</v>
      </c>
      <c r="X104" s="143">
        <f>INDEX('FY 23 OFA Shell'!BK$27:BK$195,MATCH(Outputs!$A104,'FY 23 OFA Shell'!$I$27:$I$195,0))</f>
        <v>5099718.0645000003</v>
      </c>
      <c r="Y104" s="143">
        <f>INDEX('FY 23 OFA Shell'!BL$27:BL$195,MATCH(Outputs!$A104,'FY 23 OFA Shell'!$I$27:$I$195,0))</f>
        <v>4926501.1290000007</v>
      </c>
      <c r="Z104" s="143">
        <f>INDEX('FY 23 OFA Shell'!BM$27:BM$195,MATCH(Outputs!$A104,'FY 23 OFA Shell'!$I$27:$I$195,0))</f>
        <v>4753284.193500001</v>
      </c>
      <c r="AA104" s="143">
        <f>INDEX('FY 23 OFA Shell'!BN$27:BN$195,MATCH(Outputs!$A104,'FY 23 OFA Shell'!$I$27:$I$195,0))</f>
        <v>4580067.2580000013</v>
      </c>
      <c r="AB104" s="143">
        <f>INDEX('FY 23 OFA Shell'!BO$27:BO$195,MATCH(Outputs!$A104,'FY 23 OFA Shell'!$I$27:$I$195,0))</f>
        <v>4406850.3225000016</v>
      </c>
      <c r="AC104" s="143">
        <f>INDEX('FY 23 OFA Shell'!BP$27:BP$195,MATCH(Outputs!$A104,'FY 23 OFA Shell'!$I$27:$I$195,0))</f>
        <v>4233633.387000002</v>
      </c>
      <c r="AD104" s="143">
        <f>INDEX('FY 23 OFA Shell'!BQ$27:BQ$195,MATCH(Outputs!$A104,'FY 23 OFA Shell'!$I$27:$I$195,0))</f>
        <v>4315083</v>
      </c>
      <c r="AE104" s="129">
        <f t="shared" si="69"/>
        <v>0</v>
      </c>
      <c r="AF104" s="129">
        <f t="shared" si="70"/>
        <v>0</v>
      </c>
      <c r="AG104" s="129">
        <f t="shared" si="71"/>
        <v>0</v>
      </c>
      <c r="AH104" s="129">
        <f t="shared" si="72"/>
        <v>0</v>
      </c>
      <c r="AI104" s="129">
        <f t="shared" si="73"/>
        <v>0</v>
      </c>
      <c r="AJ104" s="129">
        <f t="shared" si="74"/>
        <v>0</v>
      </c>
      <c r="AK104" s="129">
        <f t="shared" si="75"/>
        <v>0</v>
      </c>
      <c r="AL104" s="129">
        <f t="shared" si="76"/>
        <v>0</v>
      </c>
      <c r="AM104" s="129">
        <f t="shared" si="77"/>
        <v>0</v>
      </c>
      <c r="AN104" s="127">
        <f t="shared" si="78"/>
        <v>0</v>
      </c>
      <c r="AO104" s="127">
        <f t="shared" si="79"/>
        <v>0</v>
      </c>
      <c r="AP104" s="127">
        <f t="shared" si="80"/>
        <v>0</v>
      </c>
      <c r="AQ104" s="127">
        <f t="shared" si="81"/>
        <v>0</v>
      </c>
      <c r="AR104" s="127">
        <f t="shared" si="82"/>
        <v>0</v>
      </c>
      <c r="AS104" s="127">
        <f t="shared" si="83"/>
        <v>0</v>
      </c>
      <c r="AT104" s="127">
        <f t="shared" si="84"/>
        <v>0</v>
      </c>
      <c r="AU104" s="127">
        <f t="shared" si="85"/>
        <v>0</v>
      </c>
      <c r="AV104" s="127">
        <f t="shared" si="86"/>
        <v>0</v>
      </c>
    </row>
    <row r="105" spans="1:48" x14ac:dyDescent="0.15">
      <c r="A105" s="29" t="s">
        <v>98</v>
      </c>
      <c r="B105" s="30">
        <f>IF(Data!D100=1, MAX(Data!AA100, Inputs!$E$25) + INDEX(Inputs!$D$38:$D$42, MATCH( Data!AD100, Inputs!$B$38:$B$42, 0), 0), MAX(Data!AA100, Inputs!$E$26) +  INDEX(Inputs!$D$38:$D$42, MATCH( Data!AD100, Inputs!$B$38:$B$42, 0), 0))</f>
        <v>0.45510200000000001</v>
      </c>
      <c r="C105" s="141">
        <f>(100*Data!R100)</f>
        <v>0</v>
      </c>
      <c r="D105" s="141">
        <f>ROUND(Data!Q100*C105, 0)</f>
        <v>0</v>
      </c>
      <c r="E105" s="141">
        <f>(100*Data!T100)</f>
        <v>0</v>
      </c>
      <c r="F105" s="141">
        <f>E105*Data!S100</f>
        <v>0</v>
      </c>
      <c r="G105" s="142">
        <f>ROUND(Inputs!$E$21*Data!W100*B105, 0)</f>
        <v>12809935</v>
      </c>
      <c r="H105" s="143">
        <f>IF(G105=0, 0,IF(Inputs!$E$30="Yes", IF(Data!D100=1, MAX(Outputs!D105+Outputs!F105+Outputs!G105, Data!AE100), Outputs!D105+Outputs!F105+Outputs!G105), Outputs!D105+Outputs!F105+Outputs!G105))</f>
        <v>12809935</v>
      </c>
      <c r="I105" s="143">
        <f>INDEX('FY 22 OFA Shell'!$AQ$27:$AQ$195,MATCH(Outputs!A105,'FY 22 OFA Shell'!$I$27:$I$195,0))</f>
        <v>12809935</v>
      </c>
      <c r="J105" s="129">
        <f>H105-Data!AT100</f>
        <v>7113.5275999996811</v>
      </c>
      <c r="K105" s="127">
        <f>((H105)/(Data!AT100)) - 1</f>
        <v>5.5562186939295266E-4</v>
      </c>
      <c r="L105" s="127">
        <f t="shared" si="68"/>
        <v>0</v>
      </c>
      <c r="M105" s="143">
        <f>(IF(Inputs!$E$30="Yes",INDEX(Data!AT:AT,MATCH(Outputs!A105,Data!A:A,0)),INDEX(Data!AS:AS,MATCH(Outputs!A105,Data!A:A,0))))</f>
        <v>12802821.4724</v>
      </c>
      <c r="N105" s="143">
        <f>IF(Inputs!$E$30="Yes",INDEX(Data!BN:BN,MATCH(Outputs!$A105,Data!$A:$A,0)),INDEX(Data!BE:BE,MATCH(Outputs!$A105,Data!$A:$A,0)))</f>
        <v>12826306.944800001</v>
      </c>
      <c r="O105" s="143">
        <f>IF(Inputs!$E$30="Yes",INDEX(Data!BO:BO,MATCH(Outputs!$A105,Data!$A:$A,0)),INDEX(Data!BF:BF,MATCH(Outputs!$A105,Data!$A:$A,0)))</f>
        <v>12849792.417200001</v>
      </c>
      <c r="P105" s="143">
        <f>IF(Inputs!$E$30="Yes",INDEX(Data!BP:BP,MATCH(Outputs!$A105,Data!$A:$A,0)),INDEX(Data!BG:BG,MATCH(Outputs!$A105,Data!$A:$A,0)))</f>
        <v>12873277.889600001</v>
      </c>
      <c r="Q105" s="143">
        <f>IF(Inputs!$E$30="Yes",INDEX(Data!BQ:BQ,MATCH(Outputs!$A105,Data!$A:$A,0)),INDEX(Data!BH:BH,MATCH(Outputs!$A105,Data!$A:$A,0)))</f>
        <v>12896763.362000002</v>
      </c>
      <c r="R105" s="143">
        <f>IF(Inputs!$E$30="Yes",INDEX(Data!BR:BR,MATCH(Outputs!$A105,Data!$A:$A,0)),INDEX(Data!BI:BI,MATCH(Outputs!$A105,Data!$A:$A,0)))</f>
        <v>12920248.834400002</v>
      </c>
      <c r="S105" s="143">
        <f>IF(Inputs!$E$30="Yes",INDEX(Data!BS:BS,MATCH(Outputs!$A105,Data!$A:$A,0)),INDEX(Data!BJ:BJ,MATCH(Outputs!$A105,Data!$A:$A,0)))</f>
        <v>12809935</v>
      </c>
      <c r="T105" s="143">
        <f>IF(Inputs!$E$30="Yes",INDEX(Data!BT:BT,MATCH(Outputs!$A105,Data!$A:$A,0)),INDEX(Data!BK:BK,MATCH(Outputs!$A105,Data!$A:$A,0)))</f>
        <v>12809935</v>
      </c>
      <c r="U105" s="143">
        <f>IF(Inputs!$E$30="Yes",INDEX(Data!BU:BU,MATCH(Outputs!$A105,Data!$A:$A,0)),INDEX(Data!BL:BL,MATCH(Outputs!$A105,Data!$A:$A,0)))</f>
        <v>12809935</v>
      </c>
      <c r="V105" s="143">
        <f>INDEX('FY 22 OFA Shell'!$AX$27:$AX$195,MATCH(Outputs!A105,'FY 22 OFA Shell'!$I$27:$I$195,0))</f>
        <v>12802821.4724</v>
      </c>
      <c r="W105" s="143">
        <f>INDEX('FY 23 OFA Shell'!$AX$27:$AX$195,MATCH(Outputs!A105,'FY 23 OFA Shell'!$I$27:$I$195,0))</f>
        <v>12826306.944800001</v>
      </c>
      <c r="X105" s="143">
        <f>INDEX('FY 23 OFA Shell'!BK$27:BK$195,MATCH(Outputs!$A105,'FY 23 OFA Shell'!$I$27:$I$195,0))</f>
        <v>12849792.417200001</v>
      </c>
      <c r="Y105" s="143">
        <f>INDEX('FY 23 OFA Shell'!BL$27:BL$195,MATCH(Outputs!$A105,'FY 23 OFA Shell'!$I$27:$I$195,0))</f>
        <v>12873277.889600001</v>
      </c>
      <c r="Z105" s="143">
        <f>INDEX('FY 23 OFA Shell'!BM$27:BM$195,MATCH(Outputs!$A105,'FY 23 OFA Shell'!$I$27:$I$195,0))</f>
        <v>12896763.362000002</v>
      </c>
      <c r="AA105" s="143">
        <f>INDEX('FY 23 OFA Shell'!BN$27:BN$195,MATCH(Outputs!$A105,'FY 23 OFA Shell'!$I$27:$I$195,0))</f>
        <v>12920248.834400002</v>
      </c>
      <c r="AB105" s="143">
        <f>INDEX('FY 23 OFA Shell'!BO$27:BO$195,MATCH(Outputs!$A105,'FY 23 OFA Shell'!$I$27:$I$195,0))</f>
        <v>12809935</v>
      </c>
      <c r="AC105" s="143">
        <f>INDEX('FY 23 OFA Shell'!BP$27:BP$195,MATCH(Outputs!$A105,'FY 23 OFA Shell'!$I$27:$I$195,0))</f>
        <v>12809935</v>
      </c>
      <c r="AD105" s="143">
        <f>INDEX('FY 23 OFA Shell'!BQ$27:BQ$195,MATCH(Outputs!$A105,'FY 23 OFA Shell'!$I$27:$I$195,0))</f>
        <v>12809935</v>
      </c>
      <c r="AE105" s="129">
        <f t="shared" si="69"/>
        <v>0</v>
      </c>
      <c r="AF105" s="129">
        <f t="shared" si="70"/>
        <v>0</v>
      </c>
      <c r="AG105" s="129">
        <f t="shared" si="71"/>
        <v>0</v>
      </c>
      <c r="AH105" s="129">
        <f t="shared" si="72"/>
        <v>0</v>
      </c>
      <c r="AI105" s="129">
        <f t="shared" si="73"/>
        <v>0</v>
      </c>
      <c r="AJ105" s="129">
        <f t="shared" si="74"/>
        <v>0</v>
      </c>
      <c r="AK105" s="129">
        <f t="shared" si="75"/>
        <v>0</v>
      </c>
      <c r="AL105" s="129">
        <f t="shared" si="76"/>
        <v>0</v>
      </c>
      <c r="AM105" s="129">
        <f t="shared" si="77"/>
        <v>0</v>
      </c>
      <c r="AN105" s="127">
        <f t="shared" si="78"/>
        <v>0</v>
      </c>
      <c r="AO105" s="127">
        <f t="shared" si="79"/>
        <v>0</v>
      </c>
      <c r="AP105" s="127">
        <f t="shared" si="80"/>
        <v>0</v>
      </c>
      <c r="AQ105" s="127">
        <f t="shared" si="81"/>
        <v>0</v>
      </c>
      <c r="AR105" s="127">
        <f t="shared" si="82"/>
        <v>0</v>
      </c>
      <c r="AS105" s="127">
        <f t="shared" si="83"/>
        <v>0</v>
      </c>
      <c r="AT105" s="127">
        <f t="shared" si="84"/>
        <v>0</v>
      </c>
      <c r="AU105" s="127">
        <f t="shared" si="85"/>
        <v>0</v>
      </c>
      <c r="AV105" s="127">
        <f t="shared" si="86"/>
        <v>0</v>
      </c>
    </row>
    <row r="106" spans="1:48" x14ac:dyDescent="0.15">
      <c r="A106" s="29" t="s">
        <v>99</v>
      </c>
      <c r="B106" s="30">
        <f>IF(Data!D101=1, MAX(Data!AA101, Inputs!$E$25) + INDEX(Inputs!$D$38:$D$42, MATCH( Data!AD101, Inputs!$B$38:$B$42, 0), 0), MAX(Data!AA101, Inputs!$E$26) +  INDEX(Inputs!$D$38:$D$42, MATCH( Data!AD101, Inputs!$B$38:$B$42, 0), 0))</f>
        <v>0.01</v>
      </c>
      <c r="C106" s="141">
        <f>(100*Data!R101)</f>
        <v>1300</v>
      </c>
      <c r="D106" s="141">
        <f>ROUND(Data!Q101*C106, 0)</f>
        <v>283400</v>
      </c>
      <c r="E106" s="141">
        <f>(100*Data!T101)</f>
        <v>0</v>
      </c>
      <c r="F106" s="141">
        <f>E106*Data!S101</f>
        <v>0</v>
      </c>
      <c r="G106" s="142">
        <f>ROUND(Inputs!$E$21*Data!W101*B106, 0)</f>
        <v>27208</v>
      </c>
      <c r="H106" s="143">
        <f>IF(G106=0, 0,IF(Inputs!$E$30="Yes", IF(Data!D101=1, MAX(Outputs!D106+Outputs!F106+Outputs!G106, Data!AE101), Outputs!D106+Outputs!F106+Outputs!G106), Outputs!D106+Outputs!F106+Outputs!G106))</f>
        <v>310608</v>
      </c>
      <c r="I106" s="143">
        <f>INDEX('FY 22 OFA Shell'!$AQ$27:$AQ$195,MATCH(Outputs!A106,'FY 22 OFA Shell'!$I$27:$I$195,0))</f>
        <v>310608</v>
      </c>
      <c r="J106" s="129">
        <f>H106-Data!AT101</f>
        <v>178460.36199999999</v>
      </c>
      <c r="K106" s="127">
        <f>((H106)/(Data!AT101)) - 1</f>
        <v>1.3504619885828002</v>
      </c>
      <c r="L106" s="127">
        <f t="shared" si="68"/>
        <v>0</v>
      </c>
      <c r="M106" s="143">
        <f>(IF(Inputs!$E$30="Yes",INDEX(Data!AT:AT,MATCH(Outputs!A106,Data!A:A,0)),INDEX(Data!AS:AS,MATCH(Outputs!A106,Data!A:A,0))))</f>
        <v>132147.63800000001</v>
      </c>
      <c r="N106" s="143">
        <f>IF(Inputs!$E$30="Yes",INDEX(Data!BN:BN,MATCH(Outputs!$A106,Data!$A:$A,0)),INDEX(Data!BE:BE,MATCH(Outputs!$A106,Data!$A:$A,0)))</f>
        <v>154366.27600000001</v>
      </c>
      <c r="O106" s="143">
        <f>IF(Inputs!$E$30="Yes",INDEX(Data!BO:BO,MATCH(Outputs!$A106,Data!$A:$A,0)),INDEX(Data!BF:BF,MATCH(Outputs!$A106,Data!$A:$A,0)))</f>
        <v>176584.91400000002</v>
      </c>
      <c r="P106" s="143">
        <f>IF(Inputs!$E$30="Yes",INDEX(Data!BP:BP,MATCH(Outputs!$A106,Data!$A:$A,0)),INDEX(Data!BG:BG,MATCH(Outputs!$A106,Data!$A:$A,0)))</f>
        <v>198803.55200000003</v>
      </c>
      <c r="Q106" s="143">
        <f>IF(Inputs!$E$30="Yes",INDEX(Data!BQ:BQ,MATCH(Outputs!$A106,Data!$A:$A,0)),INDEX(Data!BH:BH,MATCH(Outputs!$A106,Data!$A:$A,0)))</f>
        <v>221022.19000000003</v>
      </c>
      <c r="R106" s="143">
        <f>IF(Inputs!$E$30="Yes",INDEX(Data!BR:BR,MATCH(Outputs!$A106,Data!$A:$A,0)),INDEX(Data!BI:BI,MATCH(Outputs!$A106,Data!$A:$A,0)))</f>
        <v>243240.82800000004</v>
      </c>
      <c r="S106" s="143">
        <f>IF(Inputs!$E$30="Yes",INDEX(Data!BS:BS,MATCH(Outputs!$A106,Data!$A:$A,0)),INDEX(Data!BJ:BJ,MATCH(Outputs!$A106,Data!$A:$A,0)))</f>
        <v>310608</v>
      </c>
      <c r="T106" s="143">
        <f>IF(Inputs!$E$30="Yes",INDEX(Data!BT:BT,MATCH(Outputs!$A106,Data!$A:$A,0)),INDEX(Data!BK:BK,MATCH(Outputs!$A106,Data!$A:$A,0)))</f>
        <v>310608</v>
      </c>
      <c r="U106" s="143">
        <f>IF(Inputs!$E$30="Yes",INDEX(Data!BU:BU,MATCH(Outputs!$A106,Data!$A:$A,0)),INDEX(Data!BL:BL,MATCH(Outputs!$A106,Data!$A:$A,0)))</f>
        <v>310608</v>
      </c>
      <c r="V106" s="143">
        <f>INDEX('FY 22 OFA Shell'!$AX$27:$AX$195,MATCH(Outputs!A106,'FY 22 OFA Shell'!$I$27:$I$195,0))</f>
        <v>132147.63800000001</v>
      </c>
      <c r="W106" s="143">
        <f>INDEX('FY 23 OFA Shell'!$AX$27:$AX$195,MATCH(Outputs!A106,'FY 23 OFA Shell'!$I$27:$I$195,0))</f>
        <v>154366.27600000001</v>
      </c>
      <c r="X106" s="143">
        <f>INDEX('FY 23 OFA Shell'!BK$27:BK$195,MATCH(Outputs!$A106,'FY 23 OFA Shell'!$I$27:$I$195,0))</f>
        <v>176584.91400000002</v>
      </c>
      <c r="Y106" s="143">
        <f>INDEX('FY 23 OFA Shell'!BL$27:BL$195,MATCH(Outputs!$A106,'FY 23 OFA Shell'!$I$27:$I$195,0))</f>
        <v>198803.55200000003</v>
      </c>
      <c r="Z106" s="143">
        <f>INDEX('FY 23 OFA Shell'!BM$27:BM$195,MATCH(Outputs!$A106,'FY 23 OFA Shell'!$I$27:$I$195,0))</f>
        <v>221022.19000000003</v>
      </c>
      <c r="AA106" s="143">
        <f>INDEX('FY 23 OFA Shell'!BN$27:BN$195,MATCH(Outputs!$A106,'FY 23 OFA Shell'!$I$27:$I$195,0))</f>
        <v>243240.82800000004</v>
      </c>
      <c r="AB106" s="143">
        <f>INDEX('FY 23 OFA Shell'!BO$27:BO$195,MATCH(Outputs!$A106,'FY 23 OFA Shell'!$I$27:$I$195,0))</f>
        <v>310608</v>
      </c>
      <c r="AC106" s="143">
        <f>INDEX('FY 23 OFA Shell'!BP$27:BP$195,MATCH(Outputs!$A106,'FY 23 OFA Shell'!$I$27:$I$195,0))</f>
        <v>310608</v>
      </c>
      <c r="AD106" s="143">
        <f>INDEX('FY 23 OFA Shell'!BQ$27:BQ$195,MATCH(Outputs!$A106,'FY 23 OFA Shell'!$I$27:$I$195,0))</f>
        <v>310608</v>
      </c>
      <c r="AE106" s="129">
        <f t="shared" si="69"/>
        <v>0</v>
      </c>
      <c r="AF106" s="129">
        <f t="shared" si="70"/>
        <v>0</v>
      </c>
      <c r="AG106" s="129">
        <f t="shared" si="71"/>
        <v>0</v>
      </c>
      <c r="AH106" s="129">
        <f t="shared" si="72"/>
        <v>0</v>
      </c>
      <c r="AI106" s="129">
        <f t="shared" si="73"/>
        <v>0</v>
      </c>
      <c r="AJ106" s="129">
        <f t="shared" si="74"/>
        <v>0</v>
      </c>
      <c r="AK106" s="129">
        <f t="shared" si="75"/>
        <v>0</v>
      </c>
      <c r="AL106" s="129">
        <f t="shared" si="76"/>
        <v>0</v>
      </c>
      <c r="AM106" s="129">
        <f t="shared" si="77"/>
        <v>0</v>
      </c>
      <c r="AN106" s="127">
        <f t="shared" si="78"/>
        <v>0</v>
      </c>
      <c r="AO106" s="127">
        <f t="shared" si="79"/>
        <v>0</v>
      </c>
      <c r="AP106" s="127">
        <f t="shared" si="80"/>
        <v>0</v>
      </c>
      <c r="AQ106" s="127">
        <f t="shared" si="81"/>
        <v>0</v>
      </c>
      <c r="AR106" s="127">
        <f t="shared" si="82"/>
        <v>0</v>
      </c>
      <c r="AS106" s="127">
        <f t="shared" si="83"/>
        <v>0</v>
      </c>
      <c r="AT106" s="127">
        <f t="shared" si="84"/>
        <v>0</v>
      </c>
      <c r="AU106" s="127">
        <f t="shared" si="85"/>
        <v>0</v>
      </c>
      <c r="AV106" s="127">
        <f t="shared" si="86"/>
        <v>0</v>
      </c>
    </row>
    <row r="107" spans="1:48" x14ac:dyDescent="0.15">
      <c r="A107" s="29" t="s">
        <v>100</v>
      </c>
      <c r="B107" s="30">
        <f>IF(Data!D102=1, MAX(Data!AA102, Inputs!$E$25) + INDEX(Inputs!$D$38:$D$42, MATCH( Data!AD102, Inputs!$B$38:$B$42, 0), 0), MAX(Data!AA102, Inputs!$E$26) +  INDEX(Inputs!$D$38:$D$42, MATCH( Data!AD102, Inputs!$B$38:$B$42, 0), 0))</f>
        <v>0.58776200000000001</v>
      </c>
      <c r="C107" s="141">
        <f>(100*Data!R102)</f>
        <v>0</v>
      </c>
      <c r="D107" s="141">
        <f>ROUND(Data!Q102*C107, 0)</f>
        <v>0</v>
      </c>
      <c r="E107" s="141">
        <f>(100*Data!T102)</f>
        <v>0</v>
      </c>
      <c r="F107" s="141">
        <f>E107*Data!S102</f>
        <v>0</v>
      </c>
      <c r="G107" s="142">
        <f>ROUND(Inputs!$E$21*Data!W102*B107, 0)</f>
        <v>36523686</v>
      </c>
      <c r="H107" s="143">
        <f>IF(G107=0, 0,IF(Inputs!$E$30="Yes", IF(Data!D102=1, MAX(Outputs!D107+Outputs!F107+Outputs!G107, Data!AE102), Outputs!D107+Outputs!F107+Outputs!G107), Outputs!D107+Outputs!F107+Outputs!G107))</f>
        <v>36523686</v>
      </c>
      <c r="I107" s="143">
        <f>INDEX('FY 22 OFA Shell'!$AQ$27:$AQ$195,MATCH(Outputs!A107,'FY 22 OFA Shell'!$I$27:$I$195,0))</f>
        <v>36523686</v>
      </c>
      <c r="J107" s="129">
        <f>H107-Data!AT102</f>
        <v>3820846.5804000013</v>
      </c>
      <c r="K107" s="127">
        <f>((H107)/(Data!AT102)) - 1</f>
        <v>0.11683531608298292</v>
      </c>
      <c r="L107" s="127">
        <f t="shared" si="68"/>
        <v>0</v>
      </c>
      <c r="M107" s="143">
        <f>(IF(Inputs!$E$30="Yes",INDEX(Data!AT:AT,MATCH(Outputs!A107,Data!A:A,0)),INDEX(Data!AS:AS,MATCH(Outputs!A107,Data!A:A,0))))</f>
        <v>32702839.419599999</v>
      </c>
      <c r="N107" s="143">
        <f>IF(Inputs!$E$30="Yes",INDEX(Data!BN:BN,MATCH(Outputs!$A107,Data!$A:$A,0)),INDEX(Data!BE:BE,MATCH(Outputs!$A107,Data!$A:$A,0)))</f>
        <v>33368375.839199997</v>
      </c>
      <c r="O107" s="143">
        <f>IF(Inputs!$E$30="Yes",INDEX(Data!BO:BO,MATCH(Outputs!$A107,Data!$A:$A,0)),INDEX(Data!BF:BF,MATCH(Outputs!$A107,Data!$A:$A,0)))</f>
        <v>34033912.2588</v>
      </c>
      <c r="P107" s="143">
        <f>IF(Inputs!$E$30="Yes",INDEX(Data!BP:BP,MATCH(Outputs!$A107,Data!$A:$A,0)),INDEX(Data!BG:BG,MATCH(Outputs!$A107,Data!$A:$A,0)))</f>
        <v>34699448.678400002</v>
      </c>
      <c r="Q107" s="143">
        <f>IF(Inputs!$E$30="Yes",INDEX(Data!BQ:BQ,MATCH(Outputs!$A107,Data!$A:$A,0)),INDEX(Data!BH:BH,MATCH(Outputs!$A107,Data!$A:$A,0)))</f>
        <v>35364985.098000005</v>
      </c>
      <c r="R107" s="143">
        <f>IF(Inputs!$E$30="Yes",INDEX(Data!BR:BR,MATCH(Outputs!$A107,Data!$A:$A,0)),INDEX(Data!BI:BI,MATCH(Outputs!$A107,Data!$A:$A,0)))</f>
        <v>36030521.517600007</v>
      </c>
      <c r="S107" s="143">
        <f>IF(Inputs!$E$30="Yes",INDEX(Data!BS:BS,MATCH(Outputs!$A107,Data!$A:$A,0)),INDEX(Data!BJ:BJ,MATCH(Outputs!$A107,Data!$A:$A,0)))</f>
        <v>36523686</v>
      </c>
      <c r="T107" s="143">
        <f>IF(Inputs!$E$30="Yes",INDEX(Data!BT:BT,MATCH(Outputs!$A107,Data!$A:$A,0)),INDEX(Data!BK:BK,MATCH(Outputs!$A107,Data!$A:$A,0)))</f>
        <v>36523686</v>
      </c>
      <c r="U107" s="143">
        <f>IF(Inputs!$E$30="Yes",INDEX(Data!BU:BU,MATCH(Outputs!$A107,Data!$A:$A,0)),INDEX(Data!BL:BL,MATCH(Outputs!$A107,Data!$A:$A,0)))</f>
        <v>36523686</v>
      </c>
      <c r="V107" s="143">
        <f>INDEX('FY 22 OFA Shell'!$AX$27:$AX$195,MATCH(Outputs!A107,'FY 22 OFA Shell'!$I$27:$I$195,0))</f>
        <v>32702839.419599999</v>
      </c>
      <c r="W107" s="143">
        <f>INDEX('FY 23 OFA Shell'!$AX$27:$AX$195,MATCH(Outputs!A107,'FY 23 OFA Shell'!$I$27:$I$195,0))</f>
        <v>33368375.839199997</v>
      </c>
      <c r="X107" s="143">
        <f>INDEX('FY 23 OFA Shell'!BK$27:BK$195,MATCH(Outputs!$A107,'FY 23 OFA Shell'!$I$27:$I$195,0))</f>
        <v>34033912.2588</v>
      </c>
      <c r="Y107" s="143">
        <f>INDEX('FY 23 OFA Shell'!BL$27:BL$195,MATCH(Outputs!$A107,'FY 23 OFA Shell'!$I$27:$I$195,0))</f>
        <v>34699448.678400002</v>
      </c>
      <c r="Z107" s="143">
        <f>INDEX('FY 23 OFA Shell'!BM$27:BM$195,MATCH(Outputs!$A107,'FY 23 OFA Shell'!$I$27:$I$195,0))</f>
        <v>35364985.098000005</v>
      </c>
      <c r="AA107" s="143">
        <f>INDEX('FY 23 OFA Shell'!BN$27:BN$195,MATCH(Outputs!$A107,'FY 23 OFA Shell'!$I$27:$I$195,0))</f>
        <v>36030521.517600007</v>
      </c>
      <c r="AB107" s="143">
        <f>INDEX('FY 23 OFA Shell'!BO$27:BO$195,MATCH(Outputs!$A107,'FY 23 OFA Shell'!$I$27:$I$195,0))</f>
        <v>36523686</v>
      </c>
      <c r="AC107" s="143">
        <f>INDEX('FY 23 OFA Shell'!BP$27:BP$195,MATCH(Outputs!$A107,'FY 23 OFA Shell'!$I$27:$I$195,0))</f>
        <v>36523686</v>
      </c>
      <c r="AD107" s="143">
        <f>INDEX('FY 23 OFA Shell'!BQ$27:BQ$195,MATCH(Outputs!$A107,'FY 23 OFA Shell'!$I$27:$I$195,0))</f>
        <v>36523686</v>
      </c>
      <c r="AE107" s="129">
        <f t="shared" si="69"/>
        <v>0</v>
      </c>
      <c r="AF107" s="129">
        <f t="shared" si="70"/>
        <v>0</v>
      </c>
      <c r="AG107" s="129">
        <f t="shared" si="71"/>
        <v>0</v>
      </c>
      <c r="AH107" s="129">
        <f t="shared" si="72"/>
        <v>0</v>
      </c>
      <c r="AI107" s="129">
        <f t="shared" si="73"/>
        <v>0</v>
      </c>
      <c r="AJ107" s="129">
        <f t="shared" si="74"/>
        <v>0</v>
      </c>
      <c r="AK107" s="129">
        <f t="shared" si="75"/>
        <v>0</v>
      </c>
      <c r="AL107" s="129">
        <f t="shared" si="76"/>
        <v>0</v>
      </c>
      <c r="AM107" s="129">
        <f t="shared" si="77"/>
        <v>0</v>
      </c>
      <c r="AN107" s="127">
        <f t="shared" si="78"/>
        <v>0</v>
      </c>
      <c r="AO107" s="127">
        <f t="shared" si="79"/>
        <v>0</v>
      </c>
      <c r="AP107" s="127">
        <f t="shared" si="80"/>
        <v>0</v>
      </c>
      <c r="AQ107" s="127">
        <f t="shared" si="81"/>
        <v>0</v>
      </c>
      <c r="AR107" s="127">
        <f t="shared" si="82"/>
        <v>0</v>
      </c>
      <c r="AS107" s="127">
        <f t="shared" si="83"/>
        <v>0</v>
      </c>
      <c r="AT107" s="127">
        <f t="shared" si="84"/>
        <v>0</v>
      </c>
      <c r="AU107" s="127">
        <f t="shared" si="85"/>
        <v>0</v>
      </c>
      <c r="AV107" s="127">
        <f t="shared" si="86"/>
        <v>0</v>
      </c>
    </row>
    <row r="108" spans="1:48" x14ac:dyDescent="0.15">
      <c r="A108" s="29" t="s">
        <v>101</v>
      </c>
      <c r="B108" s="30">
        <f>IF(Data!D103=1, MAX(Data!AA103, Inputs!$E$25) + INDEX(Inputs!$D$38:$D$42, MATCH( Data!AD103, Inputs!$B$38:$B$42, 0), 0), MAX(Data!AA103, Inputs!$E$26) +  INDEX(Inputs!$D$38:$D$42, MATCH( Data!AD103, Inputs!$B$38:$B$42, 0), 0))</f>
        <v>0.7491890000000001</v>
      </c>
      <c r="C108" s="141">
        <f>(100*Data!R103)</f>
        <v>0</v>
      </c>
      <c r="D108" s="141">
        <f>ROUND(Data!Q103*C108, 0)</f>
        <v>0</v>
      </c>
      <c r="E108" s="141">
        <f>(100*Data!T103)</f>
        <v>0</v>
      </c>
      <c r="F108" s="141">
        <f>E108*Data!S103</f>
        <v>0</v>
      </c>
      <c r="G108" s="142">
        <f>ROUND(Inputs!$E$21*Data!W103*B108, 0)</f>
        <v>122892070</v>
      </c>
      <c r="H108" s="143">
        <f>IF(G108=0, 0,IF(Inputs!$E$30="Yes", IF(Data!D103=1, MAX(Outputs!D108+Outputs!F108+Outputs!G108, Data!AE103), Outputs!D108+Outputs!F108+Outputs!G108), Outputs!D108+Outputs!F108+Outputs!G108))</f>
        <v>122892070</v>
      </c>
      <c r="I108" s="143">
        <f>INDEX('FY 22 OFA Shell'!$AQ$27:$AQ$195,MATCH(Outputs!A108,'FY 22 OFA Shell'!$I$27:$I$195,0))</f>
        <v>122892070</v>
      </c>
      <c r="J108" s="129">
        <f>H108-Data!AT103</f>
        <v>23203808.013400003</v>
      </c>
      <c r="K108" s="127">
        <f>((H108)/(Data!AT103)) - 1</f>
        <v>0.23276369304662015</v>
      </c>
      <c r="L108" s="127">
        <f t="shared" si="68"/>
        <v>0</v>
      </c>
      <c r="M108" s="143">
        <f>(IF(Inputs!$E$30="Yes",INDEX(Data!AT:AT,MATCH(Outputs!A108,Data!A:A,0)),INDEX(Data!AS:AS,MATCH(Outputs!A108,Data!A:A,0))))</f>
        <v>99688261.986599997</v>
      </c>
      <c r="N108" s="143">
        <f>IF(Inputs!$E$30="Yes",INDEX(Data!BN:BN,MATCH(Outputs!$A108,Data!$A:$A,0)),INDEX(Data!BE:BE,MATCH(Outputs!$A108,Data!$A:$A,0)))</f>
        <v>103600140.97319999</v>
      </c>
      <c r="O108" s="143">
        <f>IF(Inputs!$E$30="Yes",INDEX(Data!BO:BO,MATCH(Outputs!$A108,Data!$A:$A,0)),INDEX(Data!BF:BF,MATCH(Outputs!$A108,Data!$A:$A,0)))</f>
        <v>107512019.95979999</v>
      </c>
      <c r="P108" s="143">
        <f>IF(Inputs!$E$30="Yes",INDEX(Data!BP:BP,MATCH(Outputs!$A108,Data!$A:$A,0)),INDEX(Data!BG:BG,MATCH(Outputs!$A108,Data!$A:$A,0)))</f>
        <v>111423898.94639999</v>
      </c>
      <c r="Q108" s="143">
        <f>IF(Inputs!$E$30="Yes",INDEX(Data!BQ:BQ,MATCH(Outputs!$A108,Data!$A:$A,0)),INDEX(Data!BH:BH,MATCH(Outputs!$A108,Data!$A:$A,0)))</f>
        <v>115335777.93299998</v>
      </c>
      <c r="R108" s="143">
        <f>IF(Inputs!$E$30="Yes",INDEX(Data!BR:BR,MATCH(Outputs!$A108,Data!$A:$A,0)),INDEX(Data!BI:BI,MATCH(Outputs!$A108,Data!$A:$A,0)))</f>
        <v>119247656.91959998</v>
      </c>
      <c r="S108" s="143">
        <f>IF(Inputs!$E$30="Yes",INDEX(Data!BS:BS,MATCH(Outputs!$A108,Data!$A:$A,0)),INDEX(Data!BJ:BJ,MATCH(Outputs!$A108,Data!$A:$A,0)))</f>
        <v>122892070</v>
      </c>
      <c r="T108" s="143">
        <f>IF(Inputs!$E$30="Yes",INDEX(Data!BT:BT,MATCH(Outputs!$A108,Data!$A:$A,0)),INDEX(Data!BK:BK,MATCH(Outputs!$A108,Data!$A:$A,0)))</f>
        <v>122892070</v>
      </c>
      <c r="U108" s="143">
        <f>IF(Inputs!$E$30="Yes",INDEX(Data!BU:BU,MATCH(Outputs!$A108,Data!$A:$A,0)),INDEX(Data!BL:BL,MATCH(Outputs!$A108,Data!$A:$A,0)))</f>
        <v>122892070</v>
      </c>
      <c r="V108" s="143">
        <f>INDEX('FY 22 OFA Shell'!$AX$27:$AX$195,MATCH(Outputs!A108,'FY 22 OFA Shell'!$I$27:$I$195,0))</f>
        <v>99688261.986599997</v>
      </c>
      <c r="W108" s="143">
        <f>INDEX('FY 23 OFA Shell'!$AX$27:$AX$195,MATCH(Outputs!A108,'FY 23 OFA Shell'!$I$27:$I$195,0))</f>
        <v>103600140.97319999</v>
      </c>
      <c r="X108" s="143">
        <f>INDEX('FY 23 OFA Shell'!BK$27:BK$195,MATCH(Outputs!$A108,'FY 23 OFA Shell'!$I$27:$I$195,0))</f>
        <v>107512019.95979999</v>
      </c>
      <c r="Y108" s="143">
        <f>INDEX('FY 23 OFA Shell'!BL$27:BL$195,MATCH(Outputs!$A108,'FY 23 OFA Shell'!$I$27:$I$195,0))</f>
        <v>111423898.94639999</v>
      </c>
      <c r="Z108" s="143">
        <f>INDEX('FY 23 OFA Shell'!BM$27:BM$195,MATCH(Outputs!$A108,'FY 23 OFA Shell'!$I$27:$I$195,0))</f>
        <v>115335777.93299998</v>
      </c>
      <c r="AA108" s="143">
        <f>INDEX('FY 23 OFA Shell'!BN$27:BN$195,MATCH(Outputs!$A108,'FY 23 OFA Shell'!$I$27:$I$195,0))</f>
        <v>119247656.91959998</v>
      </c>
      <c r="AB108" s="143">
        <f>INDEX('FY 23 OFA Shell'!BO$27:BO$195,MATCH(Outputs!$A108,'FY 23 OFA Shell'!$I$27:$I$195,0))</f>
        <v>122892070</v>
      </c>
      <c r="AC108" s="143">
        <f>INDEX('FY 23 OFA Shell'!BP$27:BP$195,MATCH(Outputs!$A108,'FY 23 OFA Shell'!$I$27:$I$195,0))</f>
        <v>122892070</v>
      </c>
      <c r="AD108" s="143">
        <f>INDEX('FY 23 OFA Shell'!BQ$27:BQ$195,MATCH(Outputs!$A108,'FY 23 OFA Shell'!$I$27:$I$195,0))</f>
        <v>122892070</v>
      </c>
      <c r="AE108" s="129">
        <f t="shared" si="69"/>
        <v>0</v>
      </c>
      <c r="AF108" s="129">
        <f t="shared" si="70"/>
        <v>0</v>
      </c>
      <c r="AG108" s="129">
        <f t="shared" si="71"/>
        <v>0</v>
      </c>
      <c r="AH108" s="129">
        <f t="shared" si="72"/>
        <v>0</v>
      </c>
      <c r="AI108" s="129">
        <f t="shared" si="73"/>
        <v>0</v>
      </c>
      <c r="AJ108" s="129">
        <f t="shared" si="74"/>
        <v>0</v>
      </c>
      <c r="AK108" s="129">
        <f t="shared" si="75"/>
        <v>0</v>
      </c>
      <c r="AL108" s="129">
        <f t="shared" si="76"/>
        <v>0</v>
      </c>
      <c r="AM108" s="129">
        <f t="shared" si="77"/>
        <v>0</v>
      </c>
      <c r="AN108" s="127">
        <f t="shared" si="78"/>
        <v>0</v>
      </c>
      <c r="AO108" s="127">
        <f t="shared" si="79"/>
        <v>0</v>
      </c>
      <c r="AP108" s="127">
        <f t="shared" si="80"/>
        <v>0</v>
      </c>
      <c r="AQ108" s="127">
        <f t="shared" si="81"/>
        <v>0</v>
      </c>
      <c r="AR108" s="127">
        <f t="shared" si="82"/>
        <v>0</v>
      </c>
      <c r="AS108" s="127">
        <f t="shared" si="83"/>
        <v>0</v>
      </c>
      <c r="AT108" s="127">
        <f t="shared" si="84"/>
        <v>0</v>
      </c>
      <c r="AU108" s="127">
        <f t="shared" si="85"/>
        <v>0</v>
      </c>
      <c r="AV108" s="127">
        <f t="shared" si="86"/>
        <v>0</v>
      </c>
    </row>
    <row r="109" spans="1:48" x14ac:dyDescent="0.15">
      <c r="A109" s="29" t="s">
        <v>102</v>
      </c>
      <c r="B109" s="30">
        <f>IF(Data!D104=1, MAX(Data!AA104, Inputs!$E$25) + INDEX(Inputs!$D$38:$D$42, MATCH( Data!AD104, Inputs!$B$38:$B$42, 0), 0), MAX(Data!AA104, Inputs!$E$26) +  INDEX(Inputs!$D$38:$D$42, MATCH( Data!AD104, Inputs!$B$38:$B$42, 0), 0))</f>
        <v>0.01</v>
      </c>
      <c r="C109" s="141">
        <f>(100*Data!R104)</f>
        <v>0</v>
      </c>
      <c r="D109" s="141">
        <f>ROUND(Data!Q104*C109, 0)</f>
        <v>0</v>
      </c>
      <c r="E109" s="141">
        <f>(100*Data!T104)</f>
        <v>0</v>
      </c>
      <c r="F109" s="141">
        <f>E109*Data!S104</f>
        <v>0</v>
      </c>
      <c r="G109" s="142">
        <f>ROUND(Inputs!$E$21*Data!W104*B109, 0)</f>
        <v>488604</v>
      </c>
      <c r="H109" s="143">
        <f>IF(G109=0, 0,IF(Inputs!$E$30="Yes", IF(Data!D104=1, MAX(Outputs!D109+Outputs!F109+Outputs!G109, Data!AE104), Outputs!D109+Outputs!F109+Outputs!G109), Outputs!D109+Outputs!F109+Outputs!G109))</f>
        <v>488604</v>
      </c>
      <c r="I109" s="143">
        <f>INDEX('FY 22 OFA Shell'!$AQ$27:$AQ$195,MATCH(Outputs!A109,'FY 22 OFA Shell'!$I$27:$I$195,0))</f>
        <v>488604</v>
      </c>
      <c r="J109" s="129">
        <f>H109-Data!AT104</f>
        <v>95353.107599999988</v>
      </c>
      <c r="K109" s="127">
        <f>((H109)/(Data!AT104)) - 1</f>
        <v>0.2424739763921766</v>
      </c>
      <c r="L109" s="127">
        <f t="shared" si="68"/>
        <v>0</v>
      </c>
      <c r="M109" s="143">
        <f>(IF(Inputs!$E$30="Yes",INDEX(Data!AT:AT,MATCH(Outputs!A109,Data!A:A,0)),INDEX(Data!AS:AS,MATCH(Outputs!A109,Data!A:A,0))))</f>
        <v>393250.89240000001</v>
      </c>
      <c r="N109" s="143">
        <f>IF(Inputs!$E$30="Yes",INDEX(Data!BN:BN,MATCH(Outputs!$A109,Data!$A:$A,0)),INDEX(Data!BE:BE,MATCH(Outputs!$A109,Data!$A:$A,0)))</f>
        <v>409135.78480000002</v>
      </c>
      <c r="O109" s="143">
        <f>IF(Inputs!$E$30="Yes",INDEX(Data!BO:BO,MATCH(Outputs!$A109,Data!$A:$A,0)),INDEX(Data!BF:BF,MATCH(Outputs!$A109,Data!$A:$A,0)))</f>
        <v>425020.67720000003</v>
      </c>
      <c r="P109" s="143">
        <f>IF(Inputs!$E$30="Yes",INDEX(Data!BP:BP,MATCH(Outputs!$A109,Data!$A:$A,0)),INDEX(Data!BG:BG,MATCH(Outputs!$A109,Data!$A:$A,0)))</f>
        <v>440905.56960000005</v>
      </c>
      <c r="Q109" s="143">
        <f>IF(Inputs!$E$30="Yes",INDEX(Data!BQ:BQ,MATCH(Outputs!$A109,Data!$A:$A,0)),INDEX(Data!BH:BH,MATCH(Outputs!$A109,Data!$A:$A,0)))</f>
        <v>456790.46200000006</v>
      </c>
      <c r="R109" s="143">
        <f>IF(Inputs!$E$30="Yes",INDEX(Data!BR:BR,MATCH(Outputs!$A109,Data!$A:$A,0)),INDEX(Data!BI:BI,MATCH(Outputs!$A109,Data!$A:$A,0)))</f>
        <v>472675.35440000007</v>
      </c>
      <c r="S109" s="143">
        <f>IF(Inputs!$E$30="Yes",INDEX(Data!BS:BS,MATCH(Outputs!$A109,Data!$A:$A,0)),INDEX(Data!BJ:BJ,MATCH(Outputs!$A109,Data!$A:$A,0)))</f>
        <v>488604</v>
      </c>
      <c r="T109" s="143">
        <f>IF(Inputs!$E$30="Yes",INDEX(Data!BT:BT,MATCH(Outputs!$A109,Data!$A:$A,0)),INDEX(Data!BK:BK,MATCH(Outputs!$A109,Data!$A:$A,0)))</f>
        <v>488604</v>
      </c>
      <c r="U109" s="143">
        <f>IF(Inputs!$E$30="Yes",INDEX(Data!BU:BU,MATCH(Outputs!$A109,Data!$A:$A,0)),INDEX(Data!BL:BL,MATCH(Outputs!$A109,Data!$A:$A,0)))</f>
        <v>488604</v>
      </c>
      <c r="V109" s="143">
        <f>INDEX('FY 22 OFA Shell'!$AX$27:$AX$195,MATCH(Outputs!A109,'FY 22 OFA Shell'!$I$27:$I$195,0))</f>
        <v>393250.89240000001</v>
      </c>
      <c r="W109" s="143">
        <f>INDEX('FY 23 OFA Shell'!$AX$27:$AX$195,MATCH(Outputs!A109,'FY 23 OFA Shell'!$I$27:$I$195,0))</f>
        <v>409135.78480000002</v>
      </c>
      <c r="X109" s="143">
        <f>INDEX('FY 23 OFA Shell'!BK$27:BK$195,MATCH(Outputs!$A109,'FY 23 OFA Shell'!$I$27:$I$195,0))</f>
        <v>425020.67720000003</v>
      </c>
      <c r="Y109" s="143">
        <f>INDEX('FY 23 OFA Shell'!BL$27:BL$195,MATCH(Outputs!$A109,'FY 23 OFA Shell'!$I$27:$I$195,0))</f>
        <v>440905.56960000005</v>
      </c>
      <c r="Z109" s="143">
        <f>INDEX('FY 23 OFA Shell'!BM$27:BM$195,MATCH(Outputs!$A109,'FY 23 OFA Shell'!$I$27:$I$195,0))</f>
        <v>456790.46200000006</v>
      </c>
      <c r="AA109" s="143">
        <f>INDEX('FY 23 OFA Shell'!BN$27:BN$195,MATCH(Outputs!$A109,'FY 23 OFA Shell'!$I$27:$I$195,0))</f>
        <v>472675.35440000007</v>
      </c>
      <c r="AB109" s="143">
        <f>INDEX('FY 23 OFA Shell'!BO$27:BO$195,MATCH(Outputs!$A109,'FY 23 OFA Shell'!$I$27:$I$195,0))</f>
        <v>488604</v>
      </c>
      <c r="AC109" s="143">
        <f>INDEX('FY 23 OFA Shell'!BP$27:BP$195,MATCH(Outputs!$A109,'FY 23 OFA Shell'!$I$27:$I$195,0))</f>
        <v>488604</v>
      </c>
      <c r="AD109" s="143">
        <f>INDEX('FY 23 OFA Shell'!BQ$27:BQ$195,MATCH(Outputs!$A109,'FY 23 OFA Shell'!$I$27:$I$195,0))</f>
        <v>488604</v>
      </c>
      <c r="AE109" s="129">
        <f t="shared" si="69"/>
        <v>0</v>
      </c>
      <c r="AF109" s="129">
        <f t="shared" si="70"/>
        <v>0</v>
      </c>
      <c r="AG109" s="129">
        <f t="shared" si="71"/>
        <v>0</v>
      </c>
      <c r="AH109" s="129">
        <f t="shared" si="72"/>
        <v>0</v>
      </c>
      <c r="AI109" s="129">
        <f t="shared" si="73"/>
        <v>0</v>
      </c>
      <c r="AJ109" s="129">
        <f t="shared" si="74"/>
        <v>0</v>
      </c>
      <c r="AK109" s="129">
        <f t="shared" si="75"/>
        <v>0</v>
      </c>
      <c r="AL109" s="129">
        <f t="shared" si="76"/>
        <v>0</v>
      </c>
      <c r="AM109" s="129">
        <f t="shared" si="77"/>
        <v>0</v>
      </c>
      <c r="AN109" s="127">
        <f t="shared" si="78"/>
        <v>0</v>
      </c>
      <c r="AO109" s="127">
        <f t="shared" si="79"/>
        <v>0</v>
      </c>
      <c r="AP109" s="127">
        <f t="shared" si="80"/>
        <v>0</v>
      </c>
      <c r="AQ109" s="127">
        <f t="shared" si="81"/>
        <v>0</v>
      </c>
      <c r="AR109" s="127">
        <f t="shared" si="82"/>
        <v>0</v>
      </c>
      <c r="AS109" s="127">
        <f t="shared" si="83"/>
        <v>0</v>
      </c>
      <c r="AT109" s="127">
        <f t="shared" si="84"/>
        <v>0</v>
      </c>
      <c r="AU109" s="127">
        <f t="shared" si="85"/>
        <v>0</v>
      </c>
      <c r="AV109" s="127">
        <f t="shared" si="86"/>
        <v>0</v>
      </c>
    </row>
    <row r="110" spans="1:48" x14ac:dyDescent="0.15">
      <c r="A110" s="29" t="s">
        <v>103</v>
      </c>
      <c r="B110" s="30">
        <f>IF(Data!D105=1, MAX(Data!AA105, Inputs!$E$25) + INDEX(Inputs!$D$38:$D$42, MATCH( Data!AD105, Inputs!$B$38:$B$42, 0), 0), MAX(Data!AA105, Inputs!$E$26) +  INDEX(Inputs!$D$38:$D$42, MATCH( Data!AD105, Inputs!$B$38:$B$42, 0), 0))</f>
        <v>8.3495E-2</v>
      </c>
      <c r="C110" s="141">
        <f>(100*Data!R105)</f>
        <v>0</v>
      </c>
      <c r="D110" s="141">
        <f>ROUND(Data!Q105*C110, 0)</f>
        <v>0</v>
      </c>
      <c r="E110" s="141">
        <f>(100*Data!T105)</f>
        <v>0</v>
      </c>
      <c r="F110" s="141">
        <f>E110*Data!S105</f>
        <v>0</v>
      </c>
      <c r="G110" s="142">
        <f>ROUND(Inputs!$E$21*Data!W105*B110, 0)</f>
        <v>2075522</v>
      </c>
      <c r="H110" s="143">
        <f>IF(G110=0, 0,IF(Inputs!$E$30="Yes", IF(Data!D105=1, MAX(Outputs!D110+Outputs!F110+Outputs!G110, Data!AE105), Outputs!D110+Outputs!F110+Outputs!G110), Outputs!D110+Outputs!F110+Outputs!G110))</f>
        <v>2075522</v>
      </c>
      <c r="I110" s="143">
        <f>INDEX('FY 22 OFA Shell'!$AQ$27:$AQ$195,MATCH(Outputs!A110,'FY 22 OFA Shell'!$I$27:$I$195,0))</f>
        <v>2075522</v>
      </c>
      <c r="J110" s="129">
        <f>H110-Data!AT105</f>
        <v>-1405598</v>
      </c>
      <c r="K110" s="127">
        <f>((H110)/(Data!AT105)) - 1</f>
        <v>-0.40377751987865973</v>
      </c>
      <c r="L110" s="127">
        <f t="shared" si="68"/>
        <v>0</v>
      </c>
      <c r="M110" s="143">
        <f>(IF(Inputs!$E$30="Yes",INDEX(Data!AT:AT,MATCH(Outputs!A110,Data!A:A,0)),INDEX(Data!AS:AS,MATCH(Outputs!A110,Data!A:A,0))))</f>
        <v>3481120</v>
      </c>
      <c r="N110" s="143">
        <f>IF(Inputs!$E$30="Yes",INDEX(Data!BN:BN,MATCH(Outputs!$A110,Data!$A:$A,0)),INDEX(Data!BE:BE,MATCH(Outputs!$A110,Data!$A:$A,0)))</f>
        <v>3481120</v>
      </c>
      <c r="O110" s="143">
        <f>IF(Inputs!$E$30="Yes",INDEX(Data!BO:BO,MATCH(Outputs!$A110,Data!$A:$A,0)),INDEX(Data!BF:BF,MATCH(Outputs!$A110,Data!$A:$A,0)))</f>
        <v>3292608.1848999998</v>
      </c>
      <c r="P110" s="143">
        <f>IF(Inputs!$E$30="Yes",INDEX(Data!BP:BP,MATCH(Outputs!$A110,Data!$A:$A,0)),INDEX(Data!BG:BG,MATCH(Outputs!$A110,Data!$A:$A,0)))</f>
        <v>3104096.3697999995</v>
      </c>
      <c r="Q110" s="143">
        <f>IF(Inputs!$E$30="Yes",INDEX(Data!BQ:BQ,MATCH(Outputs!$A110,Data!$A:$A,0)),INDEX(Data!BH:BH,MATCH(Outputs!$A110,Data!$A:$A,0)))</f>
        <v>2915584.5546999993</v>
      </c>
      <c r="R110" s="143">
        <f>IF(Inputs!$E$30="Yes",INDEX(Data!BR:BR,MATCH(Outputs!$A110,Data!$A:$A,0)),INDEX(Data!BI:BI,MATCH(Outputs!$A110,Data!$A:$A,0)))</f>
        <v>2727072.739599999</v>
      </c>
      <c r="S110" s="143">
        <f>IF(Inputs!$E$30="Yes",INDEX(Data!BS:BS,MATCH(Outputs!$A110,Data!$A:$A,0)),INDEX(Data!BJ:BJ,MATCH(Outputs!$A110,Data!$A:$A,0)))</f>
        <v>2538560.9244999988</v>
      </c>
      <c r="T110" s="143">
        <f>IF(Inputs!$E$30="Yes",INDEX(Data!BT:BT,MATCH(Outputs!$A110,Data!$A:$A,0)),INDEX(Data!BK:BK,MATCH(Outputs!$A110,Data!$A:$A,0)))</f>
        <v>2350049.1093999986</v>
      </c>
      <c r="U110" s="143">
        <f>IF(Inputs!$E$30="Yes",INDEX(Data!BU:BU,MATCH(Outputs!$A110,Data!$A:$A,0)),INDEX(Data!BL:BL,MATCH(Outputs!$A110,Data!$A:$A,0)))</f>
        <v>2075522</v>
      </c>
      <c r="V110" s="143">
        <f>INDEX('FY 22 OFA Shell'!$AX$27:$AX$195,MATCH(Outputs!A110,'FY 22 OFA Shell'!$I$27:$I$195,0))</f>
        <v>3481120</v>
      </c>
      <c r="W110" s="143">
        <f>INDEX('FY 23 OFA Shell'!$AX$27:$AX$195,MATCH(Outputs!A110,'FY 23 OFA Shell'!$I$27:$I$195,0))</f>
        <v>3481120</v>
      </c>
      <c r="X110" s="143">
        <f>INDEX('FY 23 OFA Shell'!BK$27:BK$195,MATCH(Outputs!$A110,'FY 23 OFA Shell'!$I$27:$I$195,0))</f>
        <v>3292608.1848999998</v>
      </c>
      <c r="Y110" s="143">
        <f>INDEX('FY 23 OFA Shell'!BL$27:BL$195,MATCH(Outputs!$A110,'FY 23 OFA Shell'!$I$27:$I$195,0))</f>
        <v>3104096.3697999995</v>
      </c>
      <c r="Z110" s="143">
        <f>INDEX('FY 23 OFA Shell'!BM$27:BM$195,MATCH(Outputs!$A110,'FY 23 OFA Shell'!$I$27:$I$195,0))</f>
        <v>2915584.5546999993</v>
      </c>
      <c r="AA110" s="143">
        <f>INDEX('FY 23 OFA Shell'!BN$27:BN$195,MATCH(Outputs!$A110,'FY 23 OFA Shell'!$I$27:$I$195,0))</f>
        <v>2727072.739599999</v>
      </c>
      <c r="AB110" s="143">
        <f>INDEX('FY 23 OFA Shell'!BO$27:BO$195,MATCH(Outputs!$A110,'FY 23 OFA Shell'!$I$27:$I$195,0))</f>
        <v>2538560.9244999988</v>
      </c>
      <c r="AC110" s="143">
        <f>INDEX('FY 23 OFA Shell'!BP$27:BP$195,MATCH(Outputs!$A110,'FY 23 OFA Shell'!$I$27:$I$195,0))</f>
        <v>2350049.1093999986</v>
      </c>
      <c r="AD110" s="143">
        <f>INDEX('FY 23 OFA Shell'!BQ$27:BQ$195,MATCH(Outputs!$A110,'FY 23 OFA Shell'!$I$27:$I$195,0))</f>
        <v>2075522</v>
      </c>
      <c r="AE110" s="129">
        <f t="shared" si="69"/>
        <v>0</v>
      </c>
      <c r="AF110" s="129">
        <f t="shared" si="70"/>
        <v>0</v>
      </c>
      <c r="AG110" s="129">
        <f t="shared" si="71"/>
        <v>0</v>
      </c>
      <c r="AH110" s="129">
        <f t="shared" si="72"/>
        <v>0</v>
      </c>
      <c r="AI110" s="129">
        <f t="shared" si="73"/>
        <v>0</v>
      </c>
      <c r="AJ110" s="129">
        <f t="shared" si="74"/>
        <v>0</v>
      </c>
      <c r="AK110" s="129">
        <f t="shared" si="75"/>
        <v>0</v>
      </c>
      <c r="AL110" s="129">
        <f t="shared" si="76"/>
        <v>0</v>
      </c>
      <c r="AM110" s="129">
        <f t="shared" si="77"/>
        <v>0</v>
      </c>
      <c r="AN110" s="127">
        <f t="shared" si="78"/>
        <v>0</v>
      </c>
      <c r="AO110" s="127">
        <f t="shared" si="79"/>
        <v>0</v>
      </c>
      <c r="AP110" s="127">
        <f t="shared" si="80"/>
        <v>0</v>
      </c>
      <c r="AQ110" s="127">
        <f t="shared" si="81"/>
        <v>0</v>
      </c>
      <c r="AR110" s="127">
        <f t="shared" si="82"/>
        <v>0</v>
      </c>
      <c r="AS110" s="127">
        <f t="shared" si="83"/>
        <v>0</v>
      </c>
      <c r="AT110" s="127">
        <f t="shared" si="84"/>
        <v>0</v>
      </c>
      <c r="AU110" s="127">
        <f t="shared" si="85"/>
        <v>0</v>
      </c>
      <c r="AV110" s="127">
        <f t="shared" si="86"/>
        <v>0</v>
      </c>
    </row>
    <row r="111" spans="1:48" x14ac:dyDescent="0.15">
      <c r="A111" s="29" t="s">
        <v>104</v>
      </c>
      <c r="B111" s="30">
        <f>IF(Data!D106=1, MAX(Data!AA106, Inputs!$E$25) + INDEX(Inputs!$D$38:$D$42, MATCH( Data!AD106, Inputs!$B$38:$B$42, 0), 0), MAX(Data!AA106, Inputs!$E$26) +  INDEX(Inputs!$D$38:$D$42, MATCH( Data!AD106, Inputs!$B$38:$B$42, 0), 0))</f>
        <v>0.230154</v>
      </c>
      <c r="C111" s="141">
        <f>(100*Data!R106)</f>
        <v>600</v>
      </c>
      <c r="D111" s="141">
        <f>ROUND(Data!Q106*C111, 0)</f>
        <v>270000</v>
      </c>
      <c r="E111" s="141">
        <f>(100*Data!T106)</f>
        <v>0</v>
      </c>
      <c r="F111" s="141">
        <f>E111*Data!S106</f>
        <v>0</v>
      </c>
      <c r="G111" s="142">
        <f>ROUND(Inputs!$E$21*Data!W106*B111, 0)</f>
        <v>2472180</v>
      </c>
      <c r="H111" s="143">
        <f>IF(G111=0, 0,IF(Inputs!$E$30="Yes", IF(Data!D106=1, MAX(Outputs!D111+Outputs!F111+Outputs!G111, Data!AE106), Outputs!D111+Outputs!F111+Outputs!G111), Outputs!D111+Outputs!F111+Outputs!G111))</f>
        <v>2742180</v>
      </c>
      <c r="I111" s="143">
        <f>INDEX('FY 22 OFA Shell'!$AQ$27:$AQ$195,MATCH(Outputs!A111,'FY 22 OFA Shell'!$I$27:$I$195,0))</f>
        <v>2742180</v>
      </c>
      <c r="J111" s="129">
        <f>H111-Data!AT106</f>
        <v>-170830</v>
      </c>
      <c r="K111" s="127">
        <f>((H111)/(Data!AT106)) - 1</f>
        <v>-5.8643808294513211E-2</v>
      </c>
      <c r="L111" s="127">
        <f t="shared" si="68"/>
        <v>0</v>
      </c>
      <c r="M111" s="143">
        <f>(IF(Inputs!$E$30="Yes",INDEX(Data!AT:AT,MATCH(Outputs!A111,Data!A:A,0)),INDEX(Data!AS:AS,MATCH(Outputs!A111,Data!A:A,0))))</f>
        <v>2913010</v>
      </c>
      <c r="N111" s="143">
        <f>IF(Inputs!$E$30="Yes",INDEX(Data!BN:BN,MATCH(Outputs!$A111,Data!$A:$A,0)),INDEX(Data!BE:BE,MATCH(Outputs!$A111,Data!$A:$A,0)))</f>
        <v>2913010</v>
      </c>
      <c r="O111" s="143">
        <f>IF(Inputs!$E$30="Yes",INDEX(Data!BO:BO,MATCH(Outputs!$A111,Data!$A:$A,0)),INDEX(Data!BF:BF,MATCH(Outputs!$A111,Data!$A:$A,0)))</f>
        <v>2882106.6162999999</v>
      </c>
      <c r="P111" s="143">
        <f>IF(Inputs!$E$30="Yes",INDEX(Data!BP:BP,MATCH(Outputs!$A111,Data!$A:$A,0)),INDEX(Data!BG:BG,MATCH(Outputs!$A111,Data!$A:$A,0)))</f>
        <v>2851203.2325999998</v>
      </c>
      <c r="Q111" s="143">
        <f>IF(Inputs!$E$30="Yes",INDEX(Data!BQ:BQ,MATCH(Outputs!$A111,Data!$A:$A,0)),INDEX(Data!BH:BH,MATCH(Outputs!$A111,Data!$A:$A,0)))</f>
        <v>2820299.8488999996</v>
      </c>
      <c r="R111" s="143">
        <f>IF(Inputs!$E$30="Yes",INDEX(Data!BR:BR,MATCH(Outputs!$A111,Data!$A:$A,0)),INDEX(Data!BI:BI,MATCH(Outputs!$A111,Data!$A:$A,0)))</f>
        <v>2789396.4651999995</v>
      </c>
      <c r="S111" s="143">
        <f>IF(Inputs!$E$30="Yes",INDEX(Data!BS:BS,MATCH(Outputs!$A111,Data!$A:$A,0)),INDEX(Data!BJ:BJ,MATCH(Outputs!$A111,Data!$A:$A,0)))</f>
        <v>2758493.0814999994</v>
      </c>
      <c r="T111" s="143">
        <f>IF(Inputs!$E$30="Yes",INDEX(Data!BT:BT,MATCH(Outputs!$A111,Data!$A:$A,0)),INDEX(Data!BK:BK,MATCH(Outputs!$A111,Data!$A:$A,0)))</f>
        <v>2727589.6977999993</v>
      </c>
      <c r="U111" s="143">
        <f>IF(Inputs!$E$30="Yes",INDEX(Data!BU:BU,MATCH(Outputs!$A111,Data!$A:$A,0)),INDEX(Data!BL:BL,MATCH(Outputs!$A111,Data!$A:$A,0)))</f>
        <v>2742180</v>
      </c>
      <c r="V111" s="143">
        <f>INDEX('FY 22 OFA Shell'!$AX$27:$AX$195,MATCH(Outputs!A111,'FY 22 OFA Shell'!$I$27:$I$195,0))</f>
        <v>2913010</v>
      </c>
      <c r="W111" s="143">
        <f>INDEX('FY 23 OFA Shell'!$AX$27:$AX$195,MATCH(Outputs!A111,'FY 23 OFA Shell'!$I$27:$I$195,0))</f>
        <v>2913010</v>
      </c>
      <c r="X111" s="143">
        <f>INDEX('FY 23 OFA Shell'!BK$27:BK$195,MATCH(Outputs!$A111,'FY 23 OFA Shell'!$I$27:$I$195,0))</f>
        <v>2882106.6162999999</v>
      </c>
      <c r="Y111" s="143">
        <f>INDEX('FY 23 OFA Shell'!BL$27:BL$195,MATCH(Outputs!$A111,'FY 23 OFA Shell'!$I$27:$I$195,0))</f>
        <v>2851203.2325999998</v>
      </c>
      <c r="Z111" s="143">
        <f>INDEX('FY 23 OFA Shell'!BM$27:BM$195,MATCH(Outputs!$A111,'FY 23 OFA Shell'!$I$27:$I$195,0))</f>
        <v>2820299.8488999996</v>
      </c>
      <c r="AA111" s="143">
        <f>INDEX('FY 23 OFA Shell'!BN$27:BN$195,MATCH(Outputs!$A111,'FY 23 OFA Shell'!$I$27:$I$195,0))</f>
        <v>2789396.4651999995</v>
      </c>
      <c r="AB111" s="143">
        <f>INDEX('FY 23 OFA Shell'!BO$27:BO$195,MATCH(Outputs!$A111,'FY 23 OFA Shell'!$I$27:$I$195,0))</f>
        <v>2758493.0814999994</v>
      </c>
      <c r="AC111" s="143">
        <f>INDEX('FY 23 OFA Shell'!BP$27:BP$195,MATCH(Outputs!$A111,'FY 23 OFA Shell'!$I$27:$I$195,0))</f>
        <v>2727589.6977999993</v>
      </c>
      <c r="AD111" s="143">
        <f>INDEX('FY 23 OFA Shell'!BQ$27:BQ$195,MATCH(Outputs!$A111,'FY 23 OFA Shell'!$I$27:$I$195,0))</f>
        <v>2742180</v>
      </c>
      <c r="AE111" s="129">
        <f t="shared" si="69"/>
        <v>0</v>
      </c>
      <c r="AF111" s="129">
        <f t="shared" si="70"/>
        <v>0</v>
      </c>
      <c r="AG111" s="129">
        <f t="shared" si="71"/>
        <v>0</v>
      </c>
      <c r="AH111" s="129">
        <f t="shared" si="72"/>
        <v>0</v>
      </c>
      <c r="AI111" s="129">
        <f t="shared" si="73"/>
        <v>0</v>
      </c>
      <c r="AJ111" s="129">
        <f t="shared" si="74"/>
        <v>0</v>
      </c>
      <c r="AK111" s="129">
        <f t="shared" si="75"/>
        <v>0</v>
      </c>
      <c r="AL111" s="129">
        <f t="shared" si="76"/>
        <v>0</v>
      </c>
      <c r="AM111" s="129">
        <f t="shared" si="77"/>
        <v>0</v>
      </c>
      <c r="AN111" s="127">
        <f t="shared" si="78"/>
        <v>0</v>
      </c>
      <c r="AO111" s="127">
        <f t="shared" si="79"/>
        <v>0</v>
      </c>
      <c r="AP111" s="127">
        <f t="shared" si="80"/>
        <v>0</v>
      </c>
      <c r="AQ111" s="127">
        <f t="shared" si="81"/>
        <v>0</v>
      </c>
      <c r="AR111" s="127">
        <f t="shared" si="82"/>
        <v>0</v>
      </c>
      <c r="AS111" s="127">
        <f t="shared" si="83"/>
        <v>0</v>
      </c>
      <c r="AT111" s="127">
        <f t="shared" si="84"/>
        <v>0</v>
      </c>
      <c r="AU111" s="127">
        <f t="shared" si="85"/>
        <v>0</v>
      </c>
      <c r="AV111" s="127">
        <f t="shared" si="86"/>
        <v>0</v>
      </c>
    </row>
    <row r="112" spans="1:48" x14ac:dyDescent="0.15">
      <c r="A112" s="29" t="s">
        <v>105</v>
      </c>
      <c r="B112" s="30">
        <f>IF(Data!D107=1, MAX(Data!AA107, Inputs!$E$25) + INDEX(Inputs!$D$38:$D$42, MATCH( Data!AD107, Inputs!$B$38:$B$42, 0), 0), MAX(Data!AA107, Inputs!$E$26) +  INDEX(Inputs!$D$38:$D$42, MATCH( Data!AD107, Inputs!$B$38:$B$42, 0), 0))</f>
        <v>0.65879300000000007</v>
      </c>
      <c r="C112" s="141">
        <f>(100*Data!R107)</f>
        <v>0</v>
      </c>
      <c r="D112" s="141">
        <f>ROUND(Data!Q107*C112, 0)</f>
        <v>0</v>
      </c>
      <c r="E112" s="141">
        <f>(100*Data!T107)</f>
        <v>0</v>
      </c>
      <c r="F112" s="141">
        <f>E112*Data!S107</f>
        <v>0</v>
      </c>
      <c r="G112" s="142">
        <f>ROUND(Inputs!$E$21*Data!W107*B112, 0)</f>
        <v>176536073</v>
      </c>
      <c r="H112" s="143">
        <f>IF(G112=0, 0,IF(Inputs!$E$30="Yes", IF(Data!D107=1, MAX(Outputs!D112+Outputs!F112+Outputs!G112, Data!AE107), Outputs!D112+Outputs!F112+Outputs!G112), Outputs!D112+Outputs!F112+Outputs!G112))</f>
        <v>176536073</v>
      </c>
      <c r="I112" s="143">
        <f>INDEX('FY 22 OFA Shell'!$AQ$27:$AQ$195,MATCH(Outputs!A112,'FY 22 OFA Shell'!$I$27:$I$195,0))</f>
        <v>176536073</v>
      </c>
      <c r="J112" s="129">
        <f>H112-Data!AT107</f>
        <v>13695957.366400003</v>
      </c>
      <c r="K112" s="127">
        <f>((H112)/(Data!AT107)) - 1</f>
        <v>8.4106777455358328E-2</v>
      </c>
      <c r="L112" s="127">
        <f t="shared" si="68"/>
        <v>0</v>
      </c>
      <c r="M112" s="143">
        <f>(IF(Inputs!$E$30="Yes",INDEX(Data!AT:AT,MATCH(Outputs!A112,Data!A:A,0)),INDEX(Data!AS:AS,MATCH(Outputs!A112,Data!A:A,0))))</f>
        <v>162840115.6336</v>
      </c>
      <c r="N112" s="143">
        <f>IF(Inputs!$E$30="Yes",INDEX(Data!BN:BN,MATCH(Outputs!$A112,Data!$A:$A,0)),INDEX(Data!BE:BE,MATCH(Outputs!$A112,Data!$A:$A,0)))</f>
        <v>165210270.26719999</v>
      </c>
      <c r="O112" s="143">
        <f>IF(Inputs!$E$30="Yes",INDEX(Data!BO:BO,MATCH(Outputs!$A112,Data!$A:$A,0)),INDEX(Data!BF:BF,MATCH(Outputs!$A112,Data!$A:$A,0)))</f>
        <v>167580424.90079999</v>
      </c>
      <c r="P112" s="143">
        <f>IF(Inputs!$E$30="Yes",INDEX(Data!BP:BP,MATCH(Outputs!$A112,Data!$A:$A,0)),INDEX(Data!BG:BG,MATCH(Outputs!$A112,Data!$A:$A,0)))</f>
        <v>169950579.53439999</v>
      </c>
      <c r="Q112" s="143">
        <f>IF(Inputs!$E$30="Yes",INDEX(Data!BQ:BQ,MATCH(Outputs!$A112,Data!$A:$A,0)),INDEX(Data!BH:BH,MATCH(Outputs!$A112,Data!$A:$A,0)))</f>
        <v>172320734.16799998</v>
      </c>
      <c r="R112" s="143">
        <f>IF(Inputs!$E$30="Yes",INDEX(Data!BR:BR,MATCH(Outputs!$A112,Data!$A:$A,0)),INDEX(Data!BI:BI,MATCH(Outputs!$A112,Data!$A:$A,0)))</f>
        <v>174690888.80159998</v>
      </c>
      <c r="S112" s="143">
        <f>IF(Inputs!$E$30="Yes",INDEX(Data!BS:BS,MATCH(Outputs!$A112,Data!$A:$A,0)),INDEX(Data!BJ:BJ,MATCH(Outputs!$A112,Data!$A:$A,0)))</f>
        <v>176536073</v>
      </c>
      <c r="T112" s="143">
        <f>IF(Inputs!$E$30="Yes",INDEX(Data!BT:BT,MATCH(Outputs!$A112,Data!$A:$A,0)),INDEX(Data!BK:BK,MATCH(Outputs!$A112,Data!$A:$A,0)))</f>
        <v>176536073</v>
      </c>
      <c r="U112" s="143">
        <f>IF(Inputs!$E$30="Yes",INDEX(Data!BU:BU,MATCH(Outputs!$A112,Data!$A:$A,0)),INDEX(Data!BL:BL,MATCH(Outputs!$A112,Data!$A:$A,0)))</f>
        <v>176536073</v>
      </c>
      <c r="V112" s="143">
        <f>INDEX('FY 22 OFA Shell'!$AX$27:$AX$195,MATCH(Outputs!A112,'FY 22 OFA Shell'!$I$27:$I$195,0))</f>
        <v>162840115.6336</v>
      </c>
      <c r="W112" s="143">
        <f>INDEX('FY 23 OFA Shell'!$AX$27:$AX$195,MATCH(Outputs!A112,'FY 23 OFA Shell'!$I$27:$I$195,0))</f>
        <v>165210270.26719999</v>
      </c>
      <c r="X112" s="143">
        <f>INDEX('FY 23 OFA Shell'!BK$27:BK$195,MATCH(Outputs!$A112,'FY 23 OFA Shell'!$I$27:$I$195,0))</f>
        <v>167580424.90079999</v>
      </c>
      <c r="Y112" s="143">
        <f>INDEX('FY 23 OFA Shell'!BL$27:BL$195,MATCH(Outputs!$A112,'FY 23 OFA Shell'!$I$27:$I$195,0))</f>
        <v>169950579.53439999</v>
      </c>
      <c r="Z112" s="143">
        <f>INDEX('FY 23 OFA Shell'!BM$27:BM$195,MATCH(Outputs!$A112,'FY 23 OFA Shell'!$I$27:$I$195,0))</f>
        <v>172320734.16799998</v>
      </c>
      <c r="AA112" s="143">
        <f>INDEX('FY 23 OFA Shell'!BN$27:BN$195,MATCH(Outputs!$A112,'FY 23 OFA Shell'!$I$27:$I$195,0))</f>
        <v>174690888.80159998</v>
      </c>
      <c r="AB112" s="143">
        <f>INDEX('FY 23 OFA Shell'!BO$27:BO$195,MATCH(Outputs!$A112,'FY 23 OFA Shell'!$I$27:$I$195,0))</f>
        <v>176536073</v>
      </c>
      <c r="AC112" s="143">
        <f>INDEX('FY 23 OFA Shell'!BP$27:BP$195,MATCH(Outputs!$A112,'FY 23 OFA Shell'!$I$27:$I$195,0))</f>
        <v>176536073</v>
      </c>
      <c r="AD112" s="143">
        <f>INDEX('FY 23 OFA Shell'!BQ$27:BQ$195,MATCH(Outputs!$A112,'FY 23 OFA Shell'!$I$27:$I$195,0))</f>
        <v>176536073</v>
      </c>
      <c r="AE112" s="129">
        <f t="shared" si="69"/>
        <v>0</v>
      </c>
      <c r="AF112" s="129">
        <f t="shared" si="70"/>
        <v>0</v>
      </c>
      <c r="AG112" s="129">
        <f t="shared" si="71"/>
        <v>0</v>
      </c>
      <c r="AH112" s="129">
        <f t="shared" si="72"/>
        <v>0</v>
      </c>
      <c r="AI112" s="129">
        <f t="shared" si="73"/>
        <v>0</v>
      </c>
      <c r="AJ112" s="129">
        <f t="shared" si="74"/>
        <v>0</v>
      </c>
      <c r="AK112" s="129">
        <f t="shared" si="75"/>
        <v>0</v>
      </c>
      <c r="AL112" s="129">
        <f t="shared" si="76"/>
        <v>0</v>
      </c>
      <c r="AM112" s="129">
        <f t="shared" si="77"/>
        <v>0</v>
      </c>
      <c r="AN112" s="127">
        <f t="shared" si="78"/>
        <v>0</v>
      </c>
      <c r="AO112" s="127">
        <f t="shared" si="79"/>
        <v>0</v>
      </c>
      <c r="AP112" s="127">
        <f t="shared" si="80"/>
        <v>0</v>
      </c>
      <c r="AQ112" s="127">
        <f t="shared" si="81"/>
        <v>0</v>
      </c>
      <c r="AR112" s="127">
        <f t="shared" si="82"/>
        <v>0</v>
      </c>
      <c r="AS112" s="127">
        <f t="shared" si="83"/>
        <v>0</v>
      </c>
      <c r="AT112" s="127">
        <f t="shared" si="84"/>
        <v>0</v>
      </c>
      <c r="AU112" s="127">
        <f t="shared" si="85"/>
        <v>0</v>
      </c>
      <c r="AV112" s="127">
        <f t="shared" si="86"/>
        <v>0</v>
      </c>
    </row>
    <row r="113" spans="1:48" x14ac:dyDescent="0.15">
      <c r="A113" s="29" t="s">
        <v>106</v>
      </c>
      <c r="B113" s="30">
        <f>IF(Data!D108=1, MAX(Data!AA108, Inputs!$E$25) + INDEX(Inputs!$D$38:$D$42, MATCH( Data!AD108, Inputs!$B$38:$B$42, 0), 0), MAX(Data!AA108, Inputs!$E$26) +  INDEX(Inputs!$D$38:$D$42, MATCH( Data!AD108, Inputs!$B$38:$B$42, 0), 0))</f>
        <v>0.315133</v>
      </c>
      <c r="C113" s="141">
        <f>(100*Data!R108)</f>
        <v>0</v>
      </c>
      <c r="D113" s="141">
        <f>ROUND(Data!Q108*C113, 0)</f>
        <v>0</v>
      </c>
      <c r="E113" s="141">
        <f>(100*Data!T108)</f>
        <v>0</v>
      </c>
      <c r="F113" s="141">
        <f>E113*Data!S108</f>
        <v>0</v>
      </c>
      <c r="G113" s="142">
        <f>ROUND(Inputs!$E$21*Data!W108*B113, 0)</f>
        <v>16350123</v>
      </c>
      <c r="H113" s="143">
        <f>IF(G113=0, 0,IF(Inputs!$E$30="Yes", IF(Data!D108=1, MAX(Outputs!D113+Outputs!F113+Outputs!G113, Data!AE108), Outputs!D113+Outputs!F113+Outputs!G113), Outputs!D113+Outputs!F113+Outputs!G113))</f>
        <v>16350123</v>
      </c>
      <c r="I113" s="143">
        <f>INDEX('FY 22 OFA Shell'!$AQ$27:$AQ$195,MATCH(Outputs!A113,'FY 22 OFA Shell'!$I$27:$I$195,0))</f>
        <v>16350123</v>
      </c>
      <c r="J113" s="129">
        <f>H113-Data!AT108</f>
        <v>2218322.6077999994</v>
      </c>
      <c r="K113" s="127">
        <f>((H113)/(Data!AT108)) - 1</f>
        <v>0.15697381410965838</v>
      </c>
      <c r="L113" s="127">
        <f t="shared" si="68"/>
        <v>0</v>
      </c>
      <c r="M113" s="143">
        <f>(IF(Inputs!$E$30="Yes",INDEX(Data!AT:AT,MATCH(Outputs!A113,Data!A:A,0)),INDEX(Data!AS:AS,MATCH(Outputs!A113,Data!A:A,0))))</f>
        <v>14131800.392200001</v>
      </c>
      <c r="N113" s="143">
        <f>IF(Inputs!$E$30="Yes",INDEX(Data!BN:BN,MATCH(Outputs!$A113,Data!$A:$A,0)),INDEX(Data!BE:BE,MATCH(Outputs!$A113,Data!$A:$A,0)))</f>
        <v>14490649.784400001</v>
      </c>
      <c r="O113" s="143">
        <f>IF(Inputs!$E$30="Yes",INDEX(Data!BO:BO,MATCH(Outputs!$A113,Data!$A:$A,0)),INDEX(Data!BF:BF,MATCH(Outputs!$A113,Data!$A:$A,0)))</f>
        <v>14849499.176600002</v>
      </c>
      <c r="P113" s="143">
        <f>IF(Inputs!$E$30="Yes",INDEX(Data!BP:BP,MATCH(Outputs!$A113,Data!$A:$A,0)),INDEX(Data!BG:BG,MATCH(Outputs!$A113,Data!$A:$A,0)))</f>
        <v>15208348.568800002</v>
      </c>
      <c r="Q113" s="143">
        <f>IF(Inputs!$E$30="Yes",INDEX(Data!BQ:BQ,MATCH(Outputs!$A113,Data!$A:$A,0)),INDEX(Data!BH:BH,MATCH(Outputs!$A113,Data!$A:$A,0)))</f>
        <v>15567197.961000003</v>
      </c>
      <c r="R113" s="143">
        <f>IF(Inputs!$E$30="Yes",INDEX(Data!BR:BR,MATCH(Outputs!$A113,Data!$A:$A,0)),INDEX(Data!BI:BI,MATCH(Outputs!$A113,Data!$A:$A,0)))</f>
        <v>15926047.353200004</v>
      </c>
      <c r="S113" s="143">
        <f>IF(Inputs!$E$30="Yes",INDEX(Data!BS:BS,MATCH(Outputs!$A113,Data!$A:$A,0)),INDEX(Data!BJ:BJ,MATCH(Outputs!$A113,Data!$A:$A,0)))</f>
        <v>16350123</v>
      </c>
      <c r="T113" s="143">
        <f>IF(Inputs!$E$30="Yes",INDEX(Data!BT:BT,MATCH(Outputs!$A113,Data!$A:$A,0)),INDEX(Data!BK:BK,MATCH(Outputs!$A113,Data!$A:$A,0)))</f>
        <v>16350123</v>
      </c>
      <c r="U113" s="143">
        <f>IF(Inputs!$E$30="Yes",INDEX(Data!BU:BU,MATCH(Outputs!$A113,Data!$A:$A,0)),INDEX(Data!BL:BL,MATCH(Outputs!$A113,Data!$A:$A,0)))</f>
        <v>16350123</v>
      </c>
      <c r="V113" s="143">
        <f>INDEX('FY 22 OFA Shell'!$AX$27:$AX$195,MATCH(Outputs!A113,'FY 22 OFA Shell'!$I$27:$I$195,0))</f>
        <v>14131800.392200001</v>
      </c>
      <c r="W113" s="143">
        <f>INDEX('FY 23 OFA Shell'!$AX$27:$AX$195,MATCH(Outputs!A113,'FY 23 OFA Shell'!$I$27:$I$195,0))</f>
        <v>14490649.784400001</v>
      </c>
      <c r="X113" s="143">
        <f>INDEX('FY 23 OFA Shell'!BK$27:BK$195,MATCH(Outputs!$A113,'FY 23 OFA Shell'!$I$27:$I$195,0))</f>
        <v>14849499.176600002</v>
      </c>
      <c r="Y113" s="143">
        <f>INDEX('FY 23 OFA Shell'!BL$27:BL$195,MATCH(Outputs!$A113,'FY 23 OFA Shell'!$I$27:$I$195,0))</f>
        <v>15208348.568800002</v>
      </c>
      <c r="Z113" s="143">
        <f>INDEX('FY 23 OFA Shell'!BM$27:BM$195,MATCH(Outputs!$A113,'FY 23 OFA Shell'!$I$27:$I$195,0))</f>
        <v>15567197.961000003</v>
      </c>
      <c r="AA113" s="143">
        <f>INDEX('FY 23 OFA Shell'!BN$27:BN$195,MATCH(Outputs!$A113,'FY 23 OFA Shell'!$I$27:$I$195,0))</f>
        <v>15926047.353200004</v>
      </c>
      <c r="AB113" s="143">
        <f>INDEX('FY 23 OFA Shell'!BO$27:BO$195,MATCH(Outputs!$A113,'FY 23 OFA Shell'!$I$27:$I$195,0))</f>
        <v>16350123</v>
      </c>
      <c r="AC113" s="143">
        <f>INDEX('FY 23 OFA Shell'!BP$27:BP$195,MATCH(Outputs!$A113,'FY 23 OFA Shell'!$I$27:$I$195,0))</f>
        <v>16350123</v>
      </c>
      <c r="AD113" s="143">
        <f>INDEX('FY 23 OFA Shell'!BQ$27:BQ$195,MATCH(Outputs!$A113,'FY 23 OFA Shell'!$I$27:$I$195,0))</f>
        <v>16350123</v>
      </c>
      <c r="AE113" s="129">
        <f t="shared" si="69"/>
        <v>0</v>
      </c>
      <c r="AF113" s="129">
        <f t="shared" si="70"/>
        <v>0</v>
      </c>
      <c r="AG113" s="129">
        <f t="shared" si="71"/>
        <v>0</v>
      </c>
      <c r="AH113" s="129">
        <f t="shared" si="72"/>
        <v>0</v>
      </c>
      <c r="AI113" s="129">
        <f t="shared" si="73"/>
        <v>0</v>
      </c>
      <c r="AJ113" s="129">
        <f t="shared" si="74"/>
        <v>0</v>
      </c>
      <c r="AK113" s="129">
        <f t="shared" si="75"/>
        <v>0</v>
      </c>
      <c r="AL113" s="129">
        <f t="shared" si="76"/>
        <v>0</v>
      </c>
      <c r="AM113" s="129">
        <f t="shared" si="77"/>
        <v>0</v>
      </c>
      <c r="AN113" s="127">
        <f t="shared" si="78"/>
        <v>0</v>
      </c>
      <c r="AO113" s="127">
        <f t="shared" si="79"/>
        <v>0</v>
      </c>
      <c r="AP113" s="127">
        <f t="shared" si="80"/>
        <v>0</v>
      </c>
      <c r="AQ113" s="127">
        <f t="shared" si="81"/>
        <v>0</v>
      </c>
      <c r="AR113" s="127">
        <f t="shared" si="82"/>
        <v>0</v>
      </c>
      <c r="AS113" s="127">
        <f t="shared" si="83"/>
        <v>0</v>
      </c>
      <c r="AT113" s="127">
        <f t="shared" si="84"/>
        <v>0</v>
      </c>
      <c r="AU113" s="127">
        <f t="shared" si="85"/>
        <v>0</v>
      </c>
      <c r="AV113" s="127">
        <f t="shared" si="86"/>
        <v>0</v>
      </c>
    </row>
    <row r="114" spans="1:48" x14ac:dyDescent="0.15">
      <c r="A114" s="29" t="s">
        <v>107</v>
      </c>
      <c r="B114" s="30">
        <f>IF(Data!D109=1, MAX(Data!AA109, Inputs!$E$25) + INDEX(Inputs!$D$38:$D$42, MATCH( Data!AD109, Inputs!$B$38:$B$42, 0), 0), MAX(Data!AA109, Inputs!$E$26) +  INDEX(Inputs!$D$38:$D$42, MATCH( Data!AD109, Inputs!$B$38:$B$42, 0), 0))</f>
        <v>0.69513099999999994</v>
      </c>
      <c r="C114" s="141">
        <f>(100*Data!R109)</f>
        <v>0</v>
      </c>
      <c r="D114" s="141">
        <f>ROUND(Data!Q109*C114, 0)</f>
        <v>0</v>
      </c>
      <c r="E114" s="141">
        <f>(100*Data!T109)</f>
        <v>0</v>
      </c>
      <c r="F114" s="141">
        <f>E114*Data!S109</f>
        <v>0</v>
      </c>
      <c r="G114" s="142">
        <f>ROUND(Inputs!$E$21*Data!W109*B114, 0)</f>
        <v>36056657</v>
      </c>
      <c r="H114" s="143">
        <f>IF(G114=0, 0,IF(Inputs!$E$30="Yes", IF(Data!D109=1, MAX(Outputs!D114+Outputs!F114+Outputs!G114, Data!AE109), Outputs!D114+Outputs!F114+Outputs!G114), Outputs!D114+Outputs!F114+Outputs!G114))</f>
        <v>36056657</v>
      </c>
      <c r="I114" s="143">
        <f>INDEX('FY 22 OFA Shell'!$AQ$27:$AQ$195,MATCH(Outputs!A114,'FY 22 OFA Shell'!$I$27:$I$195,0))</f>
        <v>36056657</v>
      </c>
      <c r="J114" s="129">
        <f>H114-Data!AT109</f>
        <v>6334971.1719999984</v>
      </c>
      <c r="K114" s="127">
        <f>((H114)/(Data!AT109)) - 1</f>
        <v>0.21314306357521584</v>
      </c>
      <c r="L114" s="127">
        <f t="shared" si="68"/>
        <v>0</v>
      </c>
      <c r="M114" s="143">
        <f>(IF(Inputs!$E$30="Yes",INDEX(Data!AT:AT,MATCH(Outputs!A114,Data!A:A,0)),INDEX(Data!AS:AS,MATCH(Outputs!A114,Data!A:A,0))))</f>
        <v>29721685.828000002</v>
      </c>
      <c r="N114" s="143">
        <f>IF(Inputs!$E$30="Yes",INDEX(Data!BN:BN,MATCH(Outputs!$A114,Data!$A:$A,0)),INDEX(Data!BE:BE,MATCH(Outputs!$A114,Data!$A:$A,0)))</f>
        <v>30814397.656000003</v>
      </c>
      <c r="O114" s="143">
        <f>IF(Inputs!$E$30="Yes",INDEX(Data!BO:BO,MATCH(Outputs!$A114,Data!$A:$A,0)),INDEX(Data!BF:BF,MATCH(Outputs!$A114,Data!$A:$A,0)))</f>
        <v>31907109.484000005</v>
      </c>
      <c r="P114" s="143">
        <f>IF(Inputs!$E$30="Yes",INDEX(Data!BP:BP,MATCH(Outputs!$A114,Data!$A:$A,0)),INDEX(Data!BG:BG,MATCH(Outputs!$A114,Data!$A:$A,0)))</f>
        <v>32999821.312000006</v>
      </c>
      <c r="Q114" s="143">
        <f>IF(Inputs!$E$30="Yes",INDEX(Data!BQ:BQ,MATCH(Outputs!$A114,Data!$A:$A,0)),INDEX(Data!BH:BH,MATCH(Outputs!$A114,Data!$A:$A,0)))</f>
        <v>34092533.140000008</v>
      </c>
      <c r="R114" s="143">
        <f>IF(Inputs!$E$30="Yes",INDEX(Data!BR:BR,MATCH(Outputs!$A114,Data!$A:$A,0)),INDEX(Data!BI:BI,MATCH(Outputs!$A114,Data!$A:$A,0)))</f>
        <v>35185244.96800001</v>
      </c>
      <c r="S114" s="143">
        <f>IF(Inputs!$E$30="Yes",INDEX(Data!BS:BS,MATCH(Outputs!$A114,Data!$A:$A,0)),INDEX(Data!BJ:BJ,MATCH(Outputs!$A114,Data!$A:$A,0)))</f>
        <v>36056657</v>
      </c>
      <c r="T114" s="143">
        <f>IF(Inputs!$E$30="Yes",INDEX(Data!BT:BT,MATCH(Outputs!$A114,Data!$A:$A,0)),INDEX(Data!BK:BK,MATCH(Outputs!$A114,Data!$A:$A,0)))</f>
        <v>36056657</v>
      </c>
      <c r="U114" s="143">
        <f>IF(Inputs!$E$30="Yes",INDEX(Data!BU:BU,MATCH(Outputs!$A114,Data!$A:$A,0)),INDEX(Data!BL:BL,MATCH(Outputs!$A114,Data!$A:$A,0)))</f>
        <v>36056657</v>
      </c>
      <c r="V114" s="143">
        <f>INDEX('FY 22 OFA Shell'!$AX$27:$AX$195,MATCH(Outputs!A114,'FY 22 OFA Shell'!$I$27:$I$195,0))</f>
        <v>29721685.828000002</v>
      </c>
      <c r="W114" s="143">
        <f>INDEX('FY 23 OFA Shell'!$AX$27:$AX$195,MATCH(Outputs!A114,'FY 23 OFA Shell'!$I$27:$I$195,0))</f>
        <v>30814397.656000003</v>
      </c>
      <c r="X114" s="143">
        <f>INDEX('FY 23 OFA Shell'!BK$27:BK$195,MATCH(Outputs!$A114,'FY 23 OFA Shell'!$I$27:$I$195,0))</f>
        <v>31907109.484000005</v>
      </c>
      <c r="Y114" s="143">
        <f>INDEX('FY 23 OFA Shell'!BL$27:BL$195,MATCH(Outputs!$A114,'FY 23 OFA Shell'!$I$27:$I$195,0))</f>
        <v>32999821.312000006</v>
      </c>
      <c r="Z114" s="143">
        <f>INDEX('FY 23 OFA Shell'!BM$27:BM$195,MATCH(Outputs!$A114,'FY 23 OFA Shell'!$I$27:$I$195,0))</f>
        <v>34092533.140000008</v>
      </c>
      <c r="AA114" s="143">
        <f>INDEX('FY 23 OFA Shell'!BN$27:BN$195,MATCH(Outputs!$A114,'FY 23 OFA Shell'!$I$27:$I$195,0))</f>
        <v>35185244.96800001</v>
      </c>
      <c r="AB114" s="143">
        <f>INDEX('FY 23 OFA Shell'!BO$27:BO$195,MATCH(Outputs!$A114,'FY 23 OFA Shell'!$I$27:$I$195,0))</f>
        <v>36056657</v>
      </c>
      <c r="AC114" s="143">
        <f>INDEX('FY 23 OFA Shell'!BP$27:BP$195,MATCH(Outputs!$A114,'FY 23 OFA Shell'!$I$27:$I$195,0))</f>
        <v>36056657</v>
      </c>
      <c r="AD114" s="143">
        <f>INDEX('FY 23 OFA Shell'!BQ$27:BQ$195,MATCH(Outputs!$A114,'FY 23 OFA Shell'!$I$27:$I$195,0))</f>
        <v>36056657</v>
      </c>
      <c r="AE114" s="129">
        <f t="shared" si="69"/>
        <v>0</v>
      </c>
      <c r="AF114" s="129">
        <f t="shared" si="70"/>
        <v>0</v>
      </c>
      <c r="AG114" s="129">
        <f t="shared" si="71"/>
        <v>0</v>
      </c>
      <c r="AH114" s="129">
        <f t="shared" si="72"/>
        <v>0</v>
      </c>
      <c r="AI114" s="129">
        <f t="shared" si="73"/>
        <v>0</v>
      </c>
      <c r="AJ114" s="129">
        <f t="shared" si="74"/>
        <v>0</v>
      </c>
      <c r="AK114" s="129">
        <f t="shared" si="75"/>
        <v>0</v>
      </c>
      <c r="AL114" s="129">
        <f t="shared" si="76"/>
        <v>0</v>
      </c>
      <c r="AM114" s="129">
        <f t="shared" si="77"/>
        <v>0</v>
      </c>
      <c r="AN114" s="127">
        <f t="shared" si="78"/>
        <v>0</v>
      </c>
      <c r="AO114" s="127">
        <f t="shared" si="79"/>
        <v>0</v>
      </c>
      <c r="AP114" s="127">
        <f t="shared" si="80"/>
        <v>0</v>
      </c>
      <c r="AQ114" s="127">
        <f t="shared" si="81"/>
        <v>0</v>
      </c>
      <c r="AR114" s="127">
        <f t="shared" si="82"/>
        <v>0</v>
      </c>
      <c r="AS114" s="127">
        <f t="shared" si="83"/>
        <v>0</v>
      </c>
      <c r="AT114" s="127">
        <f t="shared" si="84"/>
        <v>0</v>
      </c>
      <c r="AU114" s="127">
        <f t="shared" si="85"/>
        <v>0</v>
      </c>
      <c r="AV114" s="127">
        <f t="shared" si="86"/>
        <v>0</v>
      </c>
    </row>
    <row r="115" spans="1:48" x14ac:dyDescent="0.15">
      <c r="A115" s="29" t="s">
        <v>108</v>
      </c>
      <c r="B115" s="30">
        <f>IF(Data!D110=1, MAX(Data!AA110, Inputs!$E$25) + INDEX(Inputs!$D$38:$D$42, MATCH( Data!AD110, Inputs!$B$38:$B$42, 0), 0), MAX(Data!AA110, Inputs!$E$26) +  INDEX(Inputs!$D$38:$D$42, MATCH( Data!AD110, Inputs!$B$38:$B$42, 0), 0))</f>
        <v>0.201483</v>
      </c>
      <c r="C115" s="141">
        <f>(100*Data!R110)</f>
        <v>0</v>
      </c>
      <c r="D115" s="141">
        <f>ROUND(Data!Q110*C115, 0)</f>
        <v>0</v>
      </c>
      <c r="E115" s="141">
        <f>(100*Data!T110)</f>
        <v>0</v>
      </c>
      <c r="F115" s="141">
        <f>E115*Data!S110</f>
        <v>0</v>
      </c>
      <c r="G115" s="142">
        <f>ROUND(Inputs!$E$21*Data!W110*B115, 0)</f>
        <v>9570617</v>
      </c>
      <c r="H115" s="143">
        <f>IF(G115=0, 0,IF(Inputs!$E$30="Yes", IF(Data!D110=1, MAX(Outputs!D115+Outputs!F115+Outputs!G115, Data!AE110), Outputs!D115+Outputs!F115+Outputs!G115), Outputs!D115+Outputs!F115+Outputs!G115))</f>
        <v>9570617</v>
      </c>
      <c r="I115" s="143">
        <f>INDEX('FY 22 OFA Shell'!$AQ$27:$AQ$195,MATCH(Outputs!A115,'FY 22 OFA Shell'!$I$27:$I$195,0))</f>
        <v>9570617</v>
      </c>
      <c r="J115" s="129">
        <f>H115-Data!AT110</f>
        <v>-1553571</v>
      </c>
      <c r="K115" s="127">
        <f>((H115)/(Data!AT110)) - 1</f>
        <v>-0.13965702485430842</v>
      </c>
      <c r="L115" s="127">
        <f t="shared" si="68"/>
        <v>0</v>
      </c>
      <c r="M115" s="143">
        <f>(IF(Inputs!$E$30="Yes",INDEX(Data!AT:AT,MATCH(Outputs!A115,Data!A:A,0)),INDEX(Data!AS:AS,MATCH(Outputs!A115,Data!A:A,0))))</f>
        <v>11124188</v>
      </c>
      <c r="N115" s="143">
        <f>IF(Inputs!$E$30="Yes",INDEX(Data!BN:BN,MATCH(Outputs!$A115,Data!$A:$A,0)),INDEX(Data!BE:BE,MATCH(Outputs!$A115,Data!$A:$A,0)))</f>
        <v>11124188</v>
      </c>
      <c r="O115" s="143">
        <f>IF(Inputs!$E$30="Yes",INDEX(Data!BO:BO,MATCH(Outputs!$A115,Data!$A:$A,0)),INDEX(Data!BF:BF,MATCH(Outputs!$A115,Data!$A:$A,0)))</f>
        <v>10935747.656300001</v>
      </c>
      <c r="P115" s="143">
        <f>IF(Inputs!$E$30="Yes",INDEX(Data!BP:BP,MATCH(Outputs!$A115,Data!$A:$A,0)),INDEX(Data!BG:BG,MATCH(Outputs!$A115,Data!$A:$A,0)))</f>
        <v>10747307.312600002</v>
      </c>
      <c r="Q115" s="143">
        <f>IF(Inputs!$E$30="Yes",INDEX(Data!BQ:BQ,MATCH(Outputs!$A115,Data!$A:$A,0)),INDEX(Data!BH:BH,MATCH(Outputs!$A115,Data!$A:$A,0)))</f>
        <v>10558866.968900003</v>
      </c>
      <c r="R115" s="143">
        <f>IF(Inputs!$E$30="Yes",INDEX(Data!BR:BR,MATCH(Outputs!$A115,Data!$A:$A,0)),INDEX(Data!BI:BI,MATCH(Outputs!$A115,Data!$A:$A,0)))</f>
        <v>10370426.625200003</v>
      </c>
      <c r="S115" s="143">
        <f>IF(Inputs!$E$30="Yes",INDEX(Data!BS:BS,MATCH(Outputs!$A115,Data!$A:$A,0)),INDEX(Data!BJ:BJ,MATCH(Outputs!$A115,Data!$A:$A,0)))</f>
        <v>10181986.281500004</v>
      </c>
      <c r="T115" s="143">
        <f>IF(Inputs!$E$30="Yes",INDEX(Data!BT:BT,MATCH(Outputs!$A115,Data!$A:$A,0)),INDEX(Data!BK:BK,MATCH(Outputs!$A115,Data!$A:$A,0)))</f>
        <v>9993545.9378000051</v>
      </c>
      <c r="U115" s="143">
        <f>IF(Inputs!$E$30="Yes",INDEX(Data!BU:BU,MATCH(Outputs!$A115,Data!$A:$A,0)),INDEX(Data!BL:BL,MATCH(Outputs!$A115,Data!$A:$A,0)))</f>
        <v>9570617</v>
      </c>
      <c r="V115" s="143">
        <f>INDEX('FY 22 OFA Shell'!$AX$27:$AX$195,MATCH(Outputs!A115,'FY 22 OFA Shell'!$I$27:$I$195,0))</f>
        <v>11124188</v>
      </c>
      <c r="W115" s="143">
        <f>INDEX('FY 23 OFA Shell'!$AX$27:$AX$195,MATCH(Outputs!A115,'FY 23 OFA Shell'!$I$27:$I$195,0))</f>
        <v>11124188</v>
      </c>
      <c r="X115" s="143">
        <f>INDEX('FY 23 OFA Shell'!BK$27:BK$195,MATCH(Outputs!$A115,'FY 23 OFA Shell'!$I$27:$I$195,0))</f>
        <v>10935747.656300001</v>
      </c>
      <c r="Y115" s="143">
        <f>INDEX('FY 23 OFA Shell'!BL$27:BL$195,MATCH(Outputs!$A115,'FY 23 OFA Shell'!$I$27:$I$195,0))</f>
        <v>10747307.312600002</v>
      </c>
      <c r="Z115" s="143">
        <f>INDEX('FY 23 OFA Shell'!BM$27:BM$195,MATCH(Outputs!$A115,'FY 23 OFA Shell'!$I$27:$I$195,0))</f>
        <v>10558866.968900003</v>
      </c>
      <c r="AA115" s="143">
        <f>INDEX('FY 23 OFA Shell'!BN$27:BN$195,MATCH(Outputs!$A115,'FY 23 OFA Shell'!$I$27:$I$195,0))</f>
        <v>10370426.625200003</v>
      </c>
      <c r="AB115" s="143">
        <f>INDEX('FY 23 OFA Shell'!BO$27:BO$195,MATCH(Outputs!$A115,'FY 23 OFA Shell'!$I$27:$I$195,0))</f>
        <v>10181986.281500004</v>
      </c>
      <c r="AC115" s="143">
        <f>INDEX('FY 23 OFA Shell'!BP$27:BP$195,MATCH(Outputs!$A115,'FY 23 OFA Shell'!$I$27:$I$195,0))</f>
        <v>9993545.9378000051</v>
      </c>
      <c r="AD115" s="143">
        <f>INDEX('FY 23 OFA Shell'!BQ$27:BQ$195,MATCH(Outputs!$A115,'FY 23 OFA Shell'!$I$27:$I$195,0))</f>
        <v>9570617</v>
      </c>
      <c r="AE115" s="129">
        <f t="shared" si="69"/>
        <v>0</v>
      </c>
      <c r="AF115" s="129">
        <f t="shared" si="70"/>
        <v>0</v>
      </c>
      <c r="AG115" s="129">
        <f t="shared" si="71"/>
        <v>0</v>
      </c>
      <c r="AH115" s="129">
        <f t="shared" si="72"/>
        <v>0</v>
      </c>
      <c r="AI115" s="129">
        <f t="shared" si="73"/>
        <v>0</v>
      </c>
      <c r="AJ115" s="129">
        <f t="shared" si="74"/>
        <v>0</v>
      </c>
      <c r="AK115" s="129">
        <f t="shared" si="75"/>
        <v>0</v>
      </c>
      <c r="AL115" s="129">
        <f t="shared" si="76"/>
        <v>0</v>
      </c>
      <c r="AM115" s="129">
        <f t="shared" si="77"/>
        <v>0</v>
      </c>
      <c r="AN115" s="127">
        <f t="shared" si="78"/>
        <v>0</v>
      </c>
      <c r="AO115" s="127">
        <f t="shared" si="79"/>
        <v>0</v>
      </c>
      <c r="AP115" s="127">
        <f t="shared" si="80"/>
        <v>0</v>
      </c>
      <c r="AQ115" s="127">
        <f t="shared" si="81"/>
        <v>0</v>
      </c>
      <c r="AR115" s="127">
        <f t="shared" si="82"/>
        <v>0</v>
      </c>
      <c r="AS115" s="127">
        <f t="shared" si="83"/>
        <v>0</v>
      </c>
      <c r="AT115" s="127">
        <f t="shared" si="84"/>
        <v>0</v>
      </c>
      <c r="AU115" s="127">
        <f t="shared" si="85"/>
        <v>0</v>
      </c>
      <c r="AV115" s="127">
        <f t="shared" si="86"/>
        <v>0</v>
      </c>
    </row>
    <row r="116" spans="1:48" x14ac:dyDescent="0.15">
      <c r="A116" s="29" t="s">
        <v>109</v>
      </c>
      <c r="B116" s="30">
        <f>IF(Data!D111=1, MAX(Data!AA111, Inputs!$E$25) + INDEX(Inputs!$D$38:$D$42, MATCH( Data!AD111, Inputs!$B$38:$B$42, 0), 0), MAX(Data!AA111, Inputs!$E$26) +  INDEX(Inputs!$D$38:$D$42, MATCH( Data!AD111, Inputs!$B$38:$B$42, 0), 0))</f>
        <v>8.5921999999999998E-2</v>
      </c>
      <c r="C116" s="141">
        <f>(100*Data!R111)</f>
        <v>0</v>
      </c>
      <c r="D116" s="141">
        <f>ROUND(Data!Q111*C116, 0)</f>
        <v>0</v>
      </c>
      <c r="E116" s="141">
        <f>(100*Data!T111)</f>
        <v>0</v>
      </c>
      <c r="F116" s="141">
        <f>E116*Data!S111</f>
        <v>0</v>
      </c>
      <c r="G116" s="142">
        <f>ROUND(Inputs!$E$21*Data!W111*B116, 0)</f>
        <v>4173383</v>
      </c>
      <c r="H116" s="143">
        <f>IF(G116=0, 0,IF(Inputs!$E$30="Yes", IF(Data!D111=1, MAX(Outputs!D116+Outputs!F116+Outputs!G116, Data!AE111), Outputs!D116+Outputs!F116+Outputs!G116), Outputs!D116+Outputs!F116+Outputs!G116))</f>
        <v>4173383</v>
      </c>
      <c r="I116" s="143">
        <f>INDEX('FY 22 OFA Shell'!$AQ$27:$AQ$195,MATCH(Outputs!A116,'FY 22 OFA Shell'!$I$27:$I$195,0))</f>
        <v>4173383</v>
      </c>
      <c r="J116" s="129">
        <f>H116-Data!AT111</f>
        <v>-322308</v>
      </c>
      <c r="K116" s="127">
        <f>((H116)/(Data!AT111)) - 1</f>
        <v>-7.1692649695007993E-2</v>
      </c>
      <c r="L116" s="127">
        <f t="shared" ref="L116:L147" si="87">IFERROR(H116/I116-1, 0)</f>
        <v>0</v>
      </c>
      <c r="M116" s="143">
        <f>(IF(Inputs!$E$30="Yes",INDEX(Data!AT:AT,MATCH(Outputs!A116,Data!A:A,0)),INDEX(Data!AS:AS,MATCH(Outputs!A116,Data!A:A,0))))</f>
        <v>4495691</v>
      </c>
      <c r="N116" s="143">
        <f>IF(Inputs!$E$30="Yes",INDEX(Data!BN:BN,MATCH(Outputs!$A116,Data!$A:$A,0)),INDEX(Data!BE:BE,MATCH(Outputs!$A116,Data!$A:$A,0)))</f>
        <v>4495691</v>
      </c>
      <c r="O116" s="143">
        <f>IF(Inputs!$E$30="Yes",INDEX(Data!BO:BO,MATCH(Outputs!$A116,Data!$A:$A,0)),INDEX(Data!BF:BF,MATCH(Outputs!$A116,Data!$A:$A,0)))</f>
        <v>4435668.2686999999</v>
      </c>
      <c r="P116" s="143">
        <f>IF(Inputs!$E$30="Yes",INDEX(Data!BP:BP,MATCH(Outputs!$A116,Data!$A:$A,0)),INDEX(Data!BG:BG,MATCH(Outputs!$A116,Data!$A:$A,0)))</f>
        <v>4375645.5373999998</v>
      </c>
      <c r="Q116" s="143">
        <f>IF(Inputs!$E$30="Yes",INDEX(Data!BQ:BQ,MATCH(Outputs!$A116,Data!$A:$A,0)),INDEX(Data!BH:BH,MATCH(Outputs!$A116,Data!$A:$A,0)))</f>
        <v>4315622.8060999997</v>
      </c>
      <c r="R116" s="143">
        <f>IF(Inputs!$E$30="Yes",INDEX(Data!BR:BR,MATCH(Outputs!$A116,Data!$A:$A,0)),INDEX(Data!BI:BI,MATCH(Outputs!$A116,Data!$A:$A,0)))</f>
        <v>4255600.0747999996</v>
      </c>
      <c r="S116" s="143">
        <f>IF(Inputs!$E$30="Yes",INDEX(Data!BS:BS,MATCH(Outputs!$A116,Data!$A:$A,0)),INDEX(Data!BJ:BJ,MATCH(Outputs!$A116,Data!$A:$A,0)))</f>
        <v>4195577.3434999995</v>
      </c>
      <c r="T116" s="143">
        <f>IF(Inputs!$E$30="Yes",INDEX(Data!BT:BT,MATCH(Outputs!$A116,Data!$A:$A,0)),INDEX(Data!BK:BK,MATCH(Outputs!$A116,Data!$A:$A,0)))</f>
        <v>4135554.6121999994</v>
      </c>
      <c r="U116" s="143">
        <f>IF(Inputs!$E$30="Yes",INDEX(Data!BU:BU,MATCH(Outputs!$A116,Data!$A:$A,0)),INDEX(Data!BL:BL,MATCH(Outputs!$A116,Data!$A:$A,0)))</f>
        <v>4173383</v>
      </c>
      <c r="V116" s="143">
        <f>INDEX('FY 22 OFA Shell'!$AX$27:$AX$195,MATCH(Outputs!A116,'FY 22 OFA Shell'!$I$27:$I$195,0))</f>
        <v>4495691</v>
      </c>
      <c r="W116" s="143">
        <f>INDEX('FY 23 OFA Shell'!$AX$27:$AX$195,MATCH(Outputs!A116,'FY 23 OFA Shell'!$I$27:$I$195,0))</f>
        <v>4495691</v>
      </c>
      <c r="X116" s="143">
        <f>INDEX('FY 23 OFA Shell'!BK$27:BK$195,MATCH(Outputs!$A116,'FY 23 OFA Shell'!$I$27:$I$195,0))</f>
        <v>4435668.2686999999</v>
      </c>
      <c r="Y116" s="143">
        <f>INDEX('FY 23 OFA Shell'!BL$27:BL$195,MATCH(Outputs!$A116,'FY 23 OFA Shell'!$I$27:$I$195,0))</f>
        <v>4375645.5373999998</v>
      </c>
      <c r="Z116" s="143">
        <f>INDEX('FY 23 OFA Shell'!BM$27:BM$195,MATCH(Outputs!$A116,'FY 23 OFA Shell'!$I$27:$I$195,0))</f>
        <v>4315622.8060999997</v>
      </c>
      <c r="AA116" s="143">
        <f>INDEX('FY 23 OFA Shell'!BN$27:BN$195,MATCH(Outputs!$A116,'FY 23 OFA Shell'!$I$27:$I$195,0))</f>
        <v>4255600.0747999996</v>
      </c>
      <c r="AB116" s="143">
        <f>INDEX('FY 23 OFA Shell'!BO$27:BO$195,MATCH(Outputs!$A116,'FY 23 OFA Shell'!$I$27:$I$195,0))</f>
        <v>4195577.3434999995</v>
      </c>
      <c r="AC116" s="143">
        <f>INDEX('FY 23 OFA Shell'!BP$27:BP$195,MATCH(Outputs!$A116,'FY 23 OFA Shell'!$I$27:$I$195,0))</f>
        <v>4135554.6121999994</v>
      </c>
      <c r="AD116" s="143">
        <f>INDEX('FY 23 OFA Shell'!BQ$27:BQ$195,MATCH(Outputs!$A116,'FY 23 OFA Shell'!$I$27:$I$195,0))</f>
        <v>4173383</v>
      </c>
      <c r="AE116" s="129">
        <f t="shared" si="69"/>
        <v>0</v>
      </c>
      <c r="AF116" s="129">
        <f t="shared" si="70"/>
        <v>0</v>
      </c>
      <c r="AG116" s="129">
        <f t="shared" si="71"/>
        <v>0</v>
      </c>
      <c r="AH116" s="129">
        <f t="shared" si="72"/>
        <v>0</v>
      </c>
      <c r="AI116" s="129">
        <f t="shared" si="73"/>
        <v>0</v>
      </c>
      <c r="AJ116" s="129">
        <f t="shared" si="74"/>
        <v>0</v>
      </c>
      <c r="AK116" s="129">
        <f t="shared" si="75"/>
        <v>0</v>
      </c>
      <c r="AL116" s="129">
        <f t="shared" si="76"/>
        <v>0</v>
      </c>
      <c r="AM116" s="129">
        <f t="shared" si="77"/>
        <v>0</v>
      </c>
      <c r="AN116" s="127">
        <f t="shared" si="78"/>
        <v>0</v>
      </c>
      <c r="AO116" s="127">
        <f t="shared" si="79"/>
        <v>0</v>
      </c>
      <c r="AP116" s="127">
        <f t="shared" si="80"/>
        <v>0</v>
      </c>
      <c r="AQ116" s="127">
        <f t="shared" si="81"/>
        <v>0</v>
      </c>
      <c r="AR116" s="127">
        <f t="shared" si="82"/>
        <v>0</v>
      </c>
      <c r="AS116" s="127">
        <f t="shared" si="83"/>
        <v>0</v>
      </c>
      <c r="AT116" s="127">
        <f t="shared" si="84"/>
        <v>0</v>
      </c>
      <c r="AU116" s="127">
        <f t="shared" si="85"/>
        <v>0</v>
      </c>
      <c r="AV116" s="127">
        <f t="shared" si="86"/>
        <v>0</v>
      </c>
    </row>
    <row r="117" spans="1:48" x14ac:dyDescent="0.15">
      <c r="A117" s="29" t="s">
        <v>110</v>
      </c>
      <c r="B117" s="30">
        <f>IF(Data!D112=1, MAX(Data!AA112, Inputs!$E$25) + INDEX(Inputs!$D$38:$D$42, MATCH( Data!AD112, Inputs!$B$38:$B$42, 0), 0), MAX(Data!AA112, Inputs!$E$26) +  INDEX(Inputs!$D$38:$D$42, MATCH( Data!AD112, Inputs!$B$38:$B$42, 0), 0))</f>
        <v>0.01</v>
      </c>
      <c r="C117" s="141">
        <f>(100*Data!R112)</f>
        <v>600</v>
      </c>
      <c r="D117" s="141">
        <f>ROUND(Data!Q112*C117, 0)</f>
        <v>43200</v>
      </c>
      <c r="E117" s="141">
        <f>(100*Data!T112)</f>
        <v>0</v>
      </c>
      <c r="F117" s="141">
        <f>E117*Data!S112</f>
        <v>0</v>
      </c>
      <c r="G117" s="142">
        <f>ROUND(Inputs!$E$21*Data!W112*B117, 0)</f>
        <v>19448</v>
      </c>
      <c r="H117" s="143">
        <f>IF(G117=0, 0,IF(Inputs!$E$30="Yes", IF(Data!D112=1, MAX(Outputs!D117+Outputs!F117+Outputs!G117, Data!AE112), Outputs!D117+Outputs!F117+Outputs!G117), Outputs!D117+Outputs!F117+Outputs!G117))</f>
        <v>62648</v>
      </c>
      <c r="I117" s="143">
        <f>INDEX('FY 22 OFA Shell'!$AQ$27:$AQ$195,MATCH(Outputs!A117,'FY 22 OFA Shell'!$I$27:$I$195,0))</f>
        <v>62648</v>
      </c>
      <c r="J117" s="129">
        <f>H117-Data!AT112</f>
        <v>32781.602200000001</v>
      </c>
      <c r="K117" s="127">
        <f>((H117)/(Data!AT112)) - 1</f>
        <v>1.0976081688699666</v>
      </c>
      <c r="L117" s="127">
        <f t="shared" si="87"/>
        <v>0</v>
      </c>
      <c r="M117" s="143">
        <f>(IF(Inputs!$E$30="Yes",INDEX(Data!AT:AT,MATCH(Outputs!A117,Data!A:A,0)),INDEX(Data!AS:AS,MATCH(Outputs!A117,Data!A:A,0))))</f>
        <v>29866.397799999999</v>
      </c>
      <c r="N117" s="143">
        <f>IF(Inputs!$E$30="Yes",INDEX(Data!BN:BN,MATCH(Outputs!$A117,Data!$A:$A,0)),INDEX(Data!BE:BE,MATCH(Outputs!$A117,Data!$A:$A,0)))</f>
        <v>33792.795599999998</v>
      </c>
      <c r="O117" s="143">
        <f>IF(Inputs!$E$30="Yes",INDEX(Data!BO:BO,MATCH(Outputs!$A117,Data!$A:$A,0)),INDEX(Data!BF:BF,MATCH(Outputs!$A117,Data!$A:$A,0)))</f>
        <v>37719.193399999996</v>
      </c>
      <c r="P117" s="143">
        <f>IF(Inputs!$E$30="Yes",INDEX(Data!BP:BP,MATCH(Outputs!$A117,Data!$A:$A,0)),INDEX(Data!BG:BG,MATCH(Outputs!$A117,Data!$A:$A,0)))</f>
        <v>41645.591199999995</v>
      </c>
      <c r="Q117" s="143">
        <f>IF(Inputs!$E$30="Yes",INDEX(Data!BQ:BQ,MATCH(Outputs!$A117,Data!$A:$A,0)),INDEX(Data!BH:BH,MATCH(Outputs!$A117,Data!$A:$A,0)))</f>
        <v>45571.988999999994</v>
      </c>
      <c r="R117" s="143">
        <f>IF(Inputs!$E$30="Yes",INDEX(Data!BR:BR,MATCH(Outputs!$A117,Data!$A:$A,0)),INDEX(Data!BI:BI,MATCH(Outputs!$A117,Data!$A:$A,0)))</f>
        <v>49498.386799999993</v>
      </c>
      <c r="S117" s="143">
        <f>IF(Inputs!$E$30="Yes",INDEX(Data!BS:BS,MATCH(Outputs!$A117,Data!$A:$A,0)),INDEX(Data!BJ:BJ,MATCH(Outputs!$A117,Data!$A:$A,0)))</f>
        <v>62648</v>
      </c>
      <c r="T117" s="143">
        <f>IF(Inputs!$E$30="Yes",INDEX(Data!BT:BT,MATCH(Outputs!$A117,Data!$A:$A,0)),INDEX(Data!BK:BK,MATCH(Outputs!$A117,Data!$A:$A,0)))</f>
        <v>62648</v>
      </c>
      <c r="U117" s="143">
        <f>IF(Inputs!$E$30="Yes",INDEX(Data!BU:BU,MATCH(Outputs!$A117,Data!$A:$A,0)),INDEX(Data!BL:BL,MATCH(Outputs!$A117,Data!$A:$A,0)))</f>
        <v>62648</v>
      </c>
      <c r="V117" s="143">
        <f>INDEX('FY 22 OFA Shell'!$AX$27:$AX$195,MATCH(Outputs!A117,'FY 22 OFA Shell'!$I$27:$I$195,0))</f>
        <v>29866.397799999999</v>
      </c>
      <c r="W117" s="143">
        <f>INDEX('FY 23 OFA Shell'!$AX$27:$AX$195,MATCH(Outputs!A117,'FY 23 OFA Shell'!$I$27:$I$195,0))</f>
        <v>33792.795599999998</v>
      </c>
      <c r="X117" s="143">
        <f>INDEX('FY 23 OFA Shell'!BK$27:BK$195,MATCH(Outputs!$A117,'FY 23 OFA Shell'!$I$27:$I$195,0))</f>
        <v>37719.193399999996</v>
      </c>
      <c r="Y117" s="143">
        <f>INDEX('FY 23 OFA Shell'!BL$27:BL$195,MATCH(Outputs!$A117,'FY 23 OFA Shell'!$I$27:$I$195,0))</f>
        <v>41645.591199999995</v>
      </c>
      <c r="Z117" s="143">
        <f>INDEX('FY 23 OFA Shell'!BM$27:BM$195,MATCH(Outputs!$A117,'FY 23 OFA Shell'!$I$27:$I$195,0))</f>
        <v>45571.988999999994</v>
      </c>
      <c r="AA117" s="143">
        <f>INDEX('FY 23 OFA Shell'!BN$27:BN$195,MATCH(Outputs!$A117,'FY 23 OFA Shell'!$I$27:$I$195,0))</f>
        <v>49498.386799999993</v>
      </c>
      <c r="AB117" s="143">
        <f>INDEX('FY 23 OFA Shell'!BO$27:BO$195,MATCH(Outputs!$A117,'FY 23 OFA Shell'!$I$27:$I$195,0))</f>
        <v>62648</v>
      </c>
      <c r="AC117" s="143">
        <f>INDEX('FY 23 OFA Shell'!BP$27:BP$195,MATCH(Outputs!$A117,'FY 23 OFA Shell'!$I$27:$I$195,0))</f>
        <v>62648</v>
      </c>
      <c r="AD117" s="143">
        <f>INDEX('FY 23 OFA Shell'!BQ$27:BQ$195,MATCH(Outputs!$A117,'FY 23 OFA Shell'!$I$27:$I$195,0))</f>
        <v>62648</v>
      </c>
      <c r="AE117" s="129">
        <f t="shared" si="69"/>
        <v>0</v>
      </c>
      <c r="AF117" s="129">
        <f t="shared" si="70"/>
        <v>0</v>
      </c>
      <c r="AG117" s="129">
        <f t="shared" si="71"/>
        <v>0</v>
      </c>
      <c r="AH117" s="129">
        <f t="shared" si="72"/>
        <v>0</v>
      </c>
      <c r="AI117" s="129">
        <f t="shared" si="73"/>
        <v>0</v>
      </c>
      <c r="AJ117" s="129">
        <f t="shared" si="74"/>
        <v>0</v>
      </c>
      <c r="AK117" s="129">
        <f t="shared" si="75"/>
        <v>0</v>
      </c>
      <c r="AL117" s="129">
        <f t="shared" si="76"/>
        <v>0</v>
      </c>
      <c r="AM117" s="129">
        <f t="shared" si="77"/>
        <v>0</v>
      </c>
      <c r="AN117" s="127">
        <f t="shared" si="78"/>
        <v>0</v>
      </c>
      <c r="AO117" s="127">
        <f t="shared" si="79"/>
        <v>0</v>
      </c>
      <c r="AP117" s="127">
        <f t="shared" si="80"/>
        <v>0</v>
      </c>
      <c r="AQ117" s="127">
        <f t="shared" si="81"/>
        <v>0</v>
      </c>
      <c r="AR117" s="127">
        <f t="shared" si="82"/>
        <v>0</v>
      </c>
      <c r="AS117" s="127">
        <f t="shared" si="83"/>
        <v>0</v>
      </c>
      <c r="AT117" s="127">
        <f t="shared" si="84"/>
        <v>0</v>
      </c>
      <c r="AU117" s="127">
        <f t="shared" si="85"/>
        <v>0</v>
      </c>
      <c r="AV117" s="127">
        <f t="shared" si="86"/>
        <v>0</v>
      </c>
    </row>
    <row r="118" spans="1:48" x14ac:dyDescent="0.15">
      <c r="A118" s="29" t="s">
        <v>111</v>
      </c>
      <c r="B118" s="30">
        <f>IF(Data!D113=1, MAX(Data!AA113, Inputs!$E$25) + INDEX(Inputs!$D$38:$D$42, MATCH( Data!AD113, Inputs!$B$38:$B$42, 0), 0), MAX(Data!AA113, Inputs!$E$26) +  INDEX(Inputs!$D$38:$D$42, MATCH( Data!AD113, Inputs!$B$38:$B$42, 0), 0))</f>
        <v>0.31112899999999999</v>
      </c>
      <c r="C118" s="141">
        <f>(100*Data!R113)</f>
        <v>0</v>
      </c>
      <c r="D118" s="141">
        <f>ROUND(Data!Q113*C118, 0)</f>
        <v>0</v>
      </c>
      <c r="E118" s="141">
        <f>(100*Data!T113)</f>
        <v>0</v>
      </c>
      <c r="F118" s="141">
        <f>E118*Data!S113</f>
        <v>0</v>
      </c>
      <c r="G118" s="142">
        <f>ROUND(Inputs!$E$21*Data!W113*B118, 0)</f>
        <v>6409549</v>
      </c>
      <c r="H118" s="143">
        <f>IF(G118=0, 0,IF(Inputs!$E$30="Yes", IF(Data!D113=1, MAX(Outputs!D118+Outputs!F118+Outputs!G118, Data!AE113), Outputs!D118+Outputs!F118+Outputs!G118), Outputs!D118+Outputs!F118+Outputs!G118))</f>
        <v>6409549</v>
      </c>
      <c r="I118" s="143">
        <f>INDEX('FY 22 OFA Shell'!$AQ$27:$AQ$195,MATCH(Outputs!A118,'FY 22 OFA Shell'!$I$27:$I$195,0))</f>
        <v>6409549</v>
      </c>
      <c r="J118" s="129">
        <f>H118-Data!AT113</f>
        <v>-921776</v>
      </c>
      <c r="K118" s="127">
        <f>((H118)/(Data!AT113)) - 1</f>
        <v>-0.12573116046553656</v>
      </c>
      <c r="L118" s="127">
        <f t="shared" si="87"/>
        <v>0</v>
      </c>
      <c r="M118" s="143">
        <f>(IF(Inputs!$E$30="Yes",INDEX(Data!AT:AT,MATCH(Outputs!A118,Data!A:A,0)),INDEX(Data!AS:AS,MATCH(Outputs!A118,Data!A:A,0))))</f>
        <v>7331325</v>
      </c>
      <c r="N118" s="143">
        <f>IF(Inputs!$E$30="Yes",INDEX(Data!BN:BN,MATCH(Outputs!$A118,Data!$A:$A,0)),INDEX(Data!BE:BE,MATCH(Outputs!$A118,Data!$A:$A,0)))</f>
        <v>7331325</v>
      </c>
      <c r="O118" s="143">
        <f>IF(Inputs!$E$30="Yes",INDEX(Data!BO:BO,MATCH(Outputs!$A118,Data!$A:$A,0)),INDEX(Data!BF:BF,MATCH(Outputs!$A118,Data!$A:$A,0)))</f>
        <v>7192444.9908999996</v>
      </c>
      <c r="P118" s="143">
        <f>IF(Inputs!$E$30="Yes",INDEX(Data!BP:BP,MATCH(Outputs!$A118,Data!$A:$A,0)),INDEX(Data!BG:BG,MATCH(Outputs!$A118,Data!$A:$A,0)))</f>
        <v>7053564.9817999993</v>
      </c>
      <c r="Q118" s="143">
        <f>IF(Inputs!$E$30="Yes",INDEX(Data!BQ:BQ,MATCH(Outputs!$A118,Data!$A:$A,0)),INDEX(Data!BH:BH,MATCH(Outputs!$A118,Data!$A:$A,0)))</f>
        <v>6914684.9726999989</v>
      </c>
      <c r="R118" s="143">
        <f>IF(Inputs!$E$30="Yes",INDEX(Data!BR:BR,MATCH(Outputs!$A118,Data!$A:$A,0)),INDEX(Data!BI:BI,MATCH(Outputs!$A118,Data!$A:$A,0)))</f>
        <v>6775804.9635999985</v>
      </c>
      <c r="S118" s="143">
        <f>IF(Inputs!$E$30="Yes",INDEX(Data!BS:BS,MATCH(Outputs!$A118,Data!$A:$A,0)),INDEX(Data!BJ:BJ,MATCH(Outputs!$A118,Data!$A:$A,0)))</f>
        <v>6636924.9544999981</v>
      </c>
      <c r="T118" s="143">
        <f>IF(Inputs!$E$30="Yes",INDEX(Data!BT:BT,MATCH(Outputs!$A118,Data!$A:$A,0)),INDEX(Data!BK:BK,MATCH(Outputs!$A118,Data!$A:$A,0)))</f>
        <v>6498044.9453999978</v>
      </c>
      <c r="U118" s="143">
        <f>IF(Inputs!$E$30="Yes",INDEX(Data!BU:BU,MATCH(Outputs!$A118,Data!$A:$A,0)),INDEX(Data!BL:BL,MATCH(Outputs!$A118,Data!$A:$A,0)))</f>
        <v>6409549</v>
      </c>
      <c r="V118" s="143">
        <f>INDEX('FY 22 OFA Shell'!$AX$27:$AX$195,MATCH(Outputs!A118,'FY 22 OFA Shell'!$I$27:$I$195,0))</f>
        <v>7331325</v>
      </c>
      <c r="W118" s="143">
        <f>INDEX('FY 23 OFA Shell'!$AX$27:$AX$195,MATCH(Outputs!A118,'FY 23 OFA Shell'!$I$27:$I$195,0))</f>
        <v>7331325</v>
      </c>
      <c r="X118" s="143">
        <f>INDEX('FY 23 OFA Shell'!BK$27:BK$195,MATCH(Outputs!$A118,'FY 23 OFA Shell'!$I$27:$I$195,0))</f>
        <v>7192444.9908999996</v>
      </c>
      <c r="Y118" s="143">
        <f>INDEX('FY 23 OFA Shell'!BL$27:BL$195,MATCH(Outputs!$A118,'FY 23 OFA Shell'!$I$27:$I$195,0))</f>
        <v>7053564.9817999993</v>
      </c>
      <c r="Z118" s="143">
        <f>INDEX('FY 23 OFA Shell'!BM$27:BM$195,MATCH(Outputs!$A118,'FY 23 OFA Shell'!$I$27:$I$195,0))</f>
        <v>6914684.9726999989</v>
      </c>
      <c r="AA118" s="143">
        <f>INDEX('FY 23 OFA Shell'!BN$27:BN$195,MATCH(Outputs!$A118,'FY 23 OFA Shell'!$I$27:$I$195,0))</f>
        <v>6775804.9635999985</v>
      </c>
      <c r="AB118" s="143">
        <f>INDEX('FY 23 OFA Shell'!BO$27:BO$195,MATCH(Outputs!$A118,'FY 23 OFA Shell'!$I$27:$I$195,0))</f>
        <v>6636924.9544999981</v>
      </c>
      <c r="AC118" s="143">
        <f>INDEX('FY 23 OFA Shell'!BP$27:BP$195,MATCH(Outputs!$A118,'FY 23 OFA Shell'!$I$27:$I$195,0))</f>
        <v>6498044.9453999978</v>
      </c>
      <c r="AD118" s="143">
        <f>INDEX('FY 23 OFA Shell'!BQ$27:BQ$195,MATCH(Outputs!$A118,'FY 23 OFA Shell'!$I$27:$I$195,0))</f>
        <v>6409549</v>
      </c>
      <c r="AE118" s="129">
        <f t="shared" si="69"/>
        <v>0</v>
      </c>
      <c r="AF118" s="129">
        <f t="shared" si="70"/>
        <v>0</v>
      </c>
      <c r="AG118" s="129">
        <f t="shared" si="71"/>
        <v>0</v>
      </c>
      <c r="AH118" s="129">
        <f t="shared" si="72"/>
        <v>0</v>
      </c>
      <c r="AI118" s="129">
        <f t="shared" si="73"/>
        <v>0</v>
      </c>
      <c r="AJ118" s="129">
        <f t="shared" si="74"/>
        <v>0</v>
      </c>
      <c r="AK118" s="129">
        <f t="shared" si="75"/>
        <v>0</v>
      </c>
      <c r="AL118" s="129">
        <f t="shared" si="76"/>
        <v>0</v>
      </c>
      <c r="AM118" s="129">
        <f t="shared" si="77"/>
        <v>0</v>
      </c>
      <c r="AN118" s="127">
        <f t="shared" si="78"/>
        <v>0</v>
      </c>
      <c r="AO118" s="127">
        <f t="shared" si="79"/>
        <v>0</v>
      </c>
      <c r="AP118" s="127">
        <f t="shared" si="80"/>
        <v>0</v>
      </c>
      <c r="AQ118" s="127">
        <f t="shared" si="81"/>
        <v>0</v>
      </c>
      <c r="AR118" s="127">
        <f t="shared" si="82"/>
        <v>0</v>
      </c>
      <c r="AS118" s="127">
        <f t="shared" si="83"/>
        <v>0</v>
      </c>
      <c r="AT118" s="127">
        <f t="shared" si="84"/>
        <v>0</v>
      </c>
      <c r="AU118" s="127">
        <f t="shared" si="85"/>
        <v>0</v>
      </c>
      <c r="AV118" s="127">
        <f t="shared" si="86"/>
        <v>0</v>
      </c>
    </row>
    <row r="119" spans="1:48" x14ac:dyDescent="0.15">
      <c r="A119" s="29" t="s">
        <v>112</v>
      </c>
      <c r="B119" s="30">
        <f>IF(Data!D114=1, MAX(Data!AA114, Inputs!$E$25) + INDEX(Inputs!$D$38:$D$42, MATCH( Data!AD114, Inputs!$B$38:$B$42, 0), 0), MAX(Data!AA114, Inputs!$E$26) +  INDEX(Inputs!$D$38:$D$42, MATCH( Data!AD114, Inputs!$B$38:$B$42, 0), 0))</f>
        <v>0.35265000000000002</v>
      </c>
      <c r="C119" s="141">
        <f>(100*Data!R114)</f>
        <v>400</v>
      </c>
      <c r="D119" s="141">
        <f>ROUND(Data!Q114*C119, 0)</f>
        <v>42400</v>
      </c>
      <c r="E119" s="141">
        <f>(100*Data!T114)</f>
        <v>0</v>
      </c>
      <c r="F119" s="141">
        <f>E119*Data!S114</f>
        <v>0</v>
      </c>
      <c r="G119" s="142">
        <f>ROUND(Inputs!$E$21*Data!W114*B119, 0)</f>
        <v>1659084</v>
      </c>
      <c r="H119" s="143">
        <f>IF(G119=0, 0,IF(Inputs!$E$30="Yes", IF(Data!D114=1, MAX(Outputs!D119+Outputs!F119+Outputs!G119, Data!AE114), Outputs!D119+Outputs!F119+Outputs!G119), Outputs!D119+Outputs!F119+Outputs!G119))</f>
        <v>1701484</v>
      </c>
      <c r="I119" s="143">
        <f>INDEX('FY 22 OFA Shell'!$AQ$27:$AQ$195,MATCH(Outputs!A119,'FY 22 OFA Shell'!$I$27:$I$195,0))</f>
        <v>1701484</v>
      </c>
      <c r="J119" s="129">
        <f>H119-Data!AT114</f>
        <v>-80470</v>
      </c>
      <c r="K119" s="127">
        <f>((H119)/(Data!AT114)) - 1</f>
        <v>-4.5158292526069732E-2</v>
      </c>
      <c r="L119" s="127">
        <f t="shared" si="87"/>
        <v>0</v>
      </c>
      <c r="M119" s="143">
        <f>(IF(Inputs!$E$30="Yes",INDEX(Data!AT:AT,MATCH(Outputs!A119,Data!A:A,0)),INDEX(Data!AS:AS,MATCH(Outputs!A119,Data!A:A,0))))</f>
        <v>1781954</v>
      </c>
      <c r="N119" s="143">
        <f>IF(Inputs!$E$30="Yes",INDEX(Data!BN:BN,MATCH(Outputs!$A119,Data!$A:$A,0)),INDEX(Data!BE:BE,MATCH(Outputs!$A119,Data!$A:$A,0)))</f>
        <v>1781954</v>
      </c>
      <c r="O119" s="143">
        <f>IF(Inputs!$E$30="Yes",INDEX(Data!BO:BO,MATCH(Outputs!$A119,Data!$A:$A,0)),INDEX(Data!BF:BF,MATCH(Outputs!$A119,Data!$A:$A,0)))</f>
        <v>1753402.1753</v>
      </c>
      <c r="P119" s="143">
        <f>IF(Inputs!$E$30="Yes",INDEX(Data!BP:BP,MATCH(Outputs!$A119,Data!$A:$A,0)),INDEX(Data!BG:BG,MATCH(Outputs!$A119,Data!$A:$A,0)))</f>
        <v>1724850.3506</v>
      </c>
      <c r="Q119" s="143">
        <f>IF(Inputs!$E$30="Yes",INDEX(Data!BQ:BQ,MATCH(Outputs!$A119,Data!$A:$A,0)),INDEX(Data!BH:BH,MATCH(Outputs!$A119,Data!$A:$A,0)))</f>
        <v>1696298.5259</v>
      </c>
      <c r="R119" s="143">
        <f>IF(Inputs!$E$30="Yes",INDEX(Data!BR:BR,MATCH(Outputs!$A119,Data!$A:$A,0)),INDEX(Data!BI:BI,MATCH(Outputs!$A119,Data!$A:$A,0)))</f>
        <v>1667746.7012</v>
      </c>
      <c r="S119" s="143">
        <f>IF(Inputs!$E$30="Yes",INDEX(Data!BS:BS,MATCH(Outputs!$A119,Data!$A:$A,0)),INDEX(Data!BJ:BJ,MATCH(Outputs!$A119,Data!$A:$A,0)))</f>
        <v>1639194.8765</v>
      </c>
      <c r="T119" s="143">
        <f>IF(Inputs!$E$30="Yes",INDEX(Data!BT:BT,MATCH(Outputs!$A119,Data!$A:$A,0)),INDEX(Data!BK:BK,MATCH(Outputs!$A119,Data!$A:$A,0)))</f>
        <v>1610643.0518</v>
      </c>
      <c r="U119" s="143">
        <f>IF(Inputs!$E$30="Yes",INDEX(Data!BU:BU,MATCH(Outputs!$A119,Data!$A:$A,0)),INDEX(Data!BL:BL,MATCH(Outputs!$A119,Data!$A:$A,0)))</f>
        <v>1701484</v>
      </c>
      <c r="V119" s="143">
        <f>INDEX('FY 22 OFA Shell'!$AX$27:$AX$195,MATCH(Outputs!A119,'FY 22 OFA Shell'!$I$27:$I$195,0))</f>
        <v>1781954</v>
      </c>
      <c r="W119" s="143">
        <f>INDEX('FY 23 OFA Shell'!$AX$27:$AX$195,MATCH(Outputs!A119,'FY 23 OFA Shell'!$I$27:$I$195,0))</f>
        <v>1781954</v>
      </c>
      <c r="X119" s="143">
        <f>INDEX('FY 23 OFA Shell'!BK$27:BK$195,MATCH(Outputs!$A119,'FY 23 OFA Shell'!$I$27:$I$195,0))</f>
        <v>1753402.1753</v>
      </c>
      <c r="Y119" s="143">
        <f>INDEX('FY 23 OFA Shell'!BL$27:BL$195,MATCH(Outputs!$A119,'FY 23 OFA Shell'!$I$27:$I$195,0))</f>
        <v>1724850.3506</v>
      </c>
      <c r="Z119" s="143">
        <f>INDEX('FY 23 OFA Shell'!BM$27:BM$195,MATCH(Outputs!$A119,'FY 23 OFA Shell'!$I$27:$I$195,0))</f>
        <v>1696298.5259</v>
      </c>
      <c r="AA119" s="143">
        <f>INDEX('FY 23 OFA Shell'!BN$27:BN$195,MATCH(Outputs!$A119,'FY 23 OFA Shell'!$I$27:$I$195,0))</f>
        <v>1667746.7012</v>
      </c>
      <c r="AB119" s="143">
        <f>INDEX('FY 23 OFA Shell'!BO$27:BO$195,MATCH(Outputs!$A119,'FY 23 OFA Shell'!$I$27:$I$195,0))</f>
        <v>1639194.8765</v>
      </c>
      <c r="AC119" s="143">
        <f>INDEX('FY 23 OFA Shell'!BP$27:BP$195,MATCH(Outputs!$A119,'FY 23 OFA Shell'!$I$27:$I$195,0))</f>
        <v>1610643.0518</v>
      </c>
      <c r="AD119" s="143">
        <f>INDEX('FY 23 OFA Shell'!BQ$27:BQ$195,MATCH(Outputs!$A119,'FY 23 OFA Shell'!$I$27:$I$195,0))</f>
        <v>1701484</v>
      </c>
      <c r="AE119" s="129">
        <f t="shared" si="69"/>
        <v>0</v>
      </c>
      <c r="AF119" s="129">
        <f t="shared" si="70"/>
        <v>0</v>
      </c>
      <c r="AG119" s="129">
        <f t="shared" si="71"/>
        <v>0</v>
      </c>
      <c r="AH119" s="129">
        <f t="shared" si="72"/>
        <v>0</v>
      </c>
      <c r="AI119" s="129">
        <f t="shared" si="73"/>
        <v>0</v>
      </c>
      <c r="AJ119" s="129">
        <f t="shared" si="74"/>
        <v>0</v>
      </c>
      <c r="AK119" s="129">
        <f t="shared" si="75"/>
        <v>0</v>
      </c>
      <c r="AL119" s="129">
        <f t="shared" si="76"/>
        <v>0</v>
      </c>
      <c r="AM119" s="129">
        <f t="shared" si="77"/>
        <v>0</v>
      </c>
      <c r="AN119" s="127">
        <f t="shared" si="78"/>
        <v>0</v>
      </c>
      <c r="AO119" s="127">
        <f t="shared" si="79"/>
        <v>0</v>
      </c>
      <c r="AP119" s="127">
        <f t="shared" si="80"/>
        <v>0</v>
      </c>
      <c r="AQ119" s="127">
        <f t="shared" si="81"/>
        <v>0</v>
      </c>
      <c r="AR119" s="127">
        <f t="shared" si="82"/>
        <v>0</v>
      </c>
      <c r="AS119" s="127">
        <f t="shared" si="83"/>
        <v>0</v>
      </c>
      <c r="AT119" s="127">
        <f t="shared" si="84"/>
        <v>0</v>
      </c>
      <c r="AU119" s="127">
        <f t="shared" si="85"/>
        <v>0</v>
      </c>
      <c r="AV119" s="127">
        <f t="shared" si="86"/>
        <v>0</v>
      </c>
    </row>
    <row r="120" spans="1:48" x14ac:dyDescent="0.15">
      <c r="A120" s="29" t="s">
        <v>113</v>
      </c>
      <c r="B120" s="30">
        <f>IF(Data!D115=1, MAX(Data!AA115, Inputs!$E$25) + INDEX(Inputs!$D$38:$D$42, MATCH( Data!AD115, Inputs!$B$38:$B$42, 0), 0), MAX(Data!AA115, Inputs!$E$26) +  INDEX(Inputs!$D$38:$D$42, MATCH( Data!AD115, Inputs!$B$38:$B$42, 0), 0))</f>
        <v>0.10191699999999999</v>
      </c>
      <c r="C120" s="141">
        <f>(100*Data!R115)</f>
        <v>0</v>
      </c>
      <c r="D120" s="141">
        <f>ROUND(Data!Q115*C120, 0)</f>
        <v>0</v>
      </c>
      <c r="E120" s="141">
        <f>(100*Data!T115)</f>
        <v>0</v>
      </c>
      <c r="F120" s="141">
        <f>E120*Data!S115</f>
        <v>0</v>
      </c>
      <c r="G120" s="142">
        <f>ROUND(Inputs!$E$21*Data!W115*B120, 0)</f>
        <v>3928310</v>
      </c>
      <c r="H120" s="143">
        <f>IF(G120=0, 0,IF(Inputs!$E$30="Yes", IF(Data!D115=1, MAX(Outputs!D120+Outputs!F120+Outputs!G120, Data!AE115), Outputs!D120+Outputs!F120+Outputs!G120), Outputs!D120+Outputs!F120+Outputs!G120))</f>
        <v>3928310</v>
      </c>
      <c r="I120" s="143">
        <f>INDEX('FY 22 OFA Shell'!$AQ$27:$AQ$195,MATCH(Outputs!A120,'FY 22 OFA Shell'!$I$27:$I$195,0))</f>
        <v>3928310</v>
      </c>
      <c r="J120" s="129">
        <f>H120-Data!AT115</f>
        <v>67758.734800000209</v>
      </c>
      <c r="K120" s="127">
        <f>((H120)/(Data!AT115)) - 1</f>
        <v>1.7551569748806228E-2</v>
      </c>
      <c r="L120" s="127">
        <f t="shared" si="87"/>
        <v>0</v>
      </c>
      <c r="M120" s="143">
        <f>(IF(Inputs!$E$30="Yes",INDEX(Data!AT:AT,MATCH(Outputs!A120,Data!A:A,0)),INDEX(Data!AS:AS,MATCH(Outputs!A120,Data!A:A,0))))</f>
        <v>3860551.2651999998</v>
      </c>
      <c r="N120" s="143">
        <f>IF(Inputs!$E$30="Yes",INDEX(Data!BN:BN,MATCH(Outputs!$A120,Data!$A:$A,0)),INDEX(Data!BE:BE,MATCH(Outputs!$A120,Data!$A:$A,0)))</f>
        <v>3869742.5303999996</v>
      </c>
      <c r="O120" s="143">
        <f>IF(Inputs!$E$30="Yes",INDEX(Data!BO:BO,MATCH(Outputs!$A120,Data!$A:$A,0)),INDEX(Data!BF:BF,MATCH(Outputs!$A120,Data!$A:$A,0)))</f>
        <v>3878933.7955999994</v>
      </c>
      <c r="P120" s="143">
        <f>IF(Inputs!$E$30="Yes",INDEX(Data!BP:BP,MATCH(Outputs!$A120,Data!$A:$A,0)),INDEX(Data!BG:BG,MATCH(Outputs!$A120,Data!$A:$A,0)))</f>
        <v>3888125.0607999992</v>
      </c>
      <c r="Q120" s="143">
        <f>IF(Inputs!$E$30="Yes",INDEX(Data!BQ:BQ,MATCH(Outputs!$A120,Data!$A:$A,0)),INDEX(Data!BH:BH,MATCH(Outputs!$A120,Data!$A:$A,0)))</f>
        <v>3897316.325999999</v>
      </c>
      <c r="R120" s="143">
        <f>IF(Inputs!$E$30="Yes",INDEX(Data!BR:BR,MATCH(Outputs!$A120,Data!$A:$A,0)),INDEX(Data!BI:BI,MATCH(Outputs!$A120,Data!$A:$A,0)))</f>
        <v>3906507.5911999987</v>
      </c>
      <c r="S120" s="143">
        <f>IF(Inputs!$E$30="Yes",INDEX(Data!BS:BS,MATCH(Outputs!$A120,Data!$A:$A,0)),INDEX(Data!BJ:BJ,MATCH(Outputs!$A120,Data!$A:$A,0)))</f>
        <v>3928310</v>
      </c>
      <c r="T120" s="143">
        <f>IF(Inputs!$E$30="Yes",INDEX(Data!BT:BT,MATCH(Outputs!$A120,Data!$A:$A,0)),INDEX(Data!BK:BK,MATCH(Outputs!$A120,Data!$A:$A,0)))</f>
        <v>3928310</v>
      </c>
      <c r="U120" s="143">
        <f>IF(Inputs!$E$30="Yes",INDEX(Data!BU:BU,MATCH(Outputs!$A120,Data!$A:$A,0)),INDEX(Data!BL:BL,MATCH(Outputs!$A120,Data!$A:$A,0)))</f>
        <v>3928310</v>
      </c>
      <c r="V120" s="143">
        <f>INDEX('FY 22 OFA Shell'!$AX$27:$AX$195,MATCH(Outputs!A120,'FY 22 OFA Shell'!$I$27:$I$195,0))</f>
        <v>3860551.2651999998</v>
      </c>
      <c r="W120" s="143">
        <f>INDEX('FY 23 OFA Shell'!$AX$27:$AX$195,MATCH(Outputs!A120,'FY 23 OFA Shell'!$I$27:$I$195,0))</f>
        <v>3869742.5303999996</v>
      </c>
      <c r="X120" s="143">
        <f>INDEX('FY 23 OFA Shell'!BK$27:BK$195,MATCH(Outputs!$A120,'FY 23 OFA Shell'!$I$27:$I$195,0))</f>
        <v>3878933.7955999994</v>
      </c>
      <c r="Y120" s="143">
        <f>INDEX('FY 23 OFA Shell'!BL$27:BL$195,MATCH(Outputs!$A120,'FY 23 OFA Shell'!$I$27:$I$195,0))</f>
        <v>3888125.0607999992</v>
      </c>
      <c r="Z120" s="143">
        <f>INDEX('FY 23 OFA Shell'!BM$27:BM$195,MATCH(Outputs!$A120,'FY 23 OFA Shell'!$I$27:$I$195,0))</f>
        <v>3897316.325999999</v>
      </c>
      <c r="AA120" s="143">
        <f>INDEX('FY 23 OFA Shell'!BN$27:BN$195,MATCH(Outputs!$A120,'FY 23 OFA Shell'!$I$27:$I$195,0))</f>
        <v>3906507.5911999987</v>
      </c>
      <c r="AB120" s="143">
        <f>INDEX('FY 23 OFA Shell'!BO$27:BO$195,MATCH(Outputs!$A120,'FY 23 OFA Shell'!$I$27:$I$195,0))</f>
        <v>3928310</v>
      </c>
      <c r="AC120" s="143">
        <f>INDEX('FY 23 OFA Shell'!BP$27:BP$195,MATCH(Outputs!$A120,'FY 23 OFA Shell'!$I$27:$I$195,0))</f>
        <v>3928310</v>
      </c>
      <c r="AD120" s="143">
        <f>INDEX('FY 23 OFA Shell'!BQ$27:BQ$195,MATCH(Outputs!$A120,'FY 23 OFA Shell'!$I$27:$I$195,0))</f>
        <v>3928310</v>
      </c>
      <c r="AE120" s="129">
        <f t="shared" si="69"/>
        <v>0</v>
      </c>
      <c r="AF120" s="129">
        <f t="shared" si="70"/>
        <v>0</v>
      </c>
      <c r="AG120" s="129">
        <f t="shared" si="71"/>
        <v>0</v>
      </c>
      <c r="AH120" s="129">
        <f t="shared" si="72"/>
        <v>0</v>
      </c>
      <c r="AI120" s="129">
        <f t="shared" si="73"/>
        <v>0</v>
      </c>
      <c r="AJ120" s="129">
        <f t="shared" si="74"/>
        <v>0</v>
      </c>
      <c r="AK120" s="129">
        <f t="shared" si="75"/>
        <v>0</v>
      </c>
      <c r="AL120" s="129">
        <f t="shared" si="76"/>
        <v>0</v>
      </c>
      <c r="AM120" s="129">
        <f t="shared" si="77"/>
        <v>0</v>
      </c>
      <c r="AN120" s="127">
        <f t="shared" si="78"/>
        <v>0</v>
      </c>
      <c r="AO120" s="127">
        <f t="shared" si="79"/>
        <v>0</v>
      </c>
      <c r="AP120" s="127">
        <f t="shared" si="80"/>
        <v>0</v>
      </c>
      <c r="AQ120" s="127">
        <f t="shared" si="81"/>
        <v>0</v>
      </c>
      <c r="AR120" s="127">
        <f t="shared" si="82"/>
        <v>0</v>
      </c>
      <c r="AS120" s="127">
        <f t="shared" si="83"/>
        <v>0</v>
      </c>
      <c r="AT120" s="127">
        <f t="shared" si="84"/>
        <v>0</v>
      </c>
      <c r="AU120" s="127">
        <f t="shared" si="85"/>
        <v>0</v>
      </c>
      <c r="AV120" s="127">
        <f t="shared" si="86"/>
        <v>0</v>
      </c>
    </row>
    <row r="121" spans="1:48" x14ac:dyDescent="0.15">
      <c r="A121" s="29" t="s">
        <v>114</v>
      </c>
      <c r="B121" s="30">
        <f>IF(Data!D116=1, MAX(Data!AA116, Inputs!$E$25) + INDEX(Inputs!$D$38:$D$42, MATCH( Data!AD116, Inputs!$B$38:$B$42, 0), 0), MAX(Data!AA116, Inputs!$E$26) +  INDEX(Inputs!$D$38:$D$42, MATCH( Data!AD116, Inputs!$B$38:$B$42, 0), 0))</f>
        <v>0.23300799999999999</v>
      </c>
      <c r="C121" s="141">
        <f>(100*Data!R116)</f>
        <v>0</v>
      </c>
      <c r="D121" s="141">
        <f>ROUND(Data!Q116*C121, 0)</f>
        <v>0</v>
      </c>
      <c r="E121" s="141">
        <f>(100*Data!T116)</f>
        <v>0</v>
      </c>
      <c r="F121" s="141">
        <f>E121*Data!S116</f>
        <v>0</v>
      </c>
      <c r="G121" s="142">
        <f>ROUND(Inputs!$E$21*Data!W116*B121, 0)</f>
        <v>2031169</v>
      </c>
      <c r="H121" s="143">
        <f>IF(G121=0, 0,IF(Inputs!$E$30="Yes", IF(Data!D116=1, MAX(Outputs!D121+Outputs!F121+Outputs!G121, Data!AE116), Outputs!D121+Outputs!F121+Outputs!G121), Outputs!D121+Outputs!F121+Outputs!G121))</f>
        <v>2031169</v>
      </c>
      <c r="I121" s="143">
        <f>INDEX('FY 22 OFA Shell'!$AQ$27:$AQ$195,MATCH(Outputs!A121,'FY 22 OFA Shell'!$I$27:$I$195,0))</f>
        <v>2031169</v>
      </c>
      <c r="J121" s="129">
        <f>H121-Data!AT116</f>
        <v>-553035</v>
      </c>
      <c r="K121" s="127">
        <f>((H121)/(Data!AT116)) - 1</f>
        <v>-0.21400593761173659</v>
      </c>
      <c r="L121" s="127">
        <f t="shared" si="87"/>
        <v>0</v>
      </c>
      <c r="M121" s="143">
        <f>(IF(Inputs!$E$30="Yes",INDEX(Data!AT:AT,MATCH(Outputs!A121,Data!A:A,0)),INDEX(Data!AS:AS,MATCH(Outputs!A121,Data!A:A,0))))</f>
        <v>2584204</v>
      </c>
      <c r="N121" s="143">
        <f>IF(Inputs!$E$30="Yes",INDEX(Data!BN:BN,MATCH(Outputs!$A121,Data!$A:$A,0)),INDEX(Data!BE:BE,MATCH(Outputs!$A121,Data!$A:$A,0)))</f>
        <v>2584204</v>
      </c>
      <c r="O121" s="143">
        <f>IF(Inputs!$E$30="Yes",INDEX(Data!BO:BO,MATCH(Outputs!$A121,Data!$A:$A,0)),INDEX(Data!BF:BF,MATCH(Outputs!$A121,Data!$A:$A,0)))</f>
        <v>2517289.0266999998</v>
      </c>
      <c r="P121" s="143">
        <f>IF(Inputs!$E$30="Yes",INDEX(Data!BP:BP,MATCH(Outputs!$A121,Data!$A:$A,0)),INDEX(Data!BG:BG,MATCH(Outputs!$A121,Data!$A:$A,0)))</f>
        <v>2450374.0533999996</v>
      </c>
      <c r="Q121" s="143">
        <f>IF(Inputs!$E$30="Yes",INDEX(Data!BQ:BQ,MATCH(Outputs!$A121,Data!$A:$A,0)),INDEX(Data!BH:BH,MATCH(Outputs!$A121,Data!$A:$A,0)))</f>
        <v>2383459.0800999994</v>
      </c>
      <c r="R121" s="143">
        <f>IF(Inputs!$E$30="Yes",INDEX(Data!BR:BR,MATCH(Outputs!$A121,Data!$A:$A,0)),INDEX(Data!BI:BI,MATCH(Outputs!$A121,Data!$A:$A,0)))</f>
        <v>2316544.1067999993</v>
      </c>
      <c r="S121" s="143">
        <f>IF(Inputs!$E$30="Yes",INDEX(Data!BS:BS,MATCH(Outputs!$A121,Data!$A:$A,0)),INDEX(Data!BJ:BJ,MATCH(Outputs!$A121,Data!$A:$A,0)))</f>
        <v>2249629.1334999991</v>
      </c>
      <c r="T121" s="143">
        <f>IF(Inputs!$E$30="Yes",INDEX(Data!BT:BT,MATCH(Outputs!$A121,Data!$A:$A,0)),INDEX(Data!BK:BK,MATCH(Outputs!$A121,Data!$A:$A,0)))</f>
        <v>2182714.1601999989</v>
      </c>
      <c r="U121" s="143">
        <f>IF(Inputs!$E$30="Yes",INDEX(Data!BU:BU,MATCH(Outputs!$A121,Data!$A:$A,0)),INDEX(Data!BL:BL,MATCH(Outputs!$A121,Data!$A:$A,0)))</f>
        <v>2031169</v>
      </c>
      <c r="V121" s="143">
        <f>INDEX('FY 22 OFA Shell'!$AX$27:$AX$195,MATCH(Outputs!A121,'FY 22 OFA Shell'!$I$27:$I$195,0))</f>
        <v>2584204</v>
      </c>
      <c r="W121" s="143">
        <f>INDEX('FY 23 OFA Shell'!$AX$27:$AX$195,MATCH(Outputs!A121,'FY 23 OFA Shell'!$I$27:$I$195,0))</f>
        <v>2584204</v>
      </c>
      <c r="X121" s="143">
        <f>INDEX('FY 23 OFA Shell'!BK$27:BK$195,MATCH(Outputs!$A121,'FY 23 OFA Shell'!$I$27:$I$195,0))</f>
        <v>2517289.0266999998</v>
      </c>
      <c r="Y121" s="143">
        <f>INDEX('FY 23 OFA Shell'!BL$27:BL$195,MATCH(Outputs!$A121,'FY 23 OFA Shell'!$I$27:$I$195,0))</f>
        <v>2450374.0533999996</v>
      </c>
      <c r="Z121" s="143">
        <f>INDEX('FY 23 OFA Shell'!BM$27:BM$195,MATCH(Outputs!$A121,'FY 23 OFA Shell'!$I$27:$I$195,0))</f>
        <v>2383459.0800999994</v>
      </c>
      <c r="AA121" s="143">
        <f>INDEX('FY 23 OFA Shell'!BN$27:BN$195,MATCH(Outputs!$A121,'FY 23 OFA Shell'!$I$27:$I$195,0))</f>
        <v>2316544.1067999993</v>
      </c>
      <c r="AB121" s="143">
        <f>INDEX('FY 23 OFA Shell'!BO$27:BO$195,MATCH(Outputs!$A121,'FY 23 OFA Shell'!$I$27:$I$195,0))</f>
        <v>2249629.1334999991</v>
      </c>
      <c r="AC121" s="143">
        <f>INDEX('FY 23 OFA Shell'!BP$27:BP$195,MATCH(Outputs!$A121,'FY 23 OFA Shell'!$I$27:$I$195,0))</f>
        <v>2182714.1601999989</v>
      </c>
      <c r="AD121" s="143">
        <f>INDEX('FY 23 OFA Shell'!BQ$27:BQ$195,MATCH(Outputs!$A121,'FY 23 OFA Shell'!$I$27:$I$195,0))</f>
        <v>2031169</v>
      </c>
      <c r="AE121" s="129">
        <f t="shared" si="69"/>
        <v>0</v>
      </c>
      <c r="AF121" s="129">
        <f t="shared" si="70"/>
        <v>0</v>
      </c>
      <c r="AG121" s="129">
        <f t="shared" si="71"/>
        <v>0</v>
      </c>
      <c r="AH121" s="129">
        <f t="shared" si="72"/>
        <v>0</v>
      </c>
      <c r="AI121" s="129">
        <f t="shared" si="73"/>
        <v>0</v>
      </c>
      <c r="AJ121" s="129">
        <f t="shared" si="74"/>
        <v>0</v>
      </c>
      <c r="AK121" s="129">
        <f t="shared" si="75"/>
        <v>0</v>
      </c>
      <c r="AL121" s="129">
        <f t="shared" si="76"/>
        <v>0</v>
      </c>
      <c r="AM121" s="129">
        <f t="shared" si="77"/>
        <v>0</v>
      </c>
      <c r="AN121" s="127">
        <f t="shared" si="78"/>
        <v>0</v>
      </c>
      <c r="AO121" s="127">
        <f t="shared" si="79"/>
        <v>0</v>
      </c>
      <c r="AP121" s="127">
        <f t="shared" si="80"/>
        <v>0</v>
      </c>
      <c r="AQ121" s="127">
        <f t="shared" si="81"/>
        <v>0</v>
      </c>
      <c r="AR121" s="127">
        <f t="shared" si="82"/>
        <v>0</v>
      </c>
      <c r="AS121" s="127">
        <f t="shared" si="83"/>
        <v>0</v>
      </c>
      <c r="AT121" s="127">
        <f t="shared" si="84"/>
        <v>0</v>
      </c>
      <c r="AU121" s="127">
        <f t="shared" si="85"/>
        <v>0</v>
      </c>
      <c r="AV121" s="127">
        <f t="shared" si="86"/>
        <v>0</v>
      </c>
    </row>
    <row r="122" spans="1:48" x14ac:dyDescent="0.15">
      <c r="A122" s="29" t="s">
        <v>115</v>
      </c>
      <c r="B122" s="30">
        <f>IF(Data!D117=1, MAX(Data!AA117, Inputs!$E$25) + INDEX(Inputs!$D$38:$D$42, MATCH( Data!AD117, Inputs!$B$38:$B$42, 0), 0), MAX(Data!AA117, Inputs!$E$26) +  INDEX(Inputs!$D$38:$D$42, MATCH( Data!AD117, Inputs!$B$38:$B$42, 0), 0))</f>
        <v>0.1</v>
      </c>
      <c r="C122" s="141">
        <f>(100*Data!R117)</f>
        <v>0</v>
      </c>
      <c r="D122" s="141">
        <f>ROUND(Data!Q117*C122, 0)</f>
        <v>0</v>
      </c>
      <c r="E122" s="141">
        <f>(100*Data!T117)</f>
        <v>0</v>
      </c>
      <c r="F122" s="141">
        <f>E122*Data!S117</f>
        <v>0</v>
      </c>
      <c r="G122" s="142">
        <f>ROUND(Inputs!$E$21*Data!W117*B122, 0)</f>
        <v>16762582</v>
      </c>
      <c r="H122" s="143">
        <f>IF(G122=0, 0,IF(Inputs!$E$30="Yes", IF(Data!D117=1, MAX(Outputs!D122+Outputs!F122+Outputs!G122, Data!AE117), Outputs!D122+Outputs!F122+Outputs!G122), Outputs!D122+Outputs!F122+Outputs!G122))</f>
        <v>16762582</v>
      </c>
      <c r="I122" s="143">
        <f>INDEX('FY 22 OFA Shell'!$AQ$27:$AQ$195,MATCH(Outputs!A122,'FY 22 OFA Shell'!$I$27:$I$195,0))</f>
        <v>16762582</v>
      </c>
      <c r="J122" s="129">
        <f>H122-Data!AT117</f>
        <v>3583751.8027999997</v>
      </c>
      <c r="K122" s="127">
        <f>((H122)/(Data!AT117)) - 1</f>
        <v>0.27193246662829074</v>
      </c>
      <c r="L122" s="127">
        <f t="shared" si="87"/>
        <v>0</v>
      </c>
      <c r="M122" s="143">
        <f>(IF(Inputs!$E$30="Yes",INDEX(Data!AT:AT,MATCH(Outputs!A122,Data!A:A,0)),INDEX(Data!AS:AS,MATCH(Outputs!A122,Data!A:A,0))))</f>
        <v>13178830.1972</v>
      </c>
      <c r="N122" s="143">
        <f>IF(Inputs!$E$30="Yes",INDEX(Data!BN:BN,MATCH(Outputs!$A122,Data!$A:$A,0)),INDEX(Data!BE:BE,MATCH(Outputs!$A122,Data!$A:$A,0)))</f>
        <v>13767181.394400001</v>
      </c>
      <c r="O122" s="143">
        <f>IF(Inputs!$E$30="Yes",INDEX(Data!BO:BO,MATCH(Outputs!$A122,Data!$A:$A,0)),INDEX(Data!BF:BF,MATCH(Outputs!$A122,Data!$A:$A,0)))</f>
        <v>14355532.591600001</v>
      </c>
      <c r="P122" s="143">
        <f>IF(Inputs!$E$30="Yes",INDEX(Data!BP:BP,MATCH(Outputs!$A122,Data!$A:$A,0)),INDEX(Data!BG:BG,MATCH(Outputs!$A122,Data!$A:$A,0)))</f>
        <v>14943883.788800001</v>
      </c>
      <c r="Q122" s="143">
        <f>IF(Inputs!$E$30="Yes",INDEX(Data!BQ:BQ,MATCH(Outputs!$A122,Data!$A:$A,0)),INDEX(Data!BH:BH,MATCH(Outputs!$A122,Data!$A:$A,0)))</f>
        <v>15532234.986000001</v>
      </c>
      <c r="R122" s="143">
        <f>IF(Inputs!$E$30="Yes",INDEX(Data!BR:BR,MATCH(Outputs!$A122,Data!$A:$A,0)),INDEX(Data!BI:BI,MATCH(Outputs!$A122,Data!$A:$A,0)))</f>
        <v>16120586.183200002</v>
      </c>
      <c r="S122" s="143">
        <f>IF(Inputs!$E$30="Yes",INDEX(Data!BS:BS,MATCH(Outputs!$A122,Data!$A:$A,0)),INDEX(Data!BJ:BJ,MATCH(Outputs!$A122,Data!$A:$A,0)))</f>
        <v>16762582</v>
      </c>
      <c r="T122" s="143">
        <f>IF(Inputs!$E$30="Yes",INDEX(Data!BT:BT,MATCH(Outputs!$A122,Data!$A:$A,0)),INDEX(Data!BK:BK,MATCH(Outputs!$A122,Data!$A:$A,0)))</f>
        <v>16762582</v>
      </c>
      <c r="U122" s="143">
        <f>IF(Inputs!$E$30="Yes",INDEX(Data!BU:BU,MATCH(Outputs!$A122,Data!$A:$A,0)),INDEX(Data!BL:BL,MATCH(Outputs!$A122,Data!$A:$A,0)))</f>
        <v>16762582</v>
      </c>
      <c r="V122" s="143">
        <f>INDEX('FY 22 OFA Shell'!$AX$27:$AX$195,MATCH(Outputs!A122,'FY 22 OFA Shell'!$I$27:$I$195,0))</f>
        <v>13178830.1972</v>
      </c>
      <c r="W122" s="143">
        <f>INDEX('FY 23 OFA Shell'!$AX$27:$AX$195,MATCH(Outputs!A122,'FY 23 OFA Shell'!$I$27:$I$195,0))</f>
        <v>13767181.394400001</v>
      </c>
      <c r="X122" s="143">
        <f>INDEX('FY 23 OFA Shell'!BK$27:BK$195,MATCH(Outputs!$A122,'FY 23 OFA Shell'!$I$27:$I$195,0))</f>
        <v>14355532.591600001</v>
      </c>
      <c r="Y122" s="143">
        <f>INDEX('FY 23 OFA Shell'!BL$27:BL$195,MATCH(Outputs!$A122,'FY 23 OFA Shell'!$I$27:$I$195,0))</f>
        <v>14943883.788800001</v>
      </c>
      <c r="Z122" s="143">
        <f>INDEX('FY 23 OFA Shell'!BM$27:BM$195,MATCH(Outputs!$A122,'FY 23 OFA Shell'!$I$27:$I$195,0))</f>
        <v>15532234.986000001</v>
      </c>
      <c r="AA122" s="143">
        <f>INDEX('FY 23 OFA Shell'!BN$27:BN$195,MATCH(Outputs!$A122,'FY 23 OFA Shell'!$I$27:$I$195,0))</f>
        <v>16120586.183200002</v>
      </c>
      <c r="AB122" s="143">
        <f>INDEX('FY 23 OFA Shell'!BO$27:BO$195,MATCH(Outputs!$A122,'FY 23 OFA Shell'!$I$27:$I$195,0))</f>
        <v>16762582</v>
      </c>
      <c r="AC122" s="143">
        <f>INDEX('FY 23 OFA Shell'!BP$27:BP$195,MATCH(Outputs!$A122,'FY 23 OFA Shell'!$I$27:$I$195,0))</f>
        <v>16762582</v>
      </c>
      <c r="AD122" s="143">
        <f>INDEX('FY 23 OFA Shell'!BQ$27:BQ$195,MATCH(Outputs!$A122,'FY 23 OFA Shell'!$I$27:$I$195,0))</f>
        <v>16762582</v>
      </c>
      <c r="AE122" s="129">
        <f t="shared" si="69"/>
        <v>0</v>
      </c>
      <c r="AF122" s="129">
        <f t="shared" si="70"/>
        <v>0</v>
      </c>
      <c r="AG122" s="129">
        <f t="shared" si="71"/>
        <v>0</v>
      </c>
      <c r="AH122" s="129">
        <f t="shared" si="72"/>
        <v>0</v>
      </c>
      <c r="AI122" s="129">
        <f t="shared" si="73"/>
        <v>0</v>
      </c>
      <c r="AJ122" s="129">
        <f t="shared" si="74"/>
        <v>0</v>
      </c>
      <c r="AK122" s="129">
        <f t="shared" si="75"/>
        <v>0</v>
      </c>
      <c r="AL122" s="129">
        <f t="shared" si="76"/>
        <v>0</v>
      </c>
      <c r="AM122" s="129">
        <f t="shared" si="77"/>
        <v>0</v>
      </c>
      <c r="AN122" s="127">
        <f t="shared" si="78"/>
        <v>0</v>
      </c>
      <c r="AO122" s="127">
        <f t="shared" si="79"/>
        <v>0</v>
      </c>
      <c r="AP122" s="127">
        <f t="shared" si="80"/>
        <v>0</v>
      </c>
      <c r="AQ122" s="127">
        <f t="shared" si="81"/>
        <v>0</v>
      </c>
      <c r="AR122" s="127">
        <f t="shared" si="82"/>
        <v>0</v>
      </c>
      <c r="AS122" s="127">
        <f t="shared" si="83"/>
        <v>0</v>
      </c>
      <c r="AT122" s="127">
        <f t="shared" si="84"/>
        <v>0</v>
      </c>
      <c r="AU122" s="127">
        <f t="shared" si="85"/>
        <v>0</v>
      </c>
      <c r="AV122" s="127">
        <f t="shared" si="86"/>
        <v>0</v>
      </c>
    </row>
    <row r="123" spans="1:48" x14ac:dyDescent="0.15">
      <c r="A123" s="29" t="s">
        <v>116</v>
      </c>
      <c r="B123" s="30">
        <f>IF(Data!D118=1, MAX(Data!AA118, Inputs!$E$25) + INDEX(Inputs!$D$38:$D$42, MATCH( Data!AD118, Inputs!$B$38:$B$42, 0), 0), MAX(Data!AA118, Inputs!$E$26) +  INDEX(Inputs!$D$38:$D$42, MATCH( Data!AD118, Inputs!$B$38:$B$42, 0), 0))</f>
        <v>0.65622500000000006</v>
      </c>
      <c r="C123" s="141">
        <f>(100*Data!R118)</f>
        <v>0</v>
      </c>
      <c r="D123" s="141">
        <f>ROUND(Data!Q118*C123, 0)</f>
        <v>0</v>
      </c>
      <c r="E123" s="141">
        <f>(100*Data!T118)</f>
        <v>400</v>
      </c>
      <c r="F123" s="141">
        <f>E123*Data!S118</f>
        <v>584800</v>
      </c>
      <c r="G123" s="142">
        <f>ROUND(Inputs!$E$21*Data!W118*B123, 0)</f>
        <v>47971022</v>
      </c>
      <c r="H123" s="143">
        <f>IF(G123=0, 0,IF(Inputs!$E$30="Yes", IF(Data!D118=1, MAX(Outputs!D123+Outputs!F123+Outputs!G123, Data!AE118), Outputs!D123+Outputs!F123+Outputs!G123), Outputs!D123+Outputs!F123+Outputs!G123))</f>
        <v>48555822</v>
      </c>
      <c r="I123" s="143">
        <f>INDEX('FY 22 OFA Shell'!$AQ$27:$AQ$195,MATCH(Outputs!A123,'FY 22 OFA Shell'!$I$27:$I$195,0))</f>
        <v>48555822</v>
      </c>
      <c r="J123" s="129">
        <f>H123-Data!AT118</f>
        <v>8011483.5571999997</v>
      </c>
      <c r="K123" s="127">
        <f>((H123)/(Data!AT118)) - 1</f>
        <v>0.19759808310851112</v>
      </c>
      <c r="L123" s="127">
        <f t="shared" si="87"/>
        <v>0</v>
      </c>
      <c r="M123" s="143">
        <f>(IF(Inputs!$E$30="Yes",INDEX(Data!AT:AT,MATCH(Outputs!A123,Data!A:A,0)),INDEX(Data!AS:AS,MATCH(Outputs!A123,Data!A:A,0))))</f>
        <v>40544338.4428</v>
      </c>
      <c r="N123" s="143">
        <f>IF(Inputs!$E$30="Yes",INDEX(Data!BN:BN,MATCH(Outputs!$A123,Data!$A:$A,0)),INDEX(Data!BE:BE,MATCH(Outputs!$A123,Data!$A:$A,0)))</f>
        <v>41860438.885600001</v>
      </c>
      <c r="O123" s="143">
        <f>IF(Inputs!$E$30="Yes",INDEX(Data!BO:BO,MATCH(Outputs!$A123,Data!$A:$A,0)),INDEX(Data!BF:BF,MATCH(Outputs!$A123,Data!$A:$A,0)))</f>
        <v>43176539.328400001</v>
      </c>
      <c r="P123" s="143">
        <f>IF(Inputs!$E$30="Yes",INDEX(Data!BP:BP,MATCH(Outputs!$A123,Data!$A:$A,0)),INDEX(Data!BG:BG,MATCH(Outputs!$A123,Data!$A:$A,0)))</f>
        <v>44492639.771200001</v>
      </c>
      <c r="Q123" s="143">
        <f>IF(Inputs!$E$30="Yes",INDEX(Data!BQ:BQ,MATCH(Outputs!$A123,Data!$A:$A,0)),INDEX(Data!BH:BH,MATCH(Outputs!$A123,Data!$A:$A,0)))</f>
        <v>45808740.214000002</v>
      </c>
      <c r="R123" s="143">
        <f>IF(Inputs!$E$30="Yes",INDEX(Data!BR:BR,MATCH(Outputs!$A123,Data!$A:$A,0)),INDEX(Data!BI:BI,MATCH(Outputs!$A123,Data!$A:$A,0)))</f>
        <v>47124840.656800002</v>
      </c>
      <c r="S123" s="143">
        <f>IF(Inputs!$E$30="Yes",INDEX(Data!BS:BS,MATCH(Outputs!$A123,Data!$A:$A,0)),INDEX(Data!BJ:BJ,MATCH(Outputs!$A123,Data!$A:$A,0)))</f>
        <v>48555822</v>
      </c>
      <c r="T123" s="143">
        <f>IF(Inputs!$E$30="Yes",INDEX(Data!BT:BT,MATCH(Outputs!$A123,Data!$A:$A,0)),INDEX(Data!BK:BK,MATCH(Outputs!$A123,Data!$A:$A,0)))</f>
        <v>48555822</v>
      </c>
      <c r="U123" s="143">
        <f>IF(Inputs!$E$30="Yes",INDEX(Data!BU:BU,MATCH(Outputs!$A123,Data!$A:$A,0)),INDEX(Data!BL:BL,MATCH(Outputs!$A123,Data!$A:$A,0)))</f>
        <v>48555822</v>
      </c>
      <c r="V123" s="143">
        <f>INDEX('FY 22 OFA Shell'!$AX$27:$AX$195,MATCH(Outputs!A123,'FY 22 OFA Shell'!$I$27:$I$195,0))</f>
        <v>40544338.4428</v>
      </c>
      <c r="W123" s="143">
        <f>INDEX('FY 23 OFA Shell'!$AX$27:$AX$195,MATCH(Outputs!A123,'FY 23 OFA Shell'!$I$27:$I$195,0))</f>
        <v>41860438.885600001</v>
      </c>
      <c r="X123" s="143">
        <f>INDEX('FY 23 OFA Shell'!BK$27:BK$195,MATCH(Outputs!$A123,'FY 23 OFA Shell'!$I$27:$I$195,0))</f>
        <v>43176539.328400001</v>
      </c>
      <c r="Y123" s="143">
        <f>INDEX('FY 23 OFA Shell'!BL$27:BL$195,MATCH(Outputs!$A123,'FY 23 OFA Shell'!$I$27:$I$195,0))</f>
        <v>44492639.771200001</v>
      </c>
      <c r="Z123" s="143">
        <f>INDEX('FY 23 OFA Shell'!BM$27:BM$195,MATCH(Outputs!$A123,'FY 23 OFA Shell'!$I$27:$I$195,0))</f>
        <v>45808740.214000002</v>
      </c>
      <c r="AA123" s="143">
        <f>INDEX('FY 23 OFA Shell'!BN$27:BN$195,MATCH(Outputs!$A123,'FY 23 OFA Shell'!$I$27:$I$195,0))</f>
        <v>47124840.656800002</v>
      </c>
      <c r="AB123" s="143">
        <f>INDEX('FY 23 OFA Shell'!BO$27:BO$195,MATCH(Outputs!$A123,'FY 23 OFA Shell'!$I$27:$I$195,0))</f>
        <v>48555822</v>
      </c>
      <c r="AC123" s="143">
        <f>INDEX('FY 23 OFA Shell'!BP$27:BP$195,MATCH(Outputs!$A123,'FY 23 OFA Shell'!$I$27:$I$195,0))</f>
        <v>48555822</v>
      </c>
      <c r="AD123" s="143">
        <f>INDEX('FY 23 OFA Shell'!BQ$27:BQ$195,MATCH(Outputs!$A123,'FY 23 OFA Shell'!$I$27:$I$195,0))</f>
        <v>48555822</v>
      </c>
      <c r="AE123" s="129">
        <f t="shared" si="69"/>
        <v>0</v>
      </c>
      <c r="AF123" s="129">
        <f t="shared" si="70"/>
        <v>0</v>
      </c>
      <c r="AG123" s="129">
        <f t="shared" si="71"/>
        <v>0</v>
      </c>
      <c r="AH123" s="129">
        <f t="shared" si="72"/>
        <v>0</v>
      </c>
      <c r="AI123" s="129">
        <f t="shared" si="73"/>
        <v>0</v>
      </c>
      <c r="AJ123" s="129">
        <f t="shared" si="74"/>
        <v>0</v>
      </c>
      <c r="AK123" s="129">
        <f t="shared" si="75"/>
        <v>0</v>
      </c>
      <c r="AL123" s="129">
        <f t="shared" si="76"/>
        <v>0</v>
      </c>
      <c r="AM123" s="129">
        <f t="shared" si="77"/>
        <v>0</v>
      </c>
      <c r="AN123" s="127">
        <f t="shared" si="78"/>
        <v>0</v>
      </c>
      <c r="AO123" s="127">
        <f t="shared" si="79"/>
        <v>0</v>
      </c>
      <c r="AP123" s="127">
        <f t="shared" si="80"/>
        <v>0</v>
      </c>
      <c r="AQ123" s="127">
        <f t="shared" si="81"/>
        <v>0</v>
      </c>
      <c r="AR123" s="127">
        <f t="shared" si="82"/>
        <v>0</v>
      </c>
      <c r="AS123" s="127">
        <f t="shared" si="83"/>
        <v>0</v>
      </c>
      <c r="AT123" s="127">
        <f t="shared" si="84"/>
        <v>0</v>
      </c>
      <c r="AU123" s="127">
        <f t="shared" si="85"/>
        <v>0</v>
      </c>
      <c r="AV123" s="127">
        <f t="shared" si="86"/>
        <v>0</v>
      </c>
    </row>
    <row r="124" spans="1:48" x14ac:dyDescent="0.15">
      <c r="A124" s="29" t="s">
        <v>117</v>
      </c>
      <c r="B124" s="30">
        <f>IF(Data!D119=1, MAX(Data!AA119, Inputs!$E$25) + INDEX(Inputs!$D$38:$D$42, MATCH( Data!AD119, Inputs!$B$38:$B$42, 0), 0), MAX(Data!AA119, Inputs!$E$26) +  INDEX(Inputs!$D$38:$D$42, MATCH( Data!AD119, Inputs!$B$38:$B$42, 0), 0))</f>
        <v>0.01</v>
      </c>
      <c r="C124" s="141">
        <f>(100*Data!R119)</f>
        <v>1300</v>
      </c>
      <c r="D124" s="141">
        <f>ROUND(Data!Q119*C124, 0)</f>
        <v>1357200</v>
      </c>
      <c r="E124" s="141">
        <f>(100*Data!T119)</f>
        <v>0</v>
      </c>
      <c r="F124" s="141">
        <f>E124*Data!S119</f>
        <v>0</v>
      </c>
      <c r="G124" s="142">
        <f>ROUND(Inputs!$E$21*Data!W119*B124, 0)</f>
        <v>128045</v>
      </c>
      <c r="H124" s="143">
        <f>IF(G124=0, 0,IF(Inputs!$E$30="Yes", IF(Data!D119=1, MAX(Outputs!D124+Outputs!F124+Outputs!G124, Data!AE119), Outputs!D124+Outputs!F124+Outputs!G124), Outputs!D124+Outputs!F124+Outputs!G124))</f>
        <v>1485245</v>
      </c>
      <c r="I124" s="143">
        <f>INDEX('FY 22 OFA Shell'!$AQ$27:$AQ$195,MATCH(Outputs!A124,'FY 22 OFA Shell'!$I$27:$I$195,0))</f>
        <v>1485245</v>
      </c>
      <c r="J124" s="129">
        <f>H124-Data!AT119</f>
        <v>1114714.3322000001</v>
      </c>
      <c r="K124" s="127">
        <f>((H124)/(Data!AT119)) - 1</f>
        <v>3.0084266406841262</v>
      </c>
      <c r="L124" s="127">
        <f t="shared" si="87"/>
        <v>0</v>
      </c>
      <c r="M124" s="143">
        <f>(IF(Inputs!$E$30="Yes",INDEX(Data!AT:AT,MATCH(Outputs!A124,Data!A:A,0)),INDEX(Data!AS:AS,MATCH(Outputs!A124,Data!A:A,0))))</f>
        <v>370530.6678</v>
      </c>
      <c r="N124" s="143">
        <f>IF(Inputs!$E$30="Yes",INDEX(Data!BN:BN,MATCH(Outputs!$A124,Data!$A:$A,0)),INDEX(Data!BE:BE,MATCH(Outputs!$A124,Data!$A:$A,0)))</f>
        <v>502478.33559999999</v>
      </c>
      <c r="O124" s="143">
        <f>IF(Inputs!$E$30="Yes",INDEX(Data!BO:BO,MATCH(Outputs!$A124,Data!$A:$A,0)),INDEX(Data!BF:BF,MATCH(Outputs!$A124,Data!$A:$A,0)))</f>
        <v>634426.00340000005</v>
      </c>
      <c r="P124" s="143">
        <f>IF(Inputs!$E$30="Yes",INDEX(Data!BP:BP,MATCH(Outputs!$A124,Data!$A:$A,0)),INDEX(Data!BG:BG,MATCH(Outputs!$A124,Data!$A:$A,0)))</f>
        <v>766373.67119999998</v>
      </c>
      <c r="Q124" s="143">
        <f>IF(Inputs!$E$30="Yes",INDEX(Data!BQ:BQ,MATCH(Outputs!$A124,Data!$A:$A,0)),INDEX(Data!BH:BH,MATCH(Outputs!$A124,Data!$A:$A,0)))</f>
        <v>898321.33899999992</v>
      </c>
      <c r="R124" s="143">
        <f>IF(Inputs!$E$30="Yes",INDEX(Data!BR:BR,MATCH(Outputs!$A124,Data!$A:$A,0)),INDEX(Data!BI:BI,MATCH(Outputs!$A124,Data!$A:$A,0)))</f>
        <v>1030269.0067999999</v>
      </c>
      <c r="S124" s="143">
        <f>IF(Inputs!$E$30="Yes",INDEX(Data!BS:BS,MATCH(Outputs!$A124,Data!$A:$A,0)),INDEX(Data!BJ:BJ,MATCH(Outputs!$A124,Data!$A:$A,0)))</f>
        <v>1485245</v>
      </c>
      <c r="T124" s="143">
        <f>IF(Inputs!$E$30="Yes",INDEX(Data!BT:BT,MATCH(Outputs!$A124,Data!$A:$A,0)),INDEX(Data!BK:BK,MATCH(Outputs!$A124,Data!$A:$A,0)))</f>
        <v>1485245</v>
      </c>
      <c r="U124" s="143">
        <f>IF(Inputs!$E$30="Yes",INDEX(Data!BU:BU,MATCH(Outputs!$A124,Data!$A:$A,0)),INDEX(Data!BL:BL,MATCH(Outputs!$A124,Data!$A:$A,0)))</f>
        <v>1485245</v>
      </c>
      <c r="V124" s="143">
        <f>INDEX('FY 22 OFA Shell'!$AX$27:$AX$195,MATCH(Outputs!A124,'FY 22 OFA Shell'!$I$27:$I$195,0))</f>
        <v>370530.6678</v>
      </c>
      <c r="W124" s="143">
        <f>INDEX('FY 23 OFA Shell'!$AX$27:$AX$195,MATCH(Outputs!A124,'FY 23 OFA Shell'!$I$27:$I$195,0))</f>
        <v>502478.33559999999</v>
      </c>
      <c r="X124" s="143">
        <f>INDEX('FY 23 OFA Shell'!BK$27:BK$195,MATCH(Outputs!$A124,'FY 23 OFA Shell'!$I$27:$I$195,0))</f>
        <v>634426.00340000005</v>
      </c>
      <c r="Y124" s="143">
        <f>INDEX('FY 23 OFA Shell'!BL$27:BL$195,MATCH(Outputs!$A124,'FY 23 OFA Shell'!$I$27:$I$195,0))</f>
        <v>766373.67119999998</v>
      </c>
      <c r="Z124" s="143">
        <f>INDEX('FY 23 OFA Shell'!BM$27:BM$195,MATCH(Outputs!$A124,'FY 23 OFA Shell'!$I$27:$I$195,0))</f>
        <v>898321.33899999992</v>
      </c>
      <c r="AA124" s="143">
        <f>INDEX('FY 23 OFA Shell'!BN$27:BN$195,MATCH(Outputs!$A124,'FY 23 OFA Shell'!$I$27:$I$195,0))</f>
        <v>1030269.0067999999</v>
      </c>
      <c r="AB124" s="143">
        <f>INDEX('FY 23 OFA Shell'!BO$27:BO$195,MATCH(Outputs!$A124,'FY 23 OFA Shell'!$I$27:$I$195,0))</f>
        <v>1485245</v>
      </c>
      <c r="AC124" s="143">
        <f>INDEX('FY 23 OFA Shell'!BP$27:BP$195,MATCH(Outputs!$A124,'FY 23 OFA Shell'!$I$27:$I$195,0))</f>
        <v>1485245</v>
      </c>
      <c r="AD124" s="143">
        <f>INDEX('FY 23 OFA Shell'!BQ$27:BQ$195,MATCH(Outputs!$A124,'FY 23 OFA Shell'!$I$27:$I$195,0))</f>
        <v>1485245</v>
      </c>
      <c r="AE124" s="129">
        <f t="shared" si="69"/>
        <v>0</v>
      </c>
      <c r="AF124" s="129">
        <f t="shared" si="70"/>
        <v>0</v>
      </c>
      <c r="AG124" s="129">
        <f t="shared" si="71"/>
        <v>0</v>
      </c>
      <c r="AH124" s="129">
        <f t="shared" si="72"/>
        <v>0</v>
      </c>
      <c r="AI124" s="129">
        <f t="shared" si="73"/>
        <v>0</v>
      </c>
      <c r="AJ124" s="129">
        <f t="shared" si="74"/>
        <v>0</v>
      </c>
      <c r="AK124" s="129">
        <f t="shared" si="75"/>
        <v>0</v>
      </c>
      <c r="AL124" s="129">
        <f t="shared" si="76"/>
        <v>0</v>
      </c>
      <c r="AM124" s="129">
        <f t="shared" si="77"/>
        <v>0</v>
      </c>
      <c r="AN124" s="127">
        <f t="shared" si="78"/>
        <v>0</v>
      </c>
      <c r="AO124" s="127">
        <f t="shared" si="79"/>
        <v>0</v>
      </c>
      <c r="AP124" s="127">
        <f t="shared" si="80"/>
        <v>0</v>
      </c>
      <c r="AQ124" s="127">
        <f t="shared" si="81"/>
        <v>0</v>
      </c>
      <c r="AR124" s="127">
        <f t="shared" si="82"/>
        <v>0</v>
      </c>
      <c r="AS124" s="127">
        <f t="shared" si="83"/>
        <v>0</v>
      </c>
      <c r="AT124" s="127">
        <f t="shared" si="84"/>
        <v>0</v>
      </c>
      <c r="AU124" s="127">
        <f t="shared" si="85"/>
        <v>0</v>
      </c>
      <c r="AV124" s="127">
        <f t="shared" si="86"/>
        <v>0</v>
      </c>
    </row>
    <row r="125" spans="1:48" x14ac:dyDescent="0.15">
      <c r="A125" s="29" t="s">
        <v>118</v>
      </c>
      <c r="B125" s="30">
        <f>IF(Data!D120=1, MAX(Data!AA120, Inputs!$E$25) + INDEX(Inputs!$D$38:$D$42, MATCH( Data!AD120, Inputs!$B$38:$B$42, 0), 0), MAX(Data!AA120, Inputs!$E$26) +  INDEX(Inputs!$D$38:$D$42, MATCH( Data!AD120, Inputs!$B$38:$B$42, 0), 0))</f>
        <v>0.01</v>
      </c>
      <c r="C125" s="141">
        <f>(100*Data!R120)</f>
        <v>0</v>
      </c>
      <c r="D125" s="141">
        <f>ROUND(Data!Q120*C125, 0)</f>
        <v>0</v>
      </c>
      <c r="E125" s="141">
        <f>(100*Data!T120)</f>
        <v>0</v>
      </c>
      <c r="F125" s="141">
        <f>E125*Data!S120</f>
        <v>0</v>
      </c>
      <c r="G125" s="142">
        <f>ROUND(Inputs!$E$21*Data!W120*B125, 0)</f>
        <v>132935</v>
      </c>
      <c r="H125" s="143">
        <f>IF(G125=0, 0,IF(Inputs!$E$30="Yes", IF(Data!D120=1, MAX(Outputs!D125+Outputs!F125+Outputs!G125, Data!AE120), Outputs!D125+Outputs!F125+Outputs!G125), Outputs!D125+Outputs!F125+Outputs!G125))</f>
        <v>132935</v>
      </c>
      <c r="I125" s="143">
        <f>INDEX('FY 22 OFA Shell'!$AQ$27:$AQ$195,MATCH(Outputs!A125,'FY 22 OFA Shell'!$I$27:$I$195,0))</f>
        <v>132935</v>
      </c>
      <c r="J125" s="129">
        <f>H125-Data!AT120</f>
        <v>2152.0151999999944</v>
      </c>
      <c r="K125" s="127">
        <f>((H125)/(Data!AT120)) - 1</f>
        <v>1.6454856136606466E-2</v>
      </c>
      <c r="L125" s="127">
        <f t="shared" si="87"/>
        <v>0</v>
      </c>
      <c r="M125" s="143">
        <f>(IF(Inputs!$E$30="Yes",INDEX(Data!AT:AT,MATCH(Outputs!A125,Data!A:A,0)),INDEX(Data!AS:AS,MATCH(Outputs!A125,Data!A:A,0))))</f>
        <v>130782.98480000001</v>
      </c>
      <c r="N125" s="143">
        <f>IF(Inputs!$E$30="Yes",INDEX(Data!BN:BN,MATCH(Outputs!$A125,Data!$A:$A,0)),INDEX(Data!BE:BE,MATCH(Outputs!$A125,Data!$A:$A,0)))</f>
        <v>131851.96960000001</v>
      </c>
      <c r="O125" s="143">
        <f>IF(Inputs!$E$30="Yes",INDEX(Data!BO:BO,MATCH(Outputs!$A125,Data!$A:$A,0)),INDEX(Data!BF:BF,MATCH(Outputs!$A125,Data!$A:$A,0)))</f>
        <v>132920.95440000002</v>
      </c>
      <c r="P125" s="143">
        <f>IF(Inputs!$E$30="Yes",INDEX(Data!BP:BP,MATCH(Outputs!$A125,Data!$A:$A,0)),INDEX(Data!BG:BG,MATCH(Outputs!$A125,Data!$A:$A,0)))</f>
        <v>133989.93920000002</v>
      </c>
      <c r="Q125" s="143">
        <f>IF(Inputs!$E$30="Yes",INDEX(Data!BQ:BQ,MATCH(Outputs!$A125,Data!$A:$A,0)),INDEX(Data!BH:BH,MATCH(Outputs!$A125,Data!$A:$A,0)))</f>
        <v>135058.92400000003</v>
      </c>
      <c r="R125" s="143">
        <f>IF(Inputs!$E$30="Yes",INDEX(Data!BR:BR,MATCH(Outputs!$A125,Data!$A:$A,0)),INDEX(Data!BI:BI,MATCH(Outputs!$A125,Data!$A:$A,0)))</f>
        <v>136127.90880000003</v>
      </c>
      <c r="S125" s="143">
        <f>IF(Inputs!$E$30="Yes",INDEX(Data!BS:BS,MATCH(Outputs!$A125,Data!$A:$A,0)),INDEX(Data!BJ:BJ,MATCH(Outputs!$A125,Data!$A:$A,0)))</f>
        <v>132935</v>
      </c>
      <c r="T125" s="143">
        <f>IF(Inputs!$E$30="Yes",INDEX(Data!BT:BT,MATCH(Outputs!$A125,Data!$A:$A,0)),INDEX(Data!BK:BK,MATCH(Outputs!$A125,Data!$A:$A,0)))</f>
        <v>132935</v>
      </c>
      <c r="U125" s="143">
        <f>IF(Inputs!$E$30="Yes",INDEX(Data!BU:BU,MATCH(Outputs!$A125,Data!$A:$A,0)),INDEX(Data!BL:BL,MATCH(Outputs!$A125,Data!$A:$A,0)))</f>
        <v>132935</v>
      </c>
      <c r="V125" s="143">
        <f>INDEX('FY 22 OFA Shell'!$AX$27:$AX$195,MATCH(Outputs!A125,'FY 22 OFA Shell'!$I$27:$I$195,0))</f>
        <v>130782.98480000001</v>
      </c>
      <c r="W125" s="143">
        <f>INDEX('FY 23 OFA Shell'!$AX$27:$AX$195,MATCH(Outputs!A125,'FY 23 OFA Shell'!$I$27:$I$195,0))</f>
        <v>131851.96960000001</v>
      </c>
      <c r="X125" s="143">
        <f>INDEX('FY 23 OFA Shell'!BK$27:BK$195,MATCH(Outputs!$A125,'FY 23 OFA Shell'!$I$27:$I$195,0))</f>
        <v>132920.95440000002</v>
      </c>
      <c r="Y125" s="143">
        <f>INDEX('FY 23 OFA Shell'!BL$27:BL$195,MATCH(Outputs!$A125,'FY 23 OFA Shell'!$I$27:$I$195,0))</f>
        <v>133989.93920000002</v>
      </c>
      <c r="Z125" s="143">
        <f>INDEX('FY 23 OFA Shell'!BM$27:BM$195,MATCH(Outputs!$A125,'FY 23 OFA Shell'!$I$27:$I$195,0))</f>
        <v>135058.92400000003</v>
      </c>
      <c r="AA125" s="143">
        <f>INDEX('FY 23 OFA Shell'!BN$27:BN$195,MATCH(Outputs!$A125,'FY 23 OFA Shell'!$I$27:$I$195,0))</f>
        <v>136127.90880000003</v>
      </c>
      <c r="AB125" s="143">
        <f>INDEX('FY 23 OFA Shell'!BO$27:BO$195,MATCH(Outputs!$A125,'FY 23 OFA Shell'!$I$27:$I$195,0))</f>
        <v>132935</v>
      </c>
      <c r="AC125" s="143">
        <f>INDEX('FY 23 OFA Shell'!BP$27:BP$195,MATCH(Outputs!$A125,'FY 23 OFA Shell'!$I$27:$I$195,0))</f>
        <v>132935</v>
      </c>
      <c r="AD125" s="143">
        <f>INDEX('FY 23 OFA Shell'!BQ$27:BQ$195,MATCH(Outputs!$A125,'FY 23 OFA Shell'!$I$27:$I$195,0))</f>
        <v>132935</v>
      </c>
      <c r="AE125" s="129">
        <f t="shared" si="69"/>
        <v>0</v>
      </c>
      <c r="AF125" s="129">
        <f t="shared" si="70"/>
        <v>0</v>
      </c>
      <c r="AG125" s="129">
        <f t="shared" si="71"/>
        <v>0</v>
      </c>
      <c r="AH125" s="129">
        <f t="shared" si="72"/>
        <v>0</v>
      </c>
      <c r="AI125" s="129">
        <f t="shared" si="73"/>
        <v>0</v>
      </c>
      <c r="AJ125" s="129">
        <f t="shared" si="74"/>
        <v>0</v>
      </c>
      <c r="AK125" s="129">
        <f t="shared" si="75"/>
        <v>0</v>
      </c>
      <c r="AL125" s="129">
        <f t="shared" si="76"/>
        <v>0</v>
      </c>
      <c r="AM125" s="129">
        <f t="shared" si="77"/>
        <v>0</v>
      </c>
      <c r="AN125" s="127">
        <f t="shared" si="78"/>
        <v>0</v>
      </c>
      <c r="AO125" s="127">
        <f t="shared" si="79"/>
        <v>0</v>
      </c>
      <c r="AP125" s="127">
        <f t="shared" si="80"/>
        <v>0</v>
      </c>
      <c r="AQ125" s="127">
        <f t="shared" si="81"/>
        <v>0</v>
      </c>
      <c r="AR125" s="127">
        <f t="shared" si="82"/>
        <v>0</v>
      </c>
      <c r="AS125" s="127">
        <f t="shared" si="83"/>
        <v>0</v>
      </c>
      <c r="AT125" s="127">
        <f t="shared" si="84"/>
        <v>0</v>
      </c>
      <c r="AU125" s="127">
        <f t="shared" si="85"/>
        <v>0</v>
      </c>
      <c r="AV125" s="127">
        <f t="shared" si="86"/>
        <v>0</v>
      </c>
    </row>
    <row r="126" spans="1:48" x14ac:dyDescent="0.15">
      <c r="A126" s="29" t="s">
        <v>119</v>
      </c>
      <c r="B126" s="30">
        <f>IF(Data!D121=1, MAX(Data!AA121, Inputs!$E$25) + INDEX(Inputs!$D$38:$D$42, MATCH( Data!AD121, Inputs!$B$38:$B$42, 0), 0), MAX(Data!AA121, Inputs!$E$26) +  INDEX(Inputs!$D$38:$D$42, MATCH( Data!AD121, Inputs!$B$38:$B$42, 0), 0))</f>
        <v>0.01</v>
      </c>
      <c r="C126" s="141">
        <f>(100*Data!R121)</f>
        <v>600</v>
      </c>
      <c r="D126" s="141">
        <f>ROUND(Data!Q121*C126, 0)</f>
        <v>657000</v>
      </c>
      <c r="E126" s="141">
        <f>(100*Data!T121)</f>
        <v>0</v>
      </c>
      <c r="F126" s="141">
        <f>E126*Data!S121</f>
        <v>0</v>
      </c>
      <c r="G126" s="142">
        <f>ROUND(Inputs!$E$21*Data!W121*B126, 0)</f>
        <v>279278</v>
      </c>
      <c r="H126" s="143">
        <f>IF(G126=0, 0,IF(Inputs!$E$30="Yes", IF(Data!D121=1, MAX(Outputs!D126+Outputs!F126+Outputs!G126, Data!AE121), Outputs!D126+Outputs!F126+Outputs!G126), Outputs!D126+Outputs!F126+Outputs!G126))</f>
        <v>936278</v>
      </c>
      <c r="I126" s="143">
        <f>INDEX('FY 22 OFA Shell'!$AQ$27:$AQ$195,MATCH(Outputs!A126,'FY 22 OFA Shell'!$I$27:$I$195,0))</f>
        <v>936278</v>
      </c>
      <c r="J126" s="129">
        <f>H126-Data!AT121</f>
        <v>-79220</v>
      </c>
      <c r="K126" s="127">
        <f>((H126)/(Data!AT121)) - 1</f>
        <v>-7.8010985742955619E-2</v>
      </c>
      <c r="L126" s="127">
        <f t="shared" si="87"/>
        <v>0</v>
      </c>
      <c r="M126" s="143">
        <f>(IF(Inputs!$E$30="Yes",INDEX(Data!AT:AT,MATCH(Outputs!A126,Data!A:A,0)),INDEX(Data!AS:AS,MATCH(Outputs!A126,Data!A:A,0))))</f>
        <v>1015498</v>
      </c>
      <c r="N126" s="143">
        <f>IF(Inputs!$E$30="Yes",INDEX(Data!BN:BN,MATCH(Outputs!$A126,Data!$A:$A,0)),INDEX(Data!BE:BE,MATCH(Outputs!$A126,Data!$A:$A,0)))</f>
        <v>1015498</v>
      </c>
      <c r="O126" s="143">
        <f>IF(Inputs!$E$30="Yes",INDEX(Data!BO:BO,MATCH(Outputs!$A126,Data!$A:$A,0)),INDEX(Data!BF:BF,MATCH(Outputs!$A126,Data!$A:$A,0)))</f>
        <v>967771.43160000001</v>
      </c>
      <c r="P126" s="143">
        <f>IF(Inputs!$E$30="Yes",INDEX(Data!BP:BP,MATCH(Outputs!$A126,Data!$A:$A,0)),INDEX(Data!BG:BG,MATCH(Outputs!$A126,Data!$A:$A,0)))</f>
        <v>920044.86320000002</v>
      </c>
      <c r="Q126" s="143">
        <f>IF(Inputs!$E$30="Yes",INDEX(Data!BQ:BQ,MATCH(Outputs!$A126,Data!$A:$A,0)),INDEX(Data!BH:BH,MATCH(Outputs!$A126,Data!$A:$A,0)))</f>
        <v>872318.29480000003</v>
      </c>
      <c r="R126" s="143">
        <f>IF(Inputs!$E$30="Yes",INDEX(Data!BR:BR,MATCH(Outputs!$A126,Data!$A:$A,0)),INDEX(Data!BI:BI,MATCH(Outputs!$A126,Data!$A:$A,0)))</f>
        <v>824591.72640000004</v>
      </c>
      <c r="S126" s="143">
        <f>IF(Inputs!$E$30="Yes",INDEX(Data!BS:BS,MATCH(Outputs!$A126,Data!$A:$A,0)),INDEX(Data!BJ:BJ,MATCH(Outputs!$A126,Data!$A:$A,0)))</f>
        <v>776865.15800000005</v>
      </c>
      <c r="T126" s="143">
        <f>IF(Inputs!$E$30="Yes",INDEX(Data!BT:BT,MATCH(Outputs!$A126,Data!$A:$A,0)),INDEX(Data!BK:BK,MATCH(Outputs!$A126,Data!$A:$A,0)))</f>
        <v>729138.58960000006</v>
      </c>
      <c r="U126" s="143">
        <f>IF(Inputs!$E$30="Yes",INDEX(Data!BU:BU,MATCH(Outputs!$A126,Data!$A:$A,0)),INDEX(Data!BL:BL,MATCH(Outputs!$A126,Data!$A:$A,0)))</f>
        <v>936278</v>
      </c>
      <c r="V126" s="143">
        <f>INDEX('FY 22 OFA Shell'!$AX$27:$AX$195,MATCH(Outputs!A126,'FY 22 OFA Shell'!$I$27:$I$195,0))</f>
        <v>1015498</v>
      </c>
      <c r="W126" s="143">
        <f>INDEX('FY 23 OFA Shell'!$AX$27:$AX$195,MATCH(Outputs!A126,'FY 23 OFA Shell'!$I$27:$I$195,0))</f>
        <v>1015498</v>
      </c>
      <c r="X126" s="143">
        <f>INDEX('FY 23 OFA Shell'!BK$27:BK$195,MATCH(Outputs!$A126,'FY 23 OFA Shell'!$I$27:$I$195,0))</f>
        <v>967771.43160000001</v>
      </c>
      <c r="Y126" s="143">
        <f>INDEX('FY 23 OFA Shell'!BL$27:BL$195,MATCH(Outputs!$A126,'FY 23 OFA Shell'!$I$27:$I$195,0))</f>
        <v>920044.86320000002</v>
      </c>
      <c r="Z126" s="143">
        <f>INDEX('FY 23 OFA Shell'!BM$27:BM$195,MATCH(Outputs!$A126,'FY 23 OFA Shell'!$I$27:$I$195,0))</f>
        <v>872318.29480000003</v>
      </c>
      <c r="AA126" s="143">
        <f>INDEX('FY 23 OFA Shell'!BN$27:BN$195,MATCH(Outputs!$A126,'FY 23 OFA Shell'!$I$27:$I$195,0))</f>
        <v>824591.72640000004</v>
      </c>
      <c r="AB126" s="143">
        <f>INDEX('FY 23 OFA Shell'!BO$27:BO$195,MATCH(Outputs!$A126,'FY 23 OFA Shell'!$I$27:$I$195,0))</f>
        <v>776865.15800000005</v>
      </c>
      <c r="AC126" s="143">
        <f>INDEX('FY 23 OFA Shell'!BP$27:BP$195,MATCH(Outputs!$A126,'FY 23 OFA Shell'!$I$27:$I$195,0))</f>
        <v>729138.58960000006</v>
      </c>
      <c r="AD126" s="143">
        <f>INDEX('FY 23 OFA Shell'!BQ$27:BQ$195,MATCH(Outputs!$A126,'FY 23 OFA Shell'!$I$27:$I$195,0))</f>
        <v>936278</v>
      </c>
      <c r="AE126" s="129">
        <f t="shared" si="69"/>
        <v>0</v>
      </c>
      <c r="AF126" s="129">
        <f t="shared" si="70"/>
        <v>0</v>
      </c>
      <c r="AG126" s="129">
        <f t="shared" si="71"/>
        <v>0</v>
      </c>
      <c r="AH126" s="129">
        <f t="shared" si="72"/>
        <v>0</v>
      </c>
      <c r="AI126" s="129">
        <f t="shared" si="73"/>
        <v>0</v>
      </c>
      <c r="AJ126" s="129">
        <f t="shared" si="74"/>
        <v>0</v>
      </c>
      <c r="AK126" s="129">
        <f t="shared" si="75"/>
        <v>0</v>
      </c>
      <c r="AL126" s="129">
        <f t="shared" si="76"/>
        <v>0</v>
      </c>
      <c r="AM126" s="129">
        <f t="shared" si="77"/>
        <v>0</v>
      </c>
      <c r="AN126" s="127">
        <f t="shared" si="78"/>
        <v>0</v>
      </c>
      <c r="AO126" s="127">
        <f t="shared" si="79"/>
        <v>0</v>
      </c>
      <c r="AP126" s="127">
        <f t="shared" si="80"/>
        <v>0</v>
      </c>
      <c r="AQ126" s="127">
        <f t="shared" si="81"/>
        <v>0</v>
      </c>
      <c r="AR126" s="127">
        <f t="shared" si="82"/>
        <v>0</v>
      </c>
      <c r="AS126" s="127">
        <f t="shared" si="83"/>
        <v>0</v>
      </c>
      <c r="AT126" s="127">
        <f t="shared" si="84"/>
        <v>0</v>
      </c>
      <c r="AU126" s="127">
        <f t="shared" si="85"/>
        <v>0</v>
      </c>
      <c r="AV126" s="127">
        <f t="shared" si="86"/>
        <v>0</v>
      </c>
    </row>
    <row r="127" spans="1:48" x14ac:dyDescent="0.15">
      <c r="A127" s="29" t="s">
        <v>120</v>
      </c>
      <c r="B127" s="30">
        <f>IF(Data!D122=1, MAX(Data!AA122, Inputs!$E$25) + INDEX(Inputs!$D$38:$D$42, MATCH( Data!AD122, Inputs!$B$38:$B$42, 0), 0), MAX(Data!AA122, Inputs!$E$26) +  INDEX(Inputs!$D$38:$D$42, MATCH( Data!AD122, Inputs!$B$38:$B$42, 0), 0))</f>
        <v>0.100563</v>
      </c>
      <c r="C127" s="141">
        <f>(100*Data!R122)</f>
        <v>0</v>
      </c>
      <c r="D127" s="141">
        <f>ROUND(Data!Q122*C127, 0)</f>
        <v>0</v>
      </c>
      <c r="E127" s="141">
        <f>(100*Data!T122)</f>
        <v>0</v>
      </c>
      <c r="F127" s="141">
        <f>E127*Data!S122</f>
        <v>0</v>
      </c>
      <c r="G127" s="142">
        <f>ROUND(Inputs!$E$21*Data!W122*B127, 0)</f>
        <v>2037479</v>
      </c>
      <c r="H127" s="143">
        <f>IF(G127=0, 0,IF(Inputs!$E$30="Yes", IF(Data!D122=1, MAX(Outputs!D127+Outputs!F127+Outputs!G127, Data!AE122), Outputs!D127+Outputs!F127+Outputs!G127), Outputs!D127+Outputs!F127+Outputs!G127))</f>
        <v>2037479</v>
      </c>
      <c r="I127" s="143">
        <f>INDEX('FY 22 OFA Shell'!$AQ$27:$AQ$195,MATCH(Outputs!A127,'FY 22 OFA Shell'!$I$27:$I$195,0))</f>
        <v>2037479</v>
      </c>
      <c r="J127" s="129">
        <f>H127-Data!AT122</f>
        <v>-1639532</v>
      </c>
      <c r="K127" s="127">
        <f>((H127)/(Data!AT122)) - 1</f>
        <v>-0.44588716215426061</v>
      </c>
      <c r="L127" s="127">
        <f t="shared" si="87"/>
        <v>0</v>
      </c>
      <c r="M127" s="143">
        <f>(IF(Inputs!$E$30="Yes",INDEX(Data!AT:AT,MATCH(Outputs!A127,Data!A:A,0)),INDEX(Data!AS:AS,MATCH(Outputs!A127,Data!A:A,0))))</f>
        <v>3677011</v>
      </c>
      <c r="N127" s="143">
        <f>IF(Inputs!$E$30="Yes",INDEX(Data!BN:BN,MATCH(Outputs!$A127,Data!$A:$A,0)),INDEX(Data!BE:BE,MATCH(Outputs!$A127,Data!$A:$A,0)))</f>
        <v>3677011</v>
      </c>
      <c r="O127" s="143">
        <f>IF(Inputs!$E$30="Yes",INDEX(Data!BO:BO,MATCH(Outputs!$A127,Data!$A:$A,0)),INDEX(Data!BF:BF,MATCH(Outputs!$A127,Data!$A:$A,0)))</f>
        <v>3469487.0427999999</v>
      </c>
      <c r="P127" s="143">
        <f>IF(Inputs!$E$30="Yes",INDEX(Data!BP:BP,MATCH(Outputs!$A127,Data!$A:$A,0)),INDEX(Data!BG:BG,MATCH(Outputs!$A127,Data!$A:$A,0)))</f>
        <v>3261963.0855999999</v>
      </c>
      <c r="Q127" s="143">
        <f>IF(Inputs!$E$30="Yes",INDEX(Data!BQ:BQ,MATCH(Outputs!$A127,Data!$A:$A,0)),INDEX(Data!BH:BH,MATCH(Outputs!$A127,Data!$A:$A,0)))</f>
        <v>3054439.1283999998</v>
      </c>
      <c r="R127" s="143">
        <f>IF(Inputs!$E$30="Yes",INDEX(Data!BR:BR,MATCH(Outputs!$A127,Data!$A:$A,0)),INDEX(Data!BI:BI,MATCH(Outputs!$A127,Data!$A:$A,0)))</f>
        <v>2846915.1711999997</v>
      </c>
      <c r="S127" s="143">
        <f>IF(Inputs!$E$30="Yes",INDEX(Data!BS:BS,MATCH(Outputs!$A127,Data!$A:$A,0)),INDEX(Data!BJ:BJ,MATCH(Outputs!$A127,Data!$A:$A,0)))</f>
        <v>2639391.2139999997</v>
      </c>
      <c r="T127" s="143">
        <f>IF(Inputs!$E$30="Yes",INDEX(Data!BT:BT,MATCH(Outputs!$A127,Data!$A:$A,0)),INDEX(Data!BK:BK,MATCH(Outputs!$A127,Data!$A:$A,0)))</f>
        <v>2431867.2567999996</v>
      </c>
      <c r="U127" s="143">
        <f>IF(Inputs!$E$30="Yes",INDEX(Data!BU:BU,MATCH(Outputs!$A127,Data!$A:$A,0)),INDEX(Data!BL:BL,MATCH(Outputs!$A127,Data!$A:$A,0)))</f>
        <v>2037479</v>
      </c>
      <c r="V127" s="143">
        <f>INDEX('FY 22 OFA Shell'!$AX$27:$AX$195,MATCH(Outputs!A127,'FY 22 OFA Shell'!$I$27:$I$195,0))</f>
        <v>3677011</v>
      </c>
      <c r="W127" s="143">
        <f>INDEX('FY 23 OFA Shell'!$AX$27:$AX$195,MATCH(Outputs!A127,'FY 23 OFA Shell'!$I$27:$I$195,0))</f>
        <v>3677011</v>
      </c>
      <c r="X127" s="143">
        <f>INDEX('FY 23 OFA Shell'!BK$27:BK$195,MATCH(Outputs!$A127,'FY 23 OFA Shell'!$I$27:$I$195,0))</f>
        <v>3469487.0427999999</v>
      </c>
      <c r="Y127" s="143">
        <f>INDEX('FY 23 OFA Shell'!BL$27:BL$195,MATCH(Outputs!$A127,'FY 23 OFA Shell'!$I$27:$I$195,0))</f>
        <v>3261963.0855999999</v>
      </c>
      <c r="Z127" s="143">
        <f>INDEX('FY 23 OFA Shell'!BM$27:BM$195,MATCH(Outputs!$A127,'FY 23 OFA Shell'!$I$27:$I$195,0))</f>
        <v>3054439.1283999998</v>
      </c>
      <c r="AA127" s="143">
        <f>INDEX('FY 23 OFA Shell'!BN$27:BN$195,MATCH(Outputs!$A127,'FY 23 OFA Shell'!$I$27:$I$195,0))</f>
        <v>2846915.1711999997</v>
      </c>
      <c r="AB127" s="143">
        <f>INDEX('FY 23 OFA Shell'!BO$27:BO$195,MATCH(Outputs!$A127,'FY 23 OFA Shell'!$I$27:$I$195,0))</f>
        <v>2639391.2139999997</v>
      </c>
      <c r="AC127" s="143">
        <f>INDEX('FY 23 OFA Shell'!BP$27:BP$195,MATCH(Outputs!$A127,'FY 23 OFA Shell'!$I$27:$I$195,0))</f>
        <v>2431867.2567999996</v>
      </c>
      <c r="AD127" s="143">
        <f>INDEX('FY 23 OFA Shell'!BQ$27:BQ$195,MATCH(Outputs!$A127,'FY 23 OFA Shell'!$I$27:$I$195,0))</f>
        <v>2037479</v>
      </c>
      <c r="AE127" s="129">
        <f t="shared" si="69"/>
        <v>0</v>
      </c>
      <c r="AF127" s="129">
        <f t="shared" si="70"/>
        <v>0</v>
      </c>
      <c r="AG127" s="129">
        <f t="shared" si="71"/>
        <v>0</v>
      </c>
      <c r="AH127" s="129">
        <f t="shared" si="72"/>
        <v>0</v>
      </c>
      <c r="AI127" s="129">
        <f t="shared" si="73"/>
        <v>0</v>
      </c>
      <c r="AJ127" s="129">
        <f t="shared" si="74"/>
        <v>0</v>
      </c>
      <c r="AK127" s="129">
        <f t="shared" si="75"/>
        <v>0</v>
      </c>
      <c r="AL127" s="129">
        <f t="shared" si="76"/>
        <v>0</v>
      </c>
      <c r="AM127" s="129">
        <f t="shared" si="77"/>
        <v>0</v>
      </c>
      <c r="AN127" s="127">
        <f t="shared" si="78"/>
        <v>0</v>
      </c>
      <c r="AO127" s="127">
        <f t="shared" si="79"/>
        <v>0</v>
      </c>
      <c r="AP127" s="127">
        <f t="shared" si="80"/>
        <v>0</v>
      </c>
      <c r="AQ127" s="127">
        <f t="shared" si="81"/>
        <v>0</v>
      </c>
      <c r="AR127" s="127">
        <f t="shared" si="82"/>
        <v>0</v>
      </c>
      <c r="AS127" s="127">
        <f t="shared" si="83"/>
        <v>0</v>
      </c>
      <c r="AT127" s="127">
        <f t="shared" si="84"/>
        <v>0</v>
      </c>
      <c r="AU127" s="127">
        <f t="shared" si="85"/>
        <v>0</v>
      </c>
      <c r="AV127" s="127">
        <f t="shared" si="86"/>
        <v>0</v>
      </c>
    </row>
    <row r="128" spans="1:48" x14ac:dyDescent="0.15">
      <c r="A128" s="29" t="s">
        <v>121</v>
      </c>
      <c r="B128" s="30">
        <f>IF(Data!D123=1, MAX(Data!AA123, Inputs!$E$25) + INDEX(Inputs!$D$38:$D$42, MATCH( Data!AD123, Inputs!$B$38:$B$42, 0), 0), MAX(Data!AA123, Inputs!$E$26) +  INDEX(Inputs!$D$38:$D$42, MATCH( Data!AD123, Inputs!$B$38:$B$42, 0), 0))</f>
        <v>0.47357100000000002</v>
      </c>
      <c r="C128" s="141">
        <f>(100*Data!R123)</f>
        <v>0</v>
      </c>
      <c r="D128" s="141">
        <f>ROUND(Data!Q123*C128, 0)</f>
        <v>0</v>
      </c>
      <c r="E128" s="141">
        <f>(100*Data!T123)</f>
        <v>0</v>
      </c>
      <c r="F128" s="141">
        <f>E128*Data!S123</f>
        <v>0</v>
      </c>
      <c r="G128" s="142">
        <f>ROUND(Inputs!$E$21*Data!W123*B128, 0)</f>
        <v>12878747</v>
      </c>
      <c r="H128" s="143">
        <f>IF(G128=0, 0,IF(Inputs!$E$30="Yes", IF(Data!D123=1, MAX(Outputs!D128+Outputs!F128+Outputs!G128, Data!AE123), Outputs!D128+Outputs!F128+Outputs!G128), Outputs!D128+Outputs!F128+Outputs!G128))</f>
        <v>12878747</v>
      </c>
      <c r="I128" s="143">
        <f>INDEX('FY 22 OFA Shell'!$AQ$27:$AQ$195,MATCH(Outputs!A128,'FY 22 OFA Shell'!$I$27:$I$195,0))</f>
        <v>12878747</v>
      </c>
      <c r="J128" s="129">
        <f>H128-Data!AT123</f>
        <v>-2111300</v>
      </c>
      <c r="K128" s="127">
        <f>((H128)/(Data!AT123)) - 1</f>
        <v>-0.14084678987330723</v>
      </c>
      <c r="L128" s="127">
        <f t="shared" si="87"/>
        <v>0</v>
      </c>
      <c r="M128" s="143">
        <f>(IF(Inputs!$E$30="Yes",INDEX(Data!AT:AT,MATCH(Outputs!A128,Data!A:A,0)),INDEX(Data!AS:AS,MATCH(Outputs!A128,Data!A:A,0))))</f>
        <v>14990047</v>
      </c>
      <c r="N128" s="143">
        <f>IF(Inputs!$E$30="Yes",INDEX(Data!BN:BN,MATCH(Outputs!$A128,Data!$A:$A,0)),INDEX(Data!BE:BE,MATCH(Outputs!$A128,Data!$A:$A,0)))</f>
        <v>14990047</v>
      </c>
      <c r="O128" s="143">
        <f>IF(Inputs!$E$30="Yes",INDEX(Data!BO:BO,MATCH(Outputs!$A128,Data!$A:$A,0)),INDEX(Data!BF:BF,MATCH(Outputs!$A128,Data!$A:$A,0)))</f>
        <v>14782988.4399</v>
      </c>
      <c r="P128" s="143">
        <f>IF(Inputs!$E$30="Yes",INDEX(Data!BP:BP,MATCH(Outputs!$A128,Data!$A:$A,0)),INDEX(Data!BG:BG,MATCH(Outputs!$A128,Data!$A:$A,0)))</f>
        <v>14575929.879799999</v>
      </c>
      <c r="Q128" s="143">
        <f>IF(Inputs!$E$30="Yes",INDEX(Data!BQ:BQ,MATCH(Outputs!$A128,Data!$A:$A,0)),INDEX(Data!BH:BH,MATCH(Outputs!$A128,Data!$A:$A,0)))</f>
        <v>14368871.319699999</v>
      </c>
      <c r="R128" s="143">
        <f>IF(Inputs!$E$30="Yes",INDEX(Data!BR:BR,MATCH(Outputs!$A128,Data!$A:$A,0)),INDEX(Data!BI:BI,MATCH(Outputs!$A128,Data!$A:$A,0)))</f>
        <v>14161812.759599999</v>
      </c>
      <c r="S128" s="143">
        <f>IF(Inputs!$E$30="Yes",INDEX(Data!BS:BS,MATCH(Outputs!$A128,Data!$A:$A,0)),INDEX(Data!BJ:BJ,MATCH(Outputs!$A128,Data!$A:$A,0)))</f>
        <v>13954754.199499998</v>
      </c>
      <c r="T128" s="143">
        <f>IF(Inputs!$E$30="Yes",INDEX(Data!BT:BT,MATCH(Outputs!$A128,Data!$A:$A,0)),INDEX(Data!BK:BK,MATCH(Outputs!$A128,Data!$A:$A,0)))</f>
        <v>13747695.639399998</v>
      </c>
      <c r="U128" s="143">
        <f>IF(Inputs!$E$30="Yes",INDEX(Data!BU:BU,MATCH(Outputs!$A128,Data!$A:$A,0)),INDEX(Data!BL:BL,MATCH(Outputs!$A128,Data!$A:$A,0)))</f>
        <v>12878747</v>
      </c>
      <c r="V128" s="143">
        <f>INDEX('FY 22 OFA Shell'!$AX$27:$AX$195,MATCH(Outputs!A128,'FY 22 OFA Shell'!$I$27:$I$195,0))</f>
        <v>14990047</v>
      </c>
      <c r="W128" s="143">
        <f>INDEX('FY 23 OFA Shell'!$AX$27:$AX$195,MATCH(Outputs!A128,'FY 23 OFA Shell'!$I$27:$I$195,0))</f>
        <v>14990047</v>
      </c>
      <c r="X128" s="143">
        <f>INDEX('FY 23 OFA Shell'!BK$27:BK$195,MATCH(Outputs!$A128,'FY 23 OFA Shell'!$I$27:$I$195,0))</f>
        <v>14782988.4399</v>
      </c>
      <c r="Y128" s="143">
        <f>INDEX('FY 23 OFA Shell'!BL$27:BL$195,MATCH(Outputs!$A128,'FY 23 OFA Shell'!$I$27:$I$195,0))</f>
        <v>14575929.879799999</v>
      </c>
      <c r="Z128" s="143">
        <f>INDEX('FY 23 OFA Shell'!BM$27:BM$195,MATCH(Outputs!$A128,'FY 23 OFA Shell'!$I$27:$I$195,0))</f>
        <v>14368871.319699999</v>
      </c>
      <c r="AA128" s="143">
        <f>INDEX('FY 23 OFA Shell'!BN$27:BN$195,MATCH(Outputs!$A128,'FY 23 OFA Shell'!$I$27:$I$195,0))</f>
        <v>14161812.759599999</v>
      </c>
      <c r="AB128" s="143">
        <f>INDEX('FY 23 OFA Shell'!BO$27:BO$195,MATCH(Outputs!$A128,'FY 23 OFA Shell'!$I$27:$I$195,0))</f>
        <v>13954754.199499998</v>
      </c>
      <c r="AC128" s="143">
        <f>INDEX('FY 23 OFA Shell'!BP$27:BP$195,MATCH(Outputs!$A128,'FY 23 OFA Shell'!$I$27:$I$195,0))</f>
        <v>13747695.639399998</v>
      </c>
      <c r="AD128" s="143">
        <f>INDEX('FY 23 OFA Shell'!BQ$27:BQ$195,MATCH(Outputs!$A128,'FY 23 OFA Shell'!$I$27:$I$195,0))</f>
        <v>12878747</v>
      </c>
      <c r="AE128" s="129">
        <f t="shared" si="69"/>
        <v>0</v>
      </c>
      <c r="AF128" s="129">
        <f t="shared" si="70"/>
        <v>0</v>
      </c>
      <c r="AG128" s="129">
        <f t="shared" si="71"/>
        <v>0</v>
      </c>
      <c r="AH128" s="129">
        <f t="shared" si="72"/>
        <v>0</v>
      </c>
      <c r="AI128" s="129">
        <f t="shared" si="73"/>
        <v>0</v>
      </c>
      <c r="AJ128" s="129">
        <f t="shared" si="74"/>
        <v>0</v>
      </c>
      <c r="AK128" s="129">
        <f t="shared" si="75"/>
        <v>0</v>
      </c>
      <c r="AL128" s="129">
        <f t="shared" si="76"/>
        <v>0</v>
      </c>
      <c r="AM128" s="129">
        <f t="shared" si="77"/>
        <v>0</v>
      </c>
      <c r="AN128" s="127">
        <f t="shared" si="78"/>
        <v>0</v>
      </c>
      <c r="AO128" s="127">
        <f t="shared" si="79"/>
        <v>0</v>
      </c>
      <c r="AP128" s="127">
        <f t="shared" si="80"/>
        <v>0</v>
      </c>
      <c r="AQ128" s="127">
        <f t="shared" si="81"/>
        <v>0</v>
      </c>
      <c r="AR128" s="127">
        <f t="shared" si="82"/>
        <v>0</v>
      </c>
      <c r="AS128" s="127">
        <f t="shared" si="83"/>
        <v>0</v>
      </c>
      <c r="AT128" s="127">
        <f t="shared" si="84"/>
        <v>0</v>
      </c>
      <c r="AU128" s="127">
        <f t="shared" si="85"/>
        <v>0</v>
      </c>
      <c r="AV128" s="127">
        <f t="shared" si="86"/>
        <v>0</v>
      </c>
    </row>
    <row r="129" spans="1:48" x14ac:dyDescent="0.15">
      <c r="A129" s="29" t="s">
        <v>122</v>
      </c>
      <c r="B129" s="30">
        <f>IF(Data!D124=1, MAX(Data!AA124, Inputs!$E$25) + INDEX(Inputs!$D$38:$D$42, MATCH( Data!AD124, Inputs!$B$38:$B$42, 0), 0), MAX(Data!AA124, Inputs!$E$26) +  INDEX(Inputs!$D$38:$D$42, MATCH( Data!AD124, Inputs!$B$38:$B$42, 0), 0))</f>
        <v>0.41694900000000001</v>
      </c>
      <c r="C129" s="141">
        <f>(100*Data!R124)</f>
        <v>0</v>
      </c>
      <c r="D129" s="141">
        <f>ROUND(Data!Q124*C129, 0)</f>
        <v>0</v>
      </c>
      <c r="E129" s="141">
        <f>(100*Data!T124)</f>
        <v>0</v>
      </c>
      <c r="F129" s="141">
        <f>E129*Data!S124</f>
        <v>0</v>
      </c>
      <c r="G129" s="142">
        <f>ROUND(Inputs!$E$21*Data!W124*B129, 0)</f>
        <v>12079320</v>
      </c>
      <c r="H129" s="143">
        <f>IF(G129=0, 0,IF(Inputs!$E$30="Yes", IF(Data!D124=1, MAX(Outputs!D129+Outputs!F129+Outputs!G129, Data!AE124), Outputs!D129+Outputs!F129+Outputs!G129), Outputs!D129+Outputs!F129+Outputs!G129))</f>
        <v>12079320</v>
      </c>
      <c r="I129" s="143">
        <f>INDEX('FY 22 OFA Shell'!$AQ$27:$AQ$195,MATCH(Outputs!A129,'FY 22 OFA Shell'!$I$27:$I$195,0))</f>
        <v>12079320</v>
      </c>
      <c r="J129" s="129">
        <f>H129-Data!AT124</f>
        <v>1074614.6882000007</v>
      </c>
      <c r="K129" s="127">
        <f>((H129)/(Data!AT124)) - 1</f>
        <v>9.765047384301373E-2</v>
      </c>
      <c r="L129" s="127">
        <f t="shared" si="87"/>
        <v>0</v>
      </c>
      <c r="M129" s="143">
        <f>(IF(Inputs!$E$30="Yes",INDEX(Data!AT:AT,MATCH(Outputs!A129,Data!A:A,0)),INDEX(Data!AS:AS,MATCH(Outputs!A129,Data!A:A,0))))</f>
        <v>11004705.311799999</v>
      </c>
      <c r="N129" s="143">
        <f>IF(Inputs!$E$30="Yes",INDEX(Data!BN:BN,MATCH(Outputs!$A129,Data!$A:$A,0)),INDEX(Data!BE:BE,MATCH(Outputs!$A129,Data!$A:$A,0)))</f>
        <v>11197344.623599999</v>
      </c>
      <c r="O129" s="143">
        <f>IF(Inputs!$E$30="Yes",INDEX(Data!BO:BO,MATCH(Outputs!$A129,Data!$A:$A,0)),INDEX(Data!BF:BF,MATCH(Outputs!$A129,Data!$A:$A,0)))</f>
        <v>11389983.935399998</v>
      </c>
      <c r="P129" s="143">
        <f>IF(Inputs!$E$30="Yes",INDEX(Data!BP:BP,MATCH(Outputs!$A129,Data!$A:$A,0)),INDEX(Data!BG:BG,MATCH(Outputs!$A129,Data!$A:$A,0)))</f>
        <v>11582623.247199997</v>
      </c>
      <c r="Q129" s="143">
        <f>IF(Inputs!$E$30="Yes",INDEX(Data!BQ:BQ,MATCH(Outputs!$A129,Data!$A:$A,0)),INDEX(Data!BH:BH,MATCH(Outputs!$A129,Data!$A:$A,0)))</f>
        <v>11775262.558999997</v>
      </c>
      <c r="R129" s="143">
        <f>IF(Inputs!$E$30="Yes",INDEX(Data!BR:BR,MATCH(Outputs!$A129,Data!$A:$A,0)),INDEX(Data!BI:BI,MATCH(Outputs!$A129,Data!$A:$A,0)))</f>
        <v>11967901.870799996</v>
      </c>
      <c r="S129" s="143">
        <f>IF(Inputs!$E$30="Yes",INDEX(Data!BS:BS,MATCH(Outputs!$A129,Data!$A:$A,0)),INDEX(Data!BJ:BJ,MATCH(Outputs!$A129,Data!$A:$A,0)))</f>
        <v>12079320</v>
      </c>
      <c r="T129" s="143">
        <f>IF(Inputs!$E$30="Yes",INDEX(Data!BT:BT,MATCH(Outputs!$A129,Data!$A:$A,0)),INDEX(Data!BK:BK,MATCH(Outputs!$A129,Data!$A:$A,0)))</f>
        <v>12079320</v>
      </c>
      <c r="U129" s="143">
        <f>IF(Inputs!$E$30="Yes",INDEX(Data!BU:BU,MATCH(Outputs!$A129,Data!$A:$A,0)),INDEX(Data!BL:BL,MATCH(Outputs!$A129,Data!$A:$A,0)))</f>
        <v>12079320</v>
      </c>
      <c r="V129" s="143">
        <f>INDEX('FY 22 OFA Shell'!$AX$27:$AX$195,MATCH(Outputs!A129,'FY 22 OFA Shell'!$I$27:$I$195,0))</f>
        <v>11004705.311799999</v>
      </c>
      <c r="W129" s="143">
        <f>INDEX('FY 23 OFA Shell'!$AX$27:$AX$195,MATCH(Outputs!A129,'FY 23 OFA Shell'!$I$27:$I$195,0))</f>
        <v>11197344.623599999</v>
      </c>
      <c r="X129" s="143">
        <f>INDEX('FY 23 OFA Shell'!BK$27:BK$195,MATCH(Outputs!$A129,'FY 23 OFA Shell'!$I$27:$I$195,0))</f>
        <v>11389983.935399998</v>
      </c>
      <c r="Y129" s="143">
        <f>INDEX('FY 23 OFA Shell'!BL$27:BL$195,MATCH(Outputs!$A129,'FY 23 OFA Shell'!$I$27:$I$195,0))</f>
        <v>11582623.247199997</v>
      </c>
      <c r="Z129" s="143">
        <f>INDEX('FY 23 OFA Shell'!BM$27:BM$195,MATCH(Outputs!$A129,'FY 23 OFA Shell'!$I$27:$I$195,0))</f>
        <v>11775262.558999997</v>
      </c>
      <c r="AA129" s="143">
        <f>INDEX('FY 23 OFA Shell'!BN$27:BN$195,MATCH(Outputs!$A129,'FY 23 OFA Shell'!$I$27:$I$195,0))</f>
        <v>11967901.870799996</v>
      </c>
      <c r="AB129" s="143">
        <f>INDEX('FY 23 OFA Shell'!BO$27:BO$195,MATCH(Outputs!$A129,'FY 23 OFA Shell'!$I$27:$I$195,0))</f>
        <v>12079320</v>
      </c>
      <c r="AC129" s="143">
        <f>INDEX('FY 23 OFA Shell'!BP$27:BP$195,MATCH(Outputs!$A129,'FY 23 OFA Shell'!$I$27:$I$195,0))</f>
        <v>12079320</v>
      </c>
      <c r="AD129" s="143">
        <f>INDEX('FY 23 OFA Shell'!BQ$27:BQ$195,MATCH(Outputs!$A129,'FY 23 OFA Shell'!$I$27:$I$195,0))</f>
        <v>12079320</v>
      </c>
      <c r="AE129" s="129">
        <f t="shared" si="69"/>
        <v>0</v>
      </c>
      <c r="AF129" s="129">
        <f t="shared" si="70"/>
        <v>0</v>
      </c>
      <c r="AG129" s="129">
        <f t="shared" si="71"/>
        <v>0</v>
      </c>
      <c r="AH129" s="129">
        <f t="shared" si="72"/>
        <v>0</v>
      </c>
      <c r="AI129" s="129">
        <f t="shared" si="73"/>
        <v>0</v>
      </c>
      <c r="AJ129" s="129">
        <f t="shared" si="74"/>
        <v>0</v>
      </c>
      <c r="AK129" s="129">
        <f t="shared" si="75"/>
        <v>0</v>
      </c>
      <c r="AL129" s="129">
        <f t="shared" si="76"/>
        <v>0</v>
      </c>
      <c r="AM129" s="129">
        <f t="shared" si="77"/>
        <v>0</v>
      </c>
      <c r="AN129" s="127">
        <f t="shared" si="78"/>
        <v>0</v>
      </c>
      <c r="AO129" s="127">
        <f t="shared" si="79"/>
        <v>0</v>
      </c>
      <c r="AP129" s="127">
        <f t="shared" si="80"/>
        <v>0</v>
      </c>
      <c r="AQ129" s="127">
        <f t="shared" si="81"/>
        <v>0</v>
      </c>
      <c r="AR129" s="127">
        <f t="shared" si="82"/>
        <v>0</v>
      </c>
      <c r="AS129" s="127">
        <f t="shared" si="83"/>
        <v>0</v>
      </c>
      <c r="AT129" s="127">
        <f t="shared" si="84"/>
        <v>0</v>
      </c>
      <c r="AU129" s="127">
        <f t="shared" si="85"/>
        <v>0</v>
      </c>
      <c r="AV129" s="127">
        <f t="shared" si="86"/>
        <v>0</v>
      </c>
    </row>
    <row r="130" spans="1:48" x14ac:dyDescent="0.15">
      <c r="A130" s="29" t="s">
        <v>123</v>
      </c>
      <c r="B130" s="30">
        <f>IF(Data!D125=1, MAX(Data!AA125, Inputs!$E$25) + INDEX(Inputs!$D$38:$D$42, MATCH( Data!AD125, Inputs!$B$38:$B$42, 0), 0), MAX(Data!AA125, Inputs!$E$26) +  INDEX(Inputs!$D$38:$D$42, MATCH( Data!AD125, Inputs!$B$38:$B$42, 0), 0))</f>
        <v>0.48308300000000004</v>
      </c>
      <c r="C130" s="141">
        <f>(100*Data!R125)</f>
        <v>0</v>
      </c>
      <c r="D130" s="141">
        <f>ROUND(Data!Q125*C130, 0)</f>
        <v>0</v>
      </c>
      <c r="E130" s="141">
        <f>(100*Data!T125)</f>
        <v>0</v>
      </c>
      <c r="F130" s="141">
        <f>E130*Data!S125</f>
        <v>0</v>
      </c>
      <c r="G130" s="142">
        <f>ROUND(Inputs!$E$21*Data!W125*B130, 0)</f>
        <v>9031817</v>
      </c>
      <c r="H130" s="143">
        <f>IF(G130=0, 0,IF(Inputs!$E$30="Yes", IF(Data!D125=1, MAX(Outputs!D130+Outputs!F130+Outputs!G130, Data!AE125), Outputs!D130+Outputs!F130+Outputs!G130), Outputs!D130+Outputs!F130+Outputs!G130))</f>
        <v>9031817</v>
      </c>
      <c r="I130" s="143">
        <f>INDEX('FY 22 OFA Shell'!$AQ$27:$AQ$195,MATCH(Outputs!A130,'FY 22 OFA Shell'!$I$27:$I$195,0))</f>
        <v>9031817</v>
      </c>
      <c r="J130" s="129">
        <f>H130-Data!AT125</f>
        <v>-770304</v>
      </c>
      <c r="K130" s="127">
        <f>((H130)/(Data!AT125)) - 1</f>
        <v>-7.8585440844894716E-2</v>
      </c>
      <c r="L130" s="127">
        <f t="shared" si="87"/>
        <v>0</v>
      </c>
      <c r="M130" s="143">
        <f>(IF(Inputs!$E$30="Yes",INDEX(Data!AT:AT,MATCH(Outputs!A130,Data!A:A,0)),INDEX(Data!AS:AS,MATCH(Outputs!A130,Data!A:A,0))))</f>
        <v>9802121</v>
      </c>
      <c r="N130" s="143">
        <f>IF(Inputs!$E$30="Yes",INDEX(Data!BN:BN,MATCH(Outputs!$A130,Data!$A:$A,0)),INDEX(Data!BE:BE,MATCH(Outputs!$A130,Data!$A:$A,0)))</f>
        <v>9802121</v>
      </c>
      <c r="O130" s="143">
        <f>IF(Inputs!$E$30="Yes",INDEX(Data!BO:BO,MATCH(Outputs!$A130,Data!$A:$A,0)),INDEX(Data!BF:BF,MATCH(Outputs!$A130,Data!$A:$A,0)))</f>
        <v>9741327.4104999993</v>
      </c>
      <c r="P130" s="143">
        <f>IF(Inputs!$E$30="Yes",INDEX(Data!BP:BP,MATCH(Outputs!$A130,Data!$A:$A,0)),INDEX(Data!BG:BG,MATCH(Outputs!$A130,Data!$A:$A,0)))</f>
        <v>9680533.8209999986</v>
      </c>
      <c r="Q130" s="143">
        <f>IF(Inputs!$E$30="Yes",INDEX(Data!BQ:BQ,MATCH(Outputs!$A130,Data!$A:$A,0)),INDEX(Data!BH:BH,MATCH(Outputs!$A130,Data!$A:$A,0)))</f>
        <v>9619740.2314999979</v>
      </c>
      <c r="R130" s="143">
        <f>IF(Inputs!$E$30="Yes",INDEX(Data!BR:BR,MATCH(Outputs!$A130,Data!$A:$A,0)),INDEX(Data!BI:BI,MATCH(Outputs!$A130,Data!$A:$A,0)))</f>
        <v>9558946.6419999972</v>
      </c>
      <c r="S130" s="143">
        <f>IF(Inputs!$E$30="Yes",INDEX(Data!BS:BS,MATCH(Outputs!$A130,Data!$A:$A,0)),INDEX(Data!BJ:BJ,MATCH(Outputs!$A130,Data!$A:$A,0)))</f>
        <v>9498153.0524999965</v>
      </c>
      <c r="T130" s="143">
        <f>IF(Inputs!$E$30="Yes",INDEX(Data!BT:BT,MATCH(Outputs!$A130,Data!$A:$A,0)),INDEX(Data!BK:BK,MATCH(Outputs!$A130,Data!$A:$A,0)))</f>
        <v>9437359.4629999958</v>
      </c>
      <c r="U130" s="143">
        <f>IF(Inputs!$E$30="Yes",INDEX(Data!BU:BU,MATCH(Outputs!$A130,Data!$A:$A,0)),INDEX(Data!BL:BL,MATCH(Outputs!$A130,Data!$A:$A,0)))</f>
        <v>9031817</v>
      </c>
      <c r="V130" s="143">
        <f>INDEX('FY 22 OFA Shell'!$AX$27:$AX$195,MATCH(Outputs!A130,'FY 22 OFA Shell'!$I$27:$I$195,0))</f>
        <v>9802121</v>
      </c>
      <c r="W130" s="143">
        <f>INDEX('FY 23 OFA Shell'!$AX$27:$AX$195,MATCH(Outputs!A130,'FY 23 OFA Shell'!$I$27:$I$195,0))</f>
        <v>9802121</v>
      </c>
      <c r="X130" s="143">
        <f>INDEX('FY 23 OFA Shell'!BK$27:BK$195,MATCH(Outputs!$A130,'FY 23 OFA Shell'!$I$27:$I$195,0))</f>
        <v>9741327.4104999993</v>
      </c>
      <c r="Y130" s="143">
        <f>INDEX('FY 23 OFA Shell'!BL$27:BL$195,MATCH(Outputs!$A130,'FY 23 OFA Shell'!$I$27:$I$195,0))</f>
        <v>9680533.8209999986</v>
      </c>
      <c r="Z130" s="143">
        <f>INDEX('FY 23 OFA Shell'!BM$27:BM$195,MATCH(Outputs!$A130,'FY 23 OFA Shell'!$I$27:$I$195,0))</f>
        <v>9619740.2314999979</v>
      </c>
      <c r="AA130" s="143">
        <f>INDEX('FY 23 OFA Shell'!BN$27:BN$195,MATCH(Outputs!$A130,'FY 23 OFA Shell'!$I$27:$I$195,0))</f>
        <v>9558946.6419999972</v>
      </c>
      <c r="AB130" s="143">
        <f>INDEX('FY 23 OFA Shell'!BO$27:BO$195,MATCH(Outputs!$A130,'FY 23 OFA Shell'!$I$27:$I$195,0))</f>
        <v>9498153.0524999965</v>
      </c>
      <c r="AC130" s="143">
        <f>INDEX('FY 23 OFA Shell'!BP$27:BP$195,MATCH(Outputs!$A130,'FY 23 OFA Shell'!$I$27:$I$195,0))</f>
        <v>9437359.4629999958</v>
      </c>
      <c r="AD130" s="143">
        <f>INDEX('FY 23 OFA Shell'!BQ$27:BQ$195,MATCH(Outputs!$A130,'FY 23 OFA Shell'!$I$27:$I$195,0))</f>
        <v>9031817</v>
      </c>
      <c r="AE130" s="129">
        <f t="shared" si="69"/>
        <v>0</v>
      </c>
      <c r="AF130" s="129">
        <f t="shared" si="70"/>
        <v>0</v>
      </c>
      <c r="AG130" s="129">
        <f t="shared" si="71"/>
        <v>0</v>
      </c>
      <c r="AH130" s="129">
        <f t="shared" si="72"/>
        <v>0</v>
      </c>
      <c r="AI130" s="129">
        <f t="shared" si="73"/>
        <v>0</v>
      </c>
      <c r="AJ130" s="129">
        <f t="shared" si="74"/>
        <v>0</v>
      </c>
      <c r="AK130" s="129">
        <f t="shared" si="75"/>
        <v>0</v>
      </c>
      <c r="AL130" s="129">
        <f t="shared" si="76"/>
        <v>0</v>
      </c>
      <c r="AM130" s="129">
        <f t="shared" si="77"/>
        <v>0</v>
      </c>
      <c r="AN130" s="127">
        <f t="shared" si="78"/>
        <v>0</v>
      </c>
      <c r="AO130" s="127">
        <f t="shared" si="79"/>
        <v>0</v>
      </c>
      <c r="AP130" s="127">
        <f t="shared" si="80"/>
        <v>0</v>
      </c>
      <c r="AQ130" s="127">
        <f t="shared" si="81"/>
        <v>0</v>
      </c>
      <c r="AR130" s="127">
        <f t="shared" si="82"/>
        <v>0</v>
      </c>
      <c r="AS130" s="127">
        <f t="shared" si="83"/>
        <v>0</v>
      </c>
      <c r="AT130" s="127">
        <f t="shared" si="84"/>
        <v>0</v>
      </c>
      <c r="AU130" s="127">
        <f t="shared" si="85"/>
        <v>0</v>
      </c>
      <c r="AV130" s="127">
        <f t="shared" si="86"/>
        <v>0</v>
      </c>
    </row>
    <row r="131" spans="1:48" x14ac:dyDescent="0.15">
      <c r="A131" s="29" t="s">
        <v>124</v>
      </c>
      <c r="B131" s="30">
        <f>IF(Data!D126=1, MAX(Data!AA126, Inputs!$E$25) + INDEX(Inputs!$D$38:$D$42, MATCH( Data!AD126, Inputs!$B$38:$B$42, 0), 0), MAX(Data!AA126, Inputs!$E$26) +  INDEX(Inputs!$D$38:$D$42, MATCH( Data!AD126, Inputs!$B$38:$B$42, 0), 0))</f>
        <v>0.32113399999999998</v>
      </c>
      <c r="C131" s="141">
        <f>(100*Data!R126)</f>
        <v>0</v>
      </c>
      <c r="D131" s="141">
        <f>ROUND(Data!Q126*C131, 0)</f>
        <v>0</v>
      </c>
      <c r="E131" s="141">
        <f>(100*Data!T126)</f>
        <v>400</v>
      </c>
      <c r="F131" s="141">
        <f>E131*Data!S126</f>
        <v>62800</v>
      </c>
      <c r="G131" s="142">
        <f>ROUND(Inputs!$E$21*Data!W126*B131, 0)</f>
        <v>2030407</v>
      </c>
      <c r="H131" s="143">
        <f>IF(G131=0, 0,IF(Inputs!$E$30="Yes", IF(Data!D126=1, MAX(Outputs!D131+Outputs!F131+Outputs!G131, Data!AE126), Outputs!D131+Outputs!F131+Outputs!G131), Outputs!D131+Outputs!F131+Outputs!G131))</f>
        <v>2093207</v>
      </c>
      <c r="I131" s="143">
        <f>INDEX('FY 22 OFA Shell'!$AQ$27:$AQ$195,MATCH(Outputs!A131,'FY 22 OFA Shell'!$I$27:$I$195,0))</f>
        <v>2093207</v>
      </c>
      <c r="J131" s="129">
        <f>H131-Data!AT126</f>
        <v>-577780</v>
      </c>
      <c r="K131" s="127">
        <f>((H131)/(Data!AT126)) - 1</f>
        <v>-0.2163170393566124</v>
      </c>
      <c r="L131" s="127">
        <f t="shared" si="87"/>
        <v>0</v>
      </c>
      <c r="M131" s="143">
        <f>(IF(Inputs!$E$30="Yes",INDEX(Data!AT:AT,MATCH(Outputs!A131,Data!A:A,0)),INDEX(Data!AS:AS,MATCH(Outputs!A131,Data!A:A,0))))</f>
        <v>2670987</v>
      </c>
      <c r="N131" s="143">
        <f>IF(Inputs!$E$30="Yes",INDEX(Data!BN:BN,MATCH(Outputs!$A131,Data!$A:$A,0)),INDEX(Data!BE:BE,MATCH(Outputs!$A131,Data!$A:$A,0)))</f>
        <v>2670987</v>
      </c>
      <c r="O131" s="143">
        <f>IF(Inputs!$E$30="Yes",INDEX(Data!BO:BO,MATCH(Outputs!$A131,Data!$A:$A,0)),INDEX(Data!BF:BF,MATCH(Outputs!$A131,Data!$A:$A,0)))</f>
        <v>2589368.9936000002</v>
      </c>
      <c r="P131" s="143">
        <f>IF(Inputs!$E$30="Yes",INDEX(Data!BP:BP,MATCH(Outputs!$A131,Data!$A:$A,0)),INDEX(Data!BG:BG,MATCH(Outputs!$A131,Data!$A:$A,0)))</f>
        <v>2507750.9872000003</v>
      </c>
      <c r="Q131" s="143">
        <f>IF(Inputs!$E$30="Yes",INDEX(Data!BQ:BQ,MATCH(Outputs!$A131,Data!$A:$A,0)),INDEX(Data!BH:BH,MATCH(Outputs!$A131,Data!$A:$A,0)))</f>
        <v>2426132.9808000005</v>
      </c>
      <c r="R131" s="143">
        <f>IF(Inputs!$E$30="Yes",INDEX(Data!BR:BR,MATCH(Outputs!$A131,Data!$A:$A,0)),INDEX(Data!BI:BI,MATCH(Outputs!$A131,Data!$A:$A,0)))</f>
        <v>2344514.9744000006</v>
      </c>
      <c r="S131" s="143">
        <f>IF(Inputs!$E$30="Yes",INDEX(Data!BS:BS,MATCH(Outputs!$A131,Data!$A:$A,0)),INDEX(Data!BJ:BJ,MATCH(Outputs!$A131,Data!$A:$A,0)))</f>
        <v>2262896.9680000008</v>
      </c>
      <c r="T131" s="143">
        <f>IF(Inputs!$E$30="Yes",INDEX(Data!BT:BT,MATCH(Outputs!$A131,Data!$A:$A,0)),INDEX(Data!BK:BK,MATCH(Outputs!$A131,Data!$A:$A,0)))</f>
        <v>2181278.961600001</v>
      </c>
      <c r="U131" s="143">
        <f>IF(Inputs!$E$30="Yes",INDEX(Data!BU:BU,MATCH(Outputs!$A131,Data!$A:$A,0)),INDEX(Data!BL:BL,MATCH(Outputs!$A131,Data!$A:$A,0)))</f>
        <v>2093207</v>
      </c>
      <c r="V131" s="143">
        <f>INDEX('FY 22 OFA Shell'!$AX$27:$AX$195,MATCH(Outputs!A131,'FY 22 OFA Shell'!$I$27:$I$195,0))</f>
        <v>2670987</v>
      </c>
      <c r="W131" s="143">
        <f>INDEX('FY 23 OFA Shell'!$AX$27:$AX$195,MATCH(Outputs!A131,'FY 23 OFA Shell'!$I$27:$I$195,0))</f>
        <v>2670987</v>
      </c>
      <c r="X131" s="143">
        <f>INDEX('FY 23 OFA Shell'!BK$27:BK$195,MATCH(Outputs!$A131,'FY 23 OFA Shell'!$I$27:$I$195,0))</f>
        <v>2589368.9936000002</v>
      </c>
      <c r="Y131" s="143">
        <f>INDEX('FY 23 OFA Shell'!BL$27:BL$195,MATCH(Outputs!$A131,'FY 23 OFA Shell'!$I$27:$I$195,0))</f>
        <v>2507750.9872000003</v>
      </c>
      <c r="Z131" s="143">
        <f>INDEX('FY 23 OFA Shell'!BM$27:BM$195,MATCH(Outputs!$A131,'FY 23 OFA Shell'!$I$27:$I$195,0))</f>
        <v>2426132.9808000005</v>
      </c>
      <c r="AA131" s="143">
        <f>INDEX('FY 23 OFA Shell'!BN$27:BN$195,MATCH(Outputs!$A131,'FY 23 OFA Shell'!$I$27:$I$195,0))</f>
        <v>2344514.9744000006</v>
      </c>
      <c r="AB131" s="143">
        <f>INDEX('FY 23 OFA Shell'!BO$27:BO$195,MATCH(Outputs!$A131,'FY 23 OFA Shell'!$I$27:$I$195,0))</f>
        <v>2262896.9680000008</v>
      </c>
      <c r="AC131" s="143">
        <f>INDEX('FY 23 OFA Shell'!BP$27:BP$195,MATCH(Outputs!$A131,'FY 23 OFA Shell'!$I$27:$I$195,0))</f>
        <v>2181278.961600001</v>
      </c>
      <c r="AD131" s="143">
        <f>INDEX('FY 23 OFA Shell'!BQ$27:BQ$195,MATCH(Outputs!$A131,'FY 23 OFA Shell'!$I$27:$I$195,0))</f>
        <v>2093207</v>
      </c>
      <c r="AE131" s="129">
        <f t="shared" si="69"/>
        <v>0</v>
      </c>
      <c r="AF131" s="129">
        <f t="shared" si="70"/>
        <v>0</v>
      </c>
      <c r="AG131" s="129">
        <f t="shared" si="71"/>
        <v>0</v>
      </c>
      <c r="AH131" s="129">
        <f t="shared" si="72"/>
        <v>0</v>
      </c>
      <c r="AI131" s="129">
        <f t="shared" si="73"/>
        <v>0</v>
      </c>
      <c r="AJ131" s="129">
        <f t="shared" si="74"/>
        <v>0</v>
      </c>
      <c r="AK131" s="129">
        <f t="shared" si="75"/>
        <v>0</v>
      </c>
      <c r="AL131" s="129">
        <f t="shared" si="76"/>
        <v>0</v>
      </c>
      <c r="AM131" s="129">
        <f t="shared" si="77"/>
        <v>0</v>
      </c>
      <c r="AN131" s="127">
        <f t="shared" si="78"/>
        <v>0</v>
      </c>
      <c r="AO131" s="127">
        <f t="shared" si="79"/>
        <v>0</v>
      </c>
      <c r="AP131" s="127">
        <f t="shared" si="80"/>
        <v>0</v>
      </c>
      <c r="AQ131" s="127">
        <f t="shared" si="81"/>
        <v>0</v>
      </c>
      <c r="AR131" s="127">
        <f t="shared" si="82"/>
        <v>0</v>
      </c>
      <c r="AS131" s="127">
        <f t="shared" si="83"/>
        <v>0</v>
      </c>
      <c r="AT131" s="127">
        <f t="shared" si="84"/>
        <v>0</v>
      </c>
      <c r="AU131" s="127">
        <f t="shared" si="85"/>
        <v>0</v>
      </c>
      <c r="AV131" s="127">
        <f t="shared" si="86"/>
        <v>0</v>
      </c>
    </row>
    <row r="132" spans="1:48" x14ac:dyDescent="0.15">
      <c r="A132" s="29" t="s">
        <v>125</v>
      </c>
      <c r="B132" s="30">
        <f>IF(Data!D127=1, MAX(Data!AA127, Inputs!$E$25) + INDEX(Inputs!$D$38:$D$42, MATCH( Data!AD127, Inputs!$B$38:$B$42, 0), 0), MAX(Data!AA127, Inputs!$E$26) +  INDEX(Inputs!$D$38:$D$42, MATCH( Data!AD127, Inputs!$B$38:$B$42, 0), 0))</f>
        <v>0.30067100000000002</v>
      </c>
      <c r="C132" s="141">
        <f>(100*Data!R127)</f>
        <v>0</v>
      </c>
      <c r="D132" s="141">
        <f>ROUND(Data!Q127*C132, 0)</f>
        <v>0</v>
      </c>
      <c r="E132" s="141">
        <f>(100*Data!T127)</f>
        <v>0</v>
      </c>
      <c r="F132" s="141">
        <f>E132*Data!S127</f>
        <v>0</v>
      </c>
      <c r="G132" s="142">
        <f>ROUND(Inputs!$E$21*Data!W127*B132, 0)</f>
        <v>4842664</v>
      </c>
      <c r="H132" s="143">
        <f>IF(G132=0, 0,IF(Inputs!$E$30="Yes", IF(Data!D127=1, MAX(Outputs!D132+Outputs!F132+Outputs!G132, Data!AE127), Outputs!D132+Outputs!F132+Outputs!G132), Outputs!D132+Outputs!F132+Outputs!G132))</f>
        <v>4842664</v>
      </c>
      <c r="I132" s="143">
        <f>INDEX('FY 22 OFA Shell'!$AQ$27:$AQ$195,MATCH(Outputs!A132,'FY 22 OFA Shell'!$I$27:$I$195,0))</f>
        <v>4842664</v>
      </c>
      <c r="J132" s="129">
        <f>H132-Data!AT127</f>
        <v>298306.87420000043</v>
      </c>
      <c r="K132" s="127">
        <f>((H132)/(Data!AT127)) - 1</f>
        <v>6.5643360753141922E-2</v>
      </c>
      <c r="L132" s="127">
        <f t="shared" si="87"/>
        <v>0</v>
      </c>
      <c r="M132" s="143">
        <f>(IF(Inputs!$E$30="Yes",INDEX(Data!AT:AT,MATCH(Outputs!A132,Data!A:A,0)),INDEX(Data!AS:AS,MATCH(Outputs!A132,Data!A:A,0))))</f>
        <v>4544357.1257999996</v>
      </c>
      <c r="N132" s="143">
        <f>IF(Inputs!$E$30="Yes",INDEX(Data!BN:BN,MATCH(Outputs!$A132,Data!$A:$A,0)),INDEX(Data!BE:BE,MATCH(Outputs!$A132,Data!$A:$A,0)))</f>
        <v>4595409.2515999991</v>
      </c>
      <c r="O132" s="143">
        <f>IF(Inputs!$E$30="Yes",INDEX(Data!BO:BO,MATCH(Outputs!$A132,Data!$A:$A,0)),INDEX(Data!BF:BF,MATCH(Outputs!$A132,Data!$A:$A,0)))</f>
        <v>4646461.3773999987</v>
      </c>
      <c r="P132" s="143">
        <f>IF(Inputs!$E$30="Yes",INDEX(Data!BP:BP,MATCH(Outputs!$A132,Data!$A:$A,0)),INDEX(Data!BG:BG,MATCH(Outputs!$A132,Data!$A:$A,0)))</f>
        <v>4697513.5031999983</v>
      </c>
      <c r="Q132" s="143">
        <f>IF(Inputs!$E$30="Yes",INDEX(Data!BQ:BQ,MATCH(Outputs!$A132,Data!$A:$A,0)),INDEX(Data!BH:BH,MATCH(Outputs!$A132,Data!$A:$A,0)))</f>
        <v>4748565.6289999979</v>
      </c>
      <c r="R132" s="143">
        <f>IF(Inputs!$E$30="Yes",INDEX(Data!BR:BR,MATCH(Outputs!$A132,Data!$A:$A,0)),INDEX(Data!BI:BI,MATCH(Outputs!$A132,Data!$A:$A,0)))</f>
        <v>4799617.7547999974</v>
      </c>
      <c r="S132" s="143">
        <f>IF(Inputs!$E$30="Yes",INDEX(Data!BS:BS,MATCH(Outputs!$A132,Data!$A:$A,0)),INDEX(Data!BJ:BJ,MATCH(Outputs!$A132,Data!$A:$A,0)))</f>
        <v>4842664</v>
      </c>
      <c r="T132" s="143">
        <f>IF(Inputs!$E$30="Yes",INDEX(Data!BT:BT,MATCH(Outputs!$A132,Data!$A:$A,0)),INDEX(Data!BK:BK,MATCH(Outputs!$A132,Data!$A:$A,0)))</f>
        <v>4842664</v>
      </c>
      <c r="U132" s="143">
        <f>IF(Inputs!$E$30="Yes",INDEX(Data!BU:BU,MATCH(Outputs!$A132,Data!$A:$A,0)),INDEX(Data!BL:BL,MATCH(Outputs!$A132,Data!$A:$A,0)))</f>
        <v>4842664</v>
      </c>
      <c r="V132" s="143">
        <f>INDEX('FY 22 OFA Shell'!$AX$27:$AX$195,MATCH(Outputs!A132,'FY 22 OFA Shell'!$I$27:$I$195,0))</f>
        <v>4544357.1257999996</v>
      </c>
      <c r="W132" s="143">
        <f>INDEX('FY 23 OFA Shell'!$AX$27:$AX$195,MATCH(Outputs!A132,'FY 23 OFA Shell'!$I$27:$I$195,0))</f>
        <v>4595409.2515999991</v>
      </c>
      <c r="X132" s="143">
        <f>INDEX('FY 23 OFA Shell'!BK$27:BK$195,MATCH(Outputs!$A132,'FY 23 OFA Shell'!$I$27:$I$195,0))</f>
        <v>4646461.3773999987</v>
      </c>
      <c r="Y132" s="143">
        <f>INDEX('FY 23 OFA Shell'!BL$27:BL$195,MATCH(Outputs!$A132,'FY 23 OFA Shell'!$I$27:$I$195,0))</f>
        <v>4697513.5031999983</v>
      </c>
      <c r="Z132" s="143">
        <f>INDEX('FY 23 OFA Shell'!BM$27:BM$195,MATCH(Outputs!$A132,'FY 23 OFA Shell'!$I$27:$I$195,0))</f>
        <v>4748565.6289999979</v>
      </c>
      <c r="AA132" s="143">
        <f>INDEX('FY 23 OFA Shell'!BN$27:BN$195,MATCH(Outputs!$A132,'FY 23 OFA Shell'!$I$27:$I$195,0))</f>
        <v>4799617.7547999974</v>
      </c>
      <c r="AB132" s="143">
        <f>INDEX('FY 23 OFA Shell'!BO$27:BO$195,MATCH(Outputs!$A132,'FY 23 OFA Shell'!$I$27:$I$195,0))</f>
        <v>4842664</v>
      </c>
      <c r="AC132" s="143">
        <f>INDEX('FY 23 OFA Shell'!BP$27:BP$195,MATCH(Outputs!$A132,'FY 23 OFA Shell'!$I$27:$I$195,0))</f>
        <v>4842664</v>
      </c>
      <c r="AD132" s="143">
        <f>INDEX('FY 23 OFA Shell'!BQ$27:BQ$195,MATCH(Outputs!$A132,'FY 23 OFA Shell'!$I$27:$I$195,0))</f>
        <v>4842664</v>
      </c>
      <c r="AE132" s="129">
        <f t="shared" si="69"/>
        <v>0</v>
      </c>
      <c r="AF132" s="129">
        <f t="shared" si="70"/>
        <v>0</v>
      </c>
      <c r="AG132" s="129">
        <f t="shared" si="71"/>
        <v>0</v>
      </c>
      <c r="AH132" s="129">
        <f t="shared" si="72"/>
        <v>0</v>
      </c>
      <c r="AI132" s="129">
        <f t="shared" si="73"/>
        <v>0</v>
      </c>
      <c r="AJ132" s="129">
        <f t="shared" si="74"/>
        <v>0</v>
      </c>
      <c r="AK132" s="129">
        <f t="shared" si="75"/>
        <v>0</v>
      </c>
      <c r="AL132" s="129">
        <f t="shared" si="76"/>
        <v>0</v>
      </c>
      <c r="AM132" s="129">
        <f t="shared" si="77"/>
        <v>0</v>
      </c>
      <c r="AN132" s="127">
        <f t="shared" si="78"/>
        <v>0</v>
      </c>
      <c r="AO132" s="127">
        <f t="shared" si="79"/>
        <v>0</v>
      </c>
      <c r="AP132" s="127">
        <f t="shared" si="80"/>
        <v>0</v>
      </c>
      <c r="AQ132" s="127">
        <f t="shared" si="81"/>
        <v>0</v>
      </c>
      <c r="AR132" s="127">
        <f t="shared" si="82"/>
        <v>0</v>
      </c>
      <c r="AS132" s="127">
        <f t="shared" si="83"/>
        <v>0</v>
      </c>
      <c r="AT132" s="127">
        <f t="shared" si="84"/>
        <v>0</v>
      </c>
      <c r="AU132" s="127">
        <f t="shared" si="85"/>
        <v>0</v>
      </c>
      <c r="AV132" s="127">
        <f t="shared" si="86"/>
        <v>0</v>
      </c>
    </row>
    <row r="133" spans="1:48" x14ac:dyDescent="0.15">
      <c r="A133" s="29" t="s">
        <v>126</v>
      </c>
      <c r="B133" s="30">
        <f>IF(Data!D128=1, MAX(Data!AA128, Inputs!$E$25) + INDEX(Inputs!$D$38:$D$42, MATCH( Data!AD128, Inputs!$B$38:$B$42, 0), 0), MAX(Data!AA128, Inputs!$E$26) +  INDEX(Inputs!$D$38:$D$42, MATCH( Data!AD128, Inputs!$B$38:$B$42, 0), 0))</f>
        <v>0.303481</v>
      </c>
      <c r="C133" s="141">
        <f>(100*Data!R128)</f>
        <v>0</v>
      </c>
      <c r="D133" s="141">
        <f>ROUND(Data!Q128*C133, 0)</f>
        <v>0</v>
      </c>
      <c r="E133" s="141">
        <f>(100*Data!T128)</f>
        <v>400</v>
      </c>
      <c r="F133" s="141">
        <f>E133*Data!S128</f>
        <v>63200</v>
      </c>
      <c r="G133" s="142">
        <f>ROUND(Inputs!$E$21*Data!W128*B133, 0)</f>
        <v>2228193</v>
      </c>
      <c r="H133" s="143">
        <f>IF(G133=0, 0,IF(Inputs!$E$30="Yes", IF(Data!D128=1, MAX(Outputs!D133+Outputs!F133+Outputs!G133, Data!AE128), Outputs!D133+Outputs!F133+Outputs!G133), Outputs!D133+Outputs!F133+Outputs!G133))</f>
        <v>2291393</v>
      </c>
      <c r="I133" s="143">
        <f>INDEX('FY 22 OFA Shell'!$AQ$27:$AQ$195,MATCH(Outputs!A133,'FY 22 OFA Shell'!$I$27:$I$195,0))</f>
        <v>2291393</v>
      </c>
      <c r="J133" s="129">
        <f>H133-Data!AT128</f>
        <v>-661103</v>
      </c>
      <c r="K133" s="127">
        <f>((H133)/(Data!AT128)) - 1</f>
        <v>-0.22391325847689547</v>
      </c>
      <c r="L133" s="127">
        <f t="shared" si="87"/>
        <v>0</v>
      </c>
      <c r="M133" s="143">
        <f>(IF(Inputs!$E$30="Yes",INDEX(Data!AT:AT,MATCH(Outputs!A133,Data!A:A,0)),INDEX(Data!AS:AS,MATCH(Outputs!A133,Data!A:A,0))))</f>
        <v>2952496</v>
      </c>
      <c r="N133" s="143">
        <f>IF(Inputs!$E$30="Yes",INDEX(Data!BN:BN,MATCH(Outputs!$A133,Data!$A:$A,0)),INDEX(Data!BE:BE,MATCH(Outputs!$A133,Data!$A:$A,0)))</f>
        <v>2952496</v>
      </c>
      <c r="O133" s="143">
        <f>IF(Inputs!$E$30="Yes",INDEX(Data!BO:BO,MATCH(Outputs!$A133,Data!$A:$A,0)),INDEX(Data!BF:BF,MATCH(Outputs!$A133,Data!$A:$A,0)))</f>
        <v>2892468.0208000001</v>
      </c>
      <c r="P133" s="143">
        <f>IF(Inputs!$E$30="Yes",INDEX(Data!BP:BP,MATCH(Outputs!$A133,Data!$A:$A,0)),INDEX(Data!BG:BG,MATCH(Outputs!$A133,Data!$A:$A,0)))</f>
        <v>2832440.0416000001</v>
      </c>
      <c r="Q133" s="143">
        <f>IF(Inputs!$E$30="Yes",INDEX(Data!BQ:BQ,MATCH(Outputs!$A133,Data!$A:$A,0)),INDEX(Data!BH:BH,MATCH(Outputs!$A133,Data!$A:$A,0)))</f>
        <v>2772412.0624000002</v>
      </c>
      <c r="R133" s="143">
        <f>IF(Inputs!$E$30="Yes",INDEX(Data!BR:BR,MATCH(Outputs!$A133,Data!$A:$A,0)),INDEX(Data!BI:BI,MATCH(Outputs!$A133,Data!$A:$A,0)))</f>
        <v>2712384.0832000002</v>
      </c>
      <c r="S133" s="143">
        <f>IF(Inputs!$E$30="Yes",INDEX(Data!BS:BS,MATCH(Outputs!$A133,Data!$A:$A,0)),INDEX(Data!BJ:BJ,MATCH(Outputs!$A133,Data!$A:$A,0)))</f>
        <v>2652356.1040000003</v>
      </c>
      <c r="T133" s="143">
        <f>IF(Inputs!$E$30="Yes",INDEX(Data!BT:BT,MATCH(Outputs!$A133,Data!$A:$A,0)),INDEX(Data!BK:BK,MATCH(Outputs!$A133,Data!$A:$A,0)))</f>
        <v>2592328.1248000003</v>
      </c>
      <c r="U133" s="143">
        <f>IF(Inputs!$E$30="Yes",INDEX(Data!BU:BU,MATCH(Outputs!$A133,Data!$A:$A,0)),INDEX(Data!BL:BL,MATCH(Outputs!$A133,Data!$A:$A,0)))</f>
        <v>2291393</v>
      </c>
      <c r="V133" s="143">
        <f>INDEX('FY 22 OFA Shell'!$AX$27:$AX$195,MATCH(Outputs!A133,'FY 22 OFA Shell'!$I$27:$I$195,0))</f>
        <v>2952496</v>
      </c>
      <c r="W133" s="143">
        <f>INDEX('FY 23 OFA Shell'!$AX$27:$AX$195,MATCH(Outputs!A133,'FY 23 OFA Shell'!$I$27:$I$195,0))</f>
        <v>2952496</v>
      </c>
      <c r="X133" s="143">
        <f>INDEX('FY 23 OFA Shell'!BK$27:BK$195,MATCH(Outputs!$A133,'FY 23 OFA Shell'!$I$27:$I$195,0))</f>
        <v>2892468.0208000001</v>
      </c>
      <c r="Y133" s="143">
        <f>INDEX('FY 23 OFA Shell'!BL$27:BL$195,MATCH(Outputs!$A133,'FY 23 OFA Shell'!$I$27:$I$195,0))</f>
        <v>2832440.0416000001</v>
      </c>
      <c r="Z133" s="143">
        <f>INDEX('FY 23 OFA Shell'!BM$27:BM$195,MATCH(Outputs!$A133,'FY 23 OFA Shell'!$I$27:$I$195,0))</f>
        <v>2772412.0624000002</v>
      </c>
      <c r="AA133" s="143">
        <f>INDEX('FY 23 OFA Shell'!BN$27:BN$195,MATCH(Outputs!$A133,'FY 23 OFA Shell'!$I$27:$I$195,0))</f>
        <v>2712384.0832000002</v>
      </c>
      <c r="AB133" s="143">
        <f>INDEX('FY 23 OFA Shell'!BO$27:BO$195,MATCH(Outputs!$A133,'FY 23 OFA Shell'!$I$27:$I$195,0))</f>
        <v>2652356.1040000003</v>
      </c>
      <c r="AC133" s="143">
        <f>INDEX('FY 23 OFA Shell'!BP$27:BP$195,MATCH(Outputs!$A133,'FY 23 OFA Shell'!$I$27:$I$195,0))</f>
        <v>2592328.1248000003</v>
      </c>
      <c r="AD133" s="143">
        <f>INDEX('FY 23 OFA Shell'!BQ$27:BQ$195,MATCH(Outputs!$A133,'FY 23 OFA Shell'!$I$27:$I$195,0))</f>
        <v>2291393</v>
      </c>
      <c r="AE133" s="129">
        <f t="shared" si="69"/>
        <v>0</v>
      </c>
      <c r="AF133" s="129">
        <f t="shared" si="70"/>
        <v>0</v>
      </c>
      <c r="AG133" s="129">
        <f t="shared" si="71"/>
        <v>0</v>
      </c>
      <c r="AH133" s="129">
        <f t="shared" si="72"/>
        <v>0</v>
      </c>
      <c r="AI133" s="129">
        <f t="shared" si="73"/>
        <v>0</v>
      </c>
      <c r="AJ133" s="129">
        <f t="shared" si="74"/>
        <v>0</v>
      </c>
      <c r="AK133" s="129">
        <f t="shared" si="75"/>
        <v>0</v>
      </c>
      <c r="AL133" s="129">
        <f t="shared" si="76"/>
        <v>0</v>
      </c>
      <c r="AM133" s="129">
        <f t="shared" si="77"/>
        <v>0</v>
      </c>
      <c r="AN133" s="127">
        <f t="shared" si="78"/>
        <v>0</v>
      </c>
      <c r="AO133" s="127">
        <f t="shared" si="79"/>
        <v>0</v>
      </c>
      <c r="AP133" s="127">
        <f t="shared" si="80"/>
        <v>0</v>
      </c>
      <c r="AQ133" s="127">
        <f t="shared" si="81"/>
        <v>0</v>
      </c>
      <c r="AR133" s="127">
        <f t="shared" si="82"/>
        <v>0</v>
      </c>
      <c r="AS133" s="127">
        <f t="shared" si="83"/>
        <v>0</v>
      </c>
      <c r="AT133" s="127">
        <f t="shared" si="84"/>
        <v>0</v>
      </c>
      <c r="AU133" s="127">
        <f t="shared" si="85"/>
        <v>0</v>
      </c>
      <c r="AV133" s="127">
        <f t="shared" si="86"/>
        <v>0</v>
      </c>
    </row>
    <row r="134" spans="1:48" x14ac:dyDescent="0.15">
      <c r="A134" s="29" t="s">
        <v>127</v>
      </c>
      <c r="B134" s="30">
        <f>IF(Data!D129=1, MAX(Data!AA129, Inputs!$E$25) + INDEX(Inputs!$D$38:$D$42, MATCH( Data!AD129, Inputs!$B$38:$B$42, 0), 0), MAX(Data!AA129, Inputs!$E$26) +  INDEX(Inputs!$D$38:$D$42, MATCH( Data!AD129, Inputs!$B$38:$B$42, 0), 0))</f>
        <v>0.27468399999999998</v>
      </c>
      <c r="C134" s="141">
        <f>(100*Data!R129)</f>
        <v>1300</v>
      </c>
      <c r="D134" s="141">
        <f>ROUND(Data!Q129*C134, 0)</f>
        <v>1705600</v>
      </c>
      <c r="E134" s="141">
        <f>(100*Data!T129)</f>
        <v>0</v>
      </c>
      <c r="F134" s="141">
        <f>E134*Data!S129</f>
        <v>0</v>
      </c>
      <c r="G134" s="142">
        <f>ROUND(Inputs!$E$21*Data!W129*B134, 0)</f>
        <v>4427183</v>
      </c>
      <c r="H134" s="143">
        <f>IF(G134=0, 0,IF(Inputs!$E$30="Yes", IF(Data!D129=1, MAX(Outputs!D134+Outputs!F134+Outputs!G134, Data!AE129), Outputs!D134+Outputs!F134+Outputs!G134), Outputs!D134+Outputs!F134+Outputs!G134))</f>
        <v>6132783</v>
      </c>
      <c r="I134" s="143">
        <f>INDEX('FY 22 OFA Shell'!$AQ$27:$AQ$195,MATCH(Outputs!A134,'FY 22 OFA Shell'!$I$27:$I$195,0))</f>
        <v>6132783</v>
      </c>
      <c r="J134" s="129">
        <f>H134-Data!AT129</f>
        <v>1181630.4516000003</v>
      </c>
      <c r="K134" s="127">
        <f>((H134)/(Data!AT129)) - 1</f>
        <v>0.2386576539601577</v>
      </c>
      <c r="L134" s="127">
        <f t="shared" si="87"/>
        <v>0</v>
      </c>
      <c r="M134" s="143">
        <f>(IF(Inputs!$E$30="Yes",INDEX(Data!AT:AT,MATCH(Outputs!A134,Data!A:A,0)),INDEX(Data!AS:AS,MATCH(Outputs!A134,Data!A:A,0))))</f>
        <v>4951152.5483999997</v>
      </c>
      <c r="N134" s="143">
        <f>IF(Inputs!$E$30="Yes",INDEX(Data!BN:BN,MATCH(Outputs!$A134,Data!$A:$A,0)),INDEX(Data!BE:BE,MATCH(Outputs!$A134,Data!$A:$A,0)))</f>
        <v>5040182.0967999995</v>
      </c>
      <c r="O134" s="143">
        <f>IF(Inputs!$E$30="Yes",INDEX(Data!BO:BO,MATCH(Outputs!$A134,Data!$A:$A,0)),INDEX(Data!BF:BF,MATCH(Outputs!$A134,Data!$A:$A,0)))</f>
        <v>5129211.6451999992</v>
      </c>
      <c r="P134" s="143">
        <f>IF(Inputs!$E$30="Yes",INDEX(Data!BP:BP,MATCH(Outputs!$A134,Data!$A:$A,0)),INDEX(Data!BG:BG,MATCH(Outputs!$A134,Data!$A:$A,0)))</f>
        <v>5218241.193599999</v>
      </c>
      <c r="Q134" s="143">
        <f>IF(Inputs!$E$30="Yes",INDEX(Data!BQ:BQ,MATCH(Outputs!$A134,Data!$A:$A,0)),INDEX(Data!BH:BH,MATCH(Outputs!$A134,Data!$A:$A,0)))</f>
        <v>5307270.7419999987</v>
      </c>
      <c r="R134" s="143">
        <f>IF(Inputs!$E$30="Yes",INDEX(Data!BR:BR,MATCH(Outputs!$A134,Data!$A:$A,0)),INDEX(Data!BI:BI,MATCH(Outputs!$A134,Data!$A:$A,0)))</f>
        <v>5396300.2903999984</v>
      </c>
      <c r="S134" s="143">
        <f>IF(Inputs!$E$30="Yes",INDEX(Data!BS:BS,MATCH(Outputs!$A134,Data!$A:$A,0)),INDEX(Data!BJ:BJ,MATCH(Outputs!$A134,Data!$A:$A,0)))</f>
        <v>6132783</v>
      </c>
      <c r="T134" s="143">
        <f>IF(Inputs!$E$30="Yes",INDEX(Data!BT:BT,MATCH(Outputs!$A134,Data!$A:$A,0)),INDEX(Data!BK:BK,MATCH(Outputs!$A134,Data!$A:$A,0)))</f>
        <v>6132783</v>
      </c>
      <c r="U134" s="143">
        <f>IF(Inputs!$E$30="Yes",INDEX(Data!BU:BU,MATCH(Outputs!$A134,Data!$A:$A,0)),INDEX(Data!BL:BL,MATCH(Outputs!$A134,Data!$A:$A,0)))</f>
        <v>6132783</v>
      </c>
      <c r="V134" s="143">
        <f>INDEX('FY 22 OFA Shell'!$AX$27:$AX$195,MATCH(Outputs!A134,'FY 22 OFA Shell'!$I$27:$I$195,0))</f>
        <v>4951152.5483999997</v>
      </c>
      <c r="W134" s="143">
        <f>INDEX('FY 23 OFA Shell'!$AX$27:$AX$195,MATCH(Outputs!A134,'FY 23 OFA Shell'!$I$27:$I$195,0))</f>
        <v>5040182.0967999995</v>
      </c>
      <c r="X134" s="143">
        <f>INDEX('FY 23 OFA Shell'!BK$27:BK$195,MATCH(Outputs!$A134,'FY 23 OFA Shell'!$I$27:$I$195,0))</f>
        <v>5129211.6451999992</v>
      </c>
      <c r="Y134" s="143">
        <f>INDEX('FY 23 OFA Shell'!BL$27:BL$195,MATCH(Outputs!$A134,'FY 23 OFA Shell'!$I$27:$I$195,0))</f>
        <v>5218241.193599999</v>
      </c>
      <c r="Z134" s="143">
        <f>INDEX('FY 23 OFA Shell'!BM$27:BM$195,MATCH(Outputs!$A134,'FY 23 OFA Shell'!$I$27:$I$195,0))</f>
        <v>5307270.7419999987</v>
      </c>
      <c r="AA134" s="143">
        <f>INDEX('FY 23 OFA Shell'!BN$27:BN$195,MATCH(Outputs!$A134,'FY 23 OFA Shell'!$I$27:$I$195,0))</f>
        <v>5396300.2903999984</v>
      </c>
      <c r="AB134" s="143">
        <f>INDEX('FY 23 OFA Shell'!BO$27:BO$195,MATCH(Outputs!$A134,'FY 23 OFA Shell'!$I$27:$I$195,0))</f>
        <v>6132783</v>
      </c>
      <c r="AC134" s="143">
        <f>INDEX('FY 23 OFA Shell'!BP$27:BP$195,MATCH(Outputs!$A134,'FY 23 OFA Shell'!$I$27:$I$195,0))</f>
        <v>6132783</v>
      </c>
      <c r="AD134" s="143">
        <f>INDEX('FY 23 OFA Shell'!BQ$27:BQ$195,MATCH(Outputs!$A134,'FY 23 OFA Shell'!$I$27:$I$195,0))</f>
        <v>6132783</v>
      </c>
      <c r="AE134" s="129">
        <f t="shared" si="69"/>
        <v>0</v>
      </c>
      <c r="AF134" s="129">
        <f t="shared" si="70"/>
        <v>0</v>
      </c>
      <c r="AG134" s="129">
        <f t="shared" si="71"/>
        <v>0</v>
      </c>
      <c r="AH134" s="129">
        <f t="shared" si="72"/>
        <v>0</v>
      </c>
      <c r="AI134" s="129">
        <f t="shared" si="73"/>
        <v>0</v>
      </c>
      <c r="AJ134" s="129">
        <f t="shared" si="74"/>
        <v>0</v>
      </c>
      <c r="AK134" s="129">
        <f t="shared" si="75"/>
        <v>0</v>
      </c>
      <c r="AL134" s="129">
        <f t="shared" si="76"/>
        <v>0</v>
      </c>
      <c r="AM134" s="129">
        <f t="shared" si="77"/>
        <v>0</v>
      </c>
      <c r="AN134" s="127">
        <f t="shared" si="78"/>
        <v>0</v>
      </c>
      <c r="AO134" s="127">
        <f t="shared" si="79"/>
        <v>0</v>
      </c>
      <c r="AP134" s="127">
        <f t="shared" si="80"/>
        <v>0</v>
      </c>
      <c r="AQ134" s="127">
        <f t="shared" si="81"/>
        <v>0</v>
      </c>
      <c r="AR134" s="127">
        <f t="shared" si="82"/>
        <v>0</v>
      </c>
      <c r="AS134" s="127">
        <f t="shared" si="83"/>
        <v>0</v>
      </c>
      <c r="AT134" s="127">
        <f t="shared" si="84"/>
        <v>0</v>
      </c>
      <c r="AU134" s="127">
        <f t="shared" si="85"/>
        <v>0</v>
      </c>
      <c r="AV134" s="127">
        <f t="shared" si="86"/>
        <v>0</v>
      </c>
    </row>
    <row r="135" spans="1:48" x14ac:dyDescent="0.15">
      <c r="A135" s="29" t="s">
        <v>128</v>
      </c>
      <c r="B135" s="30">
        <f>IF(Data!D130=1, MAX(Data!AA130, Inputs!$E$25) + INDEX(Inputs!$D$38:$D$42, MATCH( Data!AD130, Inputs!$B$38:$B$42, 0), 0), MAX(Data!AA130, Inputs!$E$26) +  INDEX(Inputs!$D$38:$D$42, MATCH( Data!AD130, Inputs!$B$38:$B$42, 0), 0))</f>
        <v>0.46002399999999999</v>
      </c>
      <c r="C135" s="141">
        <f>(100*Data!R130)</f>
        <v>0</v>
      </c>
      <c r="D135" s="141">
        <f>ROUND(Data!Q130*C135, 0)</f>
        <v>0</v>
      </c>
      <c r="E135" s="141">
        <f>(100*Data!T130)</f>
        <v>0</v>
      </c>
      <c r="F135" s="141">
        <f>E135*Data!S130</f>
        <v>0</v>
      </c>
      <c r="G135" s="142">
        <f>ROUND(Inputs!$E$21*Data!W130*B135, 0)</f>
        <v>6807791</v>
      </c>
      <c r="H135" s="143">
        <f>IF(G135=0, 0,IF(Inputs!$E$30="Yes", IF(Data!D130=1, MAX(Outputs!D135+Outputs!F135+Outputs!G135, Data!AE130), Outputs!D135+Outputs!F135+Outputs!G135), Outputs!D135+Outputs!F135+Outputs!G135))</f>
        <v>8340282</v>
      </c>
      <c r="I135" s="143">
        <f>INDEX('FY 22 OFA Shell'!$AQ$27:$AQ$195,MATCH(Outputs!A135,'FY 22 OFA Shell'!$I$27:$I$195,0))</f>
        <v>8340282</v>
      </c>
      <c r="J135" s="129">
        <f>H135-Data!AT130</f>
        <v>0</v>
      </c>
      <c r="K135" s="127">
        <f>((H135)/(Data!AT130)) - 1</f>
        <v>0</v>
      </c>
      <c r="L135" s="127">
        <f t="shared" si="87"/>
        <v>0</v>
      </c>
      <c r="M135" s="143">
        <f>(IF(Inputs!$E$30="Yes",INDEX(Data!AT:AT,MATCH(Outputs!A135,Data!A:A,0)),INDEX(Data!AS:AS,MATCH(Outputs!A135,Data!A:A,0))))</f>
        <v>8340282</v>
      </c>
      <c r="N135" s="143">
        <f>IF(Inputs!$E$30="Yes",INDEX(Data!BN:BN,MATCH(Outputs!$A135,Data!$A:$A,0)),INDEX(Data!BE:BE,MATCH(Outputs!$A135,Data!$A:$A,0)))</f>
        <v>8340282</v>
      </c>
      <c r="O135" s="143">
        <f>IF(Inputs!$E$30="Yes",INDEX(Data!BO:BO,MATCH(Outputs!$A135,Data!$A:$A,0)),INDEX(Data!BF:BF,MATCH(Outputs!$A135,Data!$A:$A,0)))</f>
        <v>8340282</v>
      </c>
      <c r="P135" s="143">
        <f>IF(Inputs!$E$30="Yes",INDEX(Data!BP:BP,MATCH(Outputs!$A135,Data!$A:$A,0)),INDEX(Data!BG:BG,MATCH(Outputs!$A135,Data!$A:$A,0)))</f>
        <v>8340282</v>
      </c>
      <c r="Q135" s="143">
        <f>IF(Inputs!$E$30="Yes",INDEX(Data!BQ:BQ,MATCH(Outputs!$A135,Data!$A:$A,0)),INDEX(Data!BH:BH,MATCH(Outputs!$A135,Data!$A:$A,0)))</f>
        <v>8340282</v>
      </c>
      <c r="R135" s="143">
        <f>IF(Inputs!$E$30="Yes",INDEX(Data!BR:BR,MATCH(Outputs!$A135,Data!$A:$A,0)),INDEX(Data!BI:BI,MATCH(Outputs!$A135,Data!$A:$A,0)))</f>
        <v>8340282</v>
      </c>
      <c r="S135" s="143">
        <f>IF(Inputs!$E$30="Yes",INDEX(Data!BS:BS,MATCH(Outputs!$A135,Data!$A:$A,0)),INDEX(Data!BJ:BJ,MATCH(Outputs!$A135,Data!$A:$A,0)))</f>
        <v>8340282</v>
      </c>
      <c r="T135" s="143">
        <f>IF(Inputs!$E$30="Yes",INDEX(Data!BT:BT,MATCH(Outputs!$A135,Data!$A:$A,0)),INDEX(Data!BK:BK,MATCH(Outputs!$A135,Data!$A:$A,0)))</f>
        <v>8340282</v>
      </c>
      <c r="U135" s="143">
        <f>IF(Inputs!$E$30="Yes",INDEX(Data!BU:BU,MATCH(Outputs!$A135,Data!$A:$A,0)),INDEX(Data!BL:BL,MATCH(Outputs!$A135,Data!$A:$A,0)))</f>
        <v>8340282</v>
      </c>
      <c r="V135" s="143">
        <f>INDEX('FY 22 OFA Shell'!$AX$27:$AX$195,MATCH(Outputs!A135,'FY 22 OFA Shell'!$I$27:$I$195,0))</f>
        <v>8340282</v>
      </c>
      <c r="W135" s="143">
        <f>INDEX('FY 23 OFA Shell'!$AX$27:$AX$195,MATCH(Outputs!A135,'FY 23 OFA Shell'!$I$27:$I$195,0))</f>
        <v>8340282</v>
      </c>
      <c r="X135" s="143">
        <f>INDEX('FY 23 OFA Shell'!BK$27:BK$195,MATCH(Outputs!$A135,'FY 23 OFA Shell'!$I$27:$I$195,0))</f>
        <v>8340282</v>
      </c>
      <c r="Y135" s="143">
        <f>INDEX('FY 23 OFA Shell'!BL$27:BL$195,MATCH(Outputs!$A135,'FY 23 OFA Shell'!$I$27:$I$195,0))</f>
        <v>8340282</v>
      </c>
      <c r="Z135" s="143">
        <f>INDEX('FY 23 OFA Shell'!BM$27:BM$195,MATCH(Outputs!$A135,'FY 23 OFA Shell'!$I$27:$I$195,0))</f>
        <v>8340282</v>
      </c>
      <c r="AA135" s="143">
        <f>INDEX('FY 23 OFA Shell'!BN$27:BN$195,MATCH(Outputs!$A135,'FY 23 OFA Shell'!$I$27:$I$195,0))</f>
        <v>8340282</v>
      </c>
      <c r="AB135" s="143">
        <f>INDEX('FY 23 OFA Shell'!BO$27:BO$195,MATCH(Outputs!$A135,'FY 23 OFA Shell'!$I$27:$I$195,0))</f>
        <v>8340282</v>
      </c>
      <c r="AC135" s="143">
        <f>INDEX('FY 23 OFA Shell'!BP$27:BP$195,MATCH(Outputs!$A135,'FY 23 OFA Shell'!$I$27:$I$195,0))</f>
        <v>8340282</v>
      </c>
      <c r="AD135" s="143">
        <f>INDEX('FY 23 OFA Shell'!BQ$27:BQ$195,MATCH(Outputs!$A135,'FY 23 OFA Shell'!$I$27:$I$195,0))</f>
        <v>8340282</v>
      </c>
      <c r="AE135" s="129">
        <f t="shared" si="69"/>
        <v>0</v>
      </c>
      <c r="AF135" s="129">
        <f t="shared" si="70"/>
        <v>0</v>
      </c>
      <c r="AG135" s="129">
        <f t="shared" si="71"/>
        <v>0</v>
      </c>
      <c r="AH135" s="129">
        <f t="shared" si="72"/>
        <v>0</v>
      </c>
      <c r="AI135" s="129">
        <f t="shared" si="73"/>
        <v>0</v>
      </c>
      <c r="AJ135" s="129">
        <f t="shared" si="74"/>
        <v>0</v>
      </c>
      <c r="AK135" s="129">
        <f t="shared" si="75"/>
        <v>0</v>
      </c>
      <c r="AL135" s="129">
        <f t="shared" si="76"/>
        <v>0</v>
      </c>
      <c r="AM135" s="129">
        <f t="shared" si="77"/>
        <v>0</v>
      </c>
      <c r="AN135" s="127">
        <f t="shared" si="78"/>
        <v>0</v>
      </c>
      <c r="AO135" s="127">
        <f t="shared" si="79"/>
        <v>0</v>
      </c>
      <c r="AP135" s="127">
        <f t="shared" si="80"/>
        <v>0</v>
      </c>
      <c r="AQ135" s="127">
        <f t="shared" si="81"/>
        <v>0</v>
      </c>
      <c r="AR135" s="127">
        <f t="shared" si="82"/>
        <v>0</v>
      </c>
      <c r="AS135" s="127">
        <f t="shared" si="83"/>
        <v>0</v>
      </c>
      <c r="AT135" s="127">
        <f t="shared" si="84"/>
        <v>0</v>
      </c>
      <c r="AU135" s="127">
        <f t="shared" si="85"/>
        <v>0</v>
      </c>
      <c r="AV135" s="127">
        <f t="shared" si="86"/>
        <v>0</v>
      </c>
    </row>
    <row r="136" spans="1:48" x14ac:dyDescent="0.15">
      <c r="A136" s="29" t="s">
        <v>129</v>
      </c>
      <c r="B136" s="30">
        <f>IF(Data!D131=1, MAX(Data!AA131, Inputs!$E$25) + INDEX(Inputs!$D$38:$D$42, MATCH( Data!AD131, Inputs!$B$38:$B$42, 0), 0), MAX(Data!AA131, Inputs!$E$26) +  INDEX(Inputs!$D$38:$D$42, MATCH( Data!AD131, Inputs!$B$38:$B$42, 0), 0))</f>
        <v>0.01</v>
      </c>
      <c r="C136" s="141">
        <f>(100*Data!R131)</f>
        <v>400</v>
      </c>
      <c r="D136" s="141">
        <f>ROUND(Data!Q131*C136, 0)</f>
        <v>173600</v>
      </c>
      <c r="E136" s="141">
        <f>(100*Data!T131)</f>
        <v>0</v>
      </c>
      <c r="F136" s="141">
        <f>E136*Data!S131</f>
        <v>0</v>
      </c>
      <c r="G136" s="142">
        <f>ROUND(Inputs!$E$21*Data!W131*B136, 0)</f>
        <v>146135</v>
      </c>
      <c r="H136" s="143">
        <f>IF(G136=0, 0,IF(Inputs!$E$30="Yes", IF(Data!D131=1, MAX(Outputs!D136+Outputs!F136+Outputs!G136, Data!AE131), Outputs!D136+Outputs!F136+Outputs!G136), Outputs!D136+Outputs!F136+Outputs!G136))</f>
        <v>319735</v>
      </c>
      <c r="I136" s="143">
        <f>INDEX('FY 22 OFA Shell'!$AQ$27:$AQ$195,MATCH(Outputs!A136,'FY 22 OFA Shell'!$I$27:$I$195,0))</f>
        <v>319735</v>
      </c>
      <c r="J136" s="129">
        <f>H136-Data!AT131</f>
        <v>126813.64000000001</v>
      </c>
      <c r="K136" s="127">
        <f>((H136)/(Data!AT131)) - 1</f>
        <v>0.65733333001591965</v>
      </c>
      <c r="L136" s="127">
        <f t="shared" si="87"/>
        <v>0</v>
      </c>
      <c r="M136" s="143">
        <f>(IF(Inputs!$E$30="Yes",INDEX(Data!AT:AT,MATCH(Outputs!A136,Data!A:A,0)),INDEX(Data!AS:AS,MATCH(Outputs!A136,Data!A:A,0))))</f>
        <v>192921.36</v>
      </c>
      <c r="N136" s="143">
        <f>IF(Inputs!$E$30="Yes",INDEX(Data!BN:BN,MATCH(Outputs!$A136,Data!$A:$A,0)),INDEX(Data!BE:BE,MATCH(Outputs!$A136,Data!$A:$A,0)))</f>
        <v>207802.71999999997</v>
      </c>
      <c r="O136" s="143">
        <f>IF(Inputs!$E$30="Yes",INDEX(Data!BO:BO,MATCH(Outputs!$A136,Data!$A:$A,0)),INDEX(Data!BF:BF,MATCH(Outputs!$A136,Data!$A:$A,0)))</f>
        <v>222684.07999999996</v>
      </c>
      <c r="P136" s="143">
        <f>IF(Inputs!$E$30="Yes",INDEX(Data!BP:BP,MATCH(Outputs!$A136,Data!$A:$A,0)),INDEX(Data!BG:BG,MATCH(Outputs!$A136,Data!$A:$A,0)))</f>
        <v>237565.43999999994</v>
      </c>
      <c r="Q136" s="143">
        <f>IF(Inputs!$E$30="Yes",INDEX(Data!BQ:BQ,MATCH(Outputs!$A136,Data!$A:$A,0)),INDEX(Data!BH:BH,MATCH(Outputs!$A136,Data!$A:$A,0)))</f>
        <v>252446.79999999993</v>
      </c>
      <c r="R136" s="143">
        <f>IF(Inputs!$E$30="Yes",INDEX(Data!BR:BR,MATCH(Outputs!$A136,Data!$A:$A,0)),INDEX(Data!BI:BI,MATCH(Outputs!$A136,Data!$A:$A,0)))</f>
        <v>267328.15999999992</v>
      </c>
      <c r="S136" s="143">
        <f>IF(Inputs!$E$30="Yes",INDEX(Data!BS:BS,MATCH(Outputs!$A136,Data!$A:$A,0)),INDEX(Data!BJ:BJ,MATCH(Outputs!$A136,Data!$A:$A,0)))</f>
        <v>319735</v>
      </c>
      <c r="T136" s="143">
        <f>IF(Inputs!$E$30="Yes",INDEX(Data!BT:BT,MATCH(Outputs!$A136,Data!$A:$A,0)),INDEX(Data!BK:BK,MATCH(Outputs!$A136,Data!$A:$A,0)))</f>
        <v>319735</v>
      </c>
      <c r="U136" s="143">
        <f>IF(Inputs!$E$30="Yes",INDEX(Data!BU:BU,MATCH(Outputs!$A136,Data!$A:$A,0)),INDEX(Data!BL:BL,MATCH(Outputs!$A136,Data!$A:$A,0)))</f>
        <v>319735</v>
      </c>
      <c r="V136" s="143">
        <f>INDEX('FY 22 OFA Shell'!$AX$27:$AX$195,MATCH(Outputs!A136,'FY 22 OFA Shell'!$I$27:$I$195,0))</f>
        <v>192921.36</v>
      </c>
      <c r="W136" s="143">
        <f>INDEX('FY 23 OFA Shell'!$AX$27:$AX$195,MATCH(Outputs!A136,'FY 23 OFA Shell'!$I$27:$I$195,0))</f>
        <v>207802.71999999997</v>
      </c>
      <c r="X136" s="143">
        <f>INDEX('FY 23 OFA Shell'!BK$27:BK$195,MATCH(Outputs!$A136,'FY 23 OFA Shell'!$I$27:$I$195,0))</f>
        <v>222684.07999999996</v>
      </c>
      <c r="Y136" s="143">
        <f>INDEX('FY 23 OFA Shell'!BL$27:BL$195,MATCH(Outputs!$A136,'FY 23 OFA Shell'!$I$27:$I$195,0))</f>
        <v>237565.43999999994</v>
      </c>
      <c r="Z136" s="143">
        <f>INDEX('FY 23 OFA Shell'!BM$27:BM$195,MATCH(Outputs!$A136,'FY 23 OFA Shell'!$I$27:$I$195,0))</f>
        <v>252446.79999999993</v>
      </c>
      <c r="AA136" s="143">
        <f>INDEX('FY 23 OFA Shell'!BN$27:BN$195,MATCH(Outputs!$A136,'FY 23 OFA Shell'!$I$27:$I$195,0))</f>
        <v>267328.15999999992</v>
      </c>
      <c r="AB136" s="143">
        <f>INDEX('FY 23 OFA Shell'!BO$27:BO$195,MATCH(Outputs!$A136,'FY 23 OFA Shell'!$I$27:$I$195,0))</f>
        <v>319735</v>
      </c>
      <c r="AC136" s="143">
        <f>INDEX('FY 23 OFA Shell'!BP$27:BP$195,MATCH(Outputs!$A136,'FY 23 OFA Shell'!$I$27:$I$195,0))</f>
        <v>319735</v>
      </c>
      <c r="AD136" s="143">
        <f>INDEX('FY 23 OFA Shell'!BQ$27:BQ$195,MATCH(Outputs!$A136,'FY 23 OFA Shell'!$I$27:$I$195,0))</f>
        <v>319735</v>
      </c>
      <c r="AE136" s="129">
        <f t="shared" si="69"/>
        <v>0</v>
      </c>
      <c r="AF136" s="129">
        <f t="shared" si="70"/>
        <v>0</v>
      </c>
      <c r="AG136" s="129">
        <f t="shared" si="71"/>
        <v>0</v>
      </c>
      <c r="AH136" s="129">
        <f t="shared" si="72"/>
        <v>0</v>
      </c>
      <c r="AI136" s="129">
        <f t="shared" si="73"/>
        <v>0</v>
      </c>
      <c r="AJ136" s="129">
        <f t="shared" si="74"/>
        <v>0</v>
      </c>
      <c r="AK136" s="129">
        <f t="shared" si="75"/>
        <v>0</v>
      </c>
      <c r="AL136" s="129">
        <f t="shared" si="76"/>
        <v>0</v>
      </c>
      <c r="AM136" s="129">
        <f t="shared" si="77"/>
        <v>0</v>
      </c>
      <c r="AN136" s="127">
        <f t="shared" si="78"/>
        <v>0</v>
      </c>
      <c r="AO136" s="127">
        <f t="shared" si="79"/>
        <v>0</v>
      </c>
      <c r="AP136" s="127">
        <f t="shared" si="80"/>
        <v>0</v>
      </c>
      <c r="AQ136" s="127">
        <f t="shared" si="81"/>
        <v>0</v>
      </c>
      <c r="AR136" s="127">
        <f t="shared" si="82"/>
        <v>0</v>
      </c>
      <c r="AS136" s="127">
        <f t="shared" si="83"/>
        <v>0</v>
      </c>
      <c r="AT136" s="127">
        <f t="shared" si="84"/>
        <v>0</v>
      </c>
      <c r="AU136" s="127">
        <f t="shared" si="85"/>
        <v>0</v>
      </c>
      <c r="AV136" s="127">
        <f t="shared" si="86"/>
        <v>0</v>
      </c>
    </row>
    <row r="137" spans="1:48" x14ac:dyDescent="0.15">
      <c r="A137" s="29" t="s">
        <v>130</v>
      </c>
      <c r="B137" s="30">
        <f>IF(Data!D132=1, MAX(Data!AA132, Inputs!$E$25) + INDEX(Inputs!$D$38:$D$42, MATCH( Data!AD132, Inputs!$B$38:$B$42, 0), 0), MAX(Data!AA132, Inputs!$E$26) +  INDEX(Inputs!$D$38:$D$42, MATCH( Data!AD132, Inputs!$B$38:$B$42, 0), 0))</f>
        <v>0.01</v>
      </c>
      <c r="C137" s="141">
        <f>(100*Data!R132)</f>
        <v>0</v>
      </c>
      <c r="D137" s="141">
        <f>ROUND(Data!Q132*C137, 0)</f>
        <v>0</v>
      </c>
      <c r="E137" s="141">
        <f>(100*Data!T132)</f>
        <v>0</v>
      </c>
      <c r="F137" s="141">
        <f>E137*Data!S132</f>
        <v>0</v>
      </c>
      <c r="G137" s="142">
        <f>ROUND(Inputs!$E$21*Data!W132*B137, 0)</f>
        <v>533916</v>
      </c>
      <c r="H137" s="143">
        <f>IF(G137=0, 0,IF(Inputs!$E$30="Yes", IF(Data!D132=1, MAX(Outputs!D137+Outputs!F137+Outputs!G137, Data!AE132), Outputs!D137+Outputs!F137+Outputs!G137), Outputs!D137+Outputs!F137+Outputs!G137))</f>
        <v>533916</v>
      </c>
      <c r="I137" s="143">
        <f>INDEX('FY 22 OFA Shell'!$AQ$27:$AQ$195,MATCH(Outputs!A137,'FY 22 OFA Shell'!$I$27:$I$195,0))</f>
        <v>533916</v>
      </c>
      <c r="J137" s="129">
        <f>H137-Data!AT132</f>
        <v>-34784</v>
      </c>
      <c r="K137" s="127">
        <f>((H137)/(Data!AT132)) - 1</f>
        <v>-6.1164058378758601E-2</v>
      </c>
      <c r="L137" s="127">
        <f t="shared" si="87"/>
        <v>0</v>
      </c>
      <c r="M137" s="143">
        <f>(IF(Inputs!$E$30="Yes",INDEX(Data!AT:AT,MATCH(Outputs!A137,Data!A:A,0)),INDEX(Data!AS:AS,MATCH(Outputs!A137,Data!A:A,0))))</f>
        <v>568700</v>
      </c>
      <c r="N137" s="143">
        <f>IF(Inputs!$E$30="Yes",INDEX(Data!BN:BN,MATCH(Outputs!$A137,Data!$A:$A,0)),INDEX(Data!BE:BE,MATCH(Outputs!$A137,Data!$A:$A,0)))</f>
        <v>568700</v>
      </c>
      <c r="O137" s="143">
        <f>IF(Inputs!$E$30="Yes",INDEX(Data!BO:BO,MATCH(Outputs!$A137,Data!$A:$A,0)),INDEX(Data!BF:BF,MATCH(Outputs!$A137,Data!$A:$A,0)))</f>
        <v>565556.92440000002</v>
      </c>
      <c r="P137" s="143">
        <f>IF(Inputs!$E$30="Yes",INDEX(Data!BP:BP,MATCH(Outputs!$A137,Data!$A:$A,0)),INDEX(Data!BG:BG,MATCH(Outputs!$A137,Data!$A:$A,0)))</f>
        <v>562413.84880000004</v>
      </c>
      <c r="Q137" s="143">
        <f>IF(Inputs!$E$30="Yes",INDEX(Data!BQ:BQ,MATCH(Outputs!$A137,Data!$A:$A,0)),INDEX(Data!BH:BH,MATCH(Outputs!$A137,Data!$A:$A,0)))</f>
        <v>559270.77320000005</v>
      </c>
      <c r="R137" s="143">
        <f>IF(Inputs!$E$30="Yes",INDEX(Data!BR:BR,MATCH(Outputs!$A137,Data!$A:$A,0)),INDEX(Data!BI:BI,MATCH(Outputs!$A137,Data!$A:$A,0)))</f>
        <v>556127.69760000007</v>
      </c>
      <c r="S137" s="143">
        <f>IF(Inputs!$E$30="Yes",INDEX(Data!BS:BS,MATCH(Outputs!$A137,Data!$A:$A,0)),INDEX(Data!BJ:BJ,MATCH(Outputs!$A137,Data!$A:$A,0)))</f>
        <v>552984.62200000009</v>
      </c>
      <c r="T137" s="143">
        <f>IF(Inputs!$E$30="Yes",INDEX(Data!BT:BT,MATCH(Outputs!$A137,Data!$A:$A,0)),INDEX(Data!BK:BK,MATCH(Outputs!$A137,Data!$A:$A,0)))</f>
        <v>549841.54640000011</v>
      </c>
      <c r="U137" s="143">
        <f>IF(Inputs!$E$30="Yes",INDEX(Data!BU:BU,MATCH(Outputs!$A137,Data!$A:$A,0)),INDEX(Data!BL:BL,MATCH(Outputs!$A137,Data!$A:$A,0)))</f>
        <v>533916</v>
      </c>
      <c r="V137" s="143">
        <f>INDEX('FY 22 OFA Shell'!$AX$27:$AX$195,MATCH(Outputs!A137,'FY 22 OFA Shell'!$I$27:$I$195,0))</f>
        <v>568700</v>
      </c>
      <c r="W137" s="143">
        <f>INDEX('FY 23 OFA Shell'!$AX$27:$AX$195,MATCH(Outputs!A137,'FY 23 OFA Shell'!$I$27:$I$195,0))</f>
        <v>568700</v>
      </c>
      <c r="X137" s="143">
        <f>INDEX('FY 23 OFA Shell'!BK$27:BK$195,MATCH(Outputs!$A137,'FY 23 OFA Shell'!$I$27:$I$195,0))</f>
        <v>565556.92440000002</v>
      </c>
      <c r="Y137" s="143">
        <f>INDEX('FY 23 OFA Shell'!BL$27:BL$195,MATCH(Outputs!$A137,'FY 23 OFA Shell'!$I$27:$I$195,0))</f>
        <v>562413.84880000004</v>
      </c>
      <c r="Z137" s="143">
        <f>INDEX('FY 23 OFA Shell'!BM$27:BM$195,MATCH(Outputs!$A137,'FY 23 OFA Shell'!$I$27:$I$195,0))</f>
        <v>559270.77320000005</v>
      </c>
      <c r="AA137" s="143">
        <f>INDEX('FY 23 OFA Shell'!BN$27:BN$195,MATCH(Outputs!$A137,'FY 23 OFA Shell'!$I$27:$I$195,0))</f>
        <v>556127.69760000007</v>
      </c>
      <c r="AB137" s="143">
        <f>INDEX('FY 23 OFA Shell'!BO$27:BO$195,MATCH(Outputs!$A137,'FY 23 OFA Shell'!$I$27:$I$195,0))</f>
        <v>552984.62200000009</v>
      </c>
      <c r="AC137" s="143">
        <f>INDEX('FY 23 OFA Shell'!BP$27:BP$195,MATCH(Outputs!$A137,'FY 23 OFA Shell'!$I$27:$I$195,0))</f>
        <v>549841.54640000011</v>
      </c>
      <c r="AD137" s="143">
        <f>INDEX('FY 23 OFA Shell'!BQ$27:BQ$195,MATCH(Outputs!$A137,'FY 23 OFA Shell'!$I$27:$I$195,0))</f>
        <v>533916</v>
      </c>
      <c r="AE137" s="129">
        <f t="shared" si="69"/>
        <v>0</v>
      </c>
      <c r="AF137" s="129">
        <f t="shared" si="70"/>
        <v>0</v>
      </c>
      <c r="AG137" s="129">
        <f t="shared" si="71"/>
        <v>0</v>
      </c>
      <c r="AH137" s="129">
        <f t="shared" si="72"/>
        <v>0</v>
      </c>
      <c r="AI137" s="129">
        <f t="shared" si="73"/>
        <v>0</v>
      </c>
      <c r="AJ137" s="129">
        <f t="shared" si="74"/>
        <v>0</v>
      </c>
      <c r="AK137" s="129">
        <f t="shared" si="75"/>
        <v>0</v>
      </c>
      <c r="AL137" s="129">
        <f t="shared" si="76"/>
        <v>0</v>
      </c>
      <c r="AM137" s="129">
        <f t="shared" si="77"/>
        <v>0</v>
      </c>
      <c r="AN137" s="127">
        <f t="shared" si="78"/>
        <v>0</v>
      </c>
      <c r="AO137" s="127">
        <f t="shared" si="79"/>
        <v>0</v>
      </c>
      <c r="AP137" s="127">
        <f t="shared" si="80"/>
        <v>0</v>
      </c>
      <c r="AQ137" s="127">
        <f t="shared" si="81"/>
        <v>0</v>
      </c>
      <c r="AR137" s="127">
        <f t="shared" si="82"/>
        <v>0</v>
      </c>
      <c r="AS137" s="127">
        <f t="shared" si="83"/>
        <v>0</v>
      </c>
      <c r="AT137" s="127">
        <f t="shared" si="84"/>
        <v>0</v>
      </c>
      <c r="AU137" s="127">
        <f t="shared" si="85"/>
        <v>0</v>
      </c>
      <c r="AV137" s="127">
        <f t="shared" si="86"/>
        <v>0</v>
      </c>
    </row>
    <row r="138" spans="1:48" x14ac:dyDescent="0.15">
      <c r="A138" s="29" t="s">
        <v>131</v>
      </c>
      <c r="B138" s="30">
        <f>IF(Data!D133=1, MAX(Data!AA133, Inputs!$E$25) + INDEX(Inputs!$D$38:$D$42, MATCH( Data!AD133, Inputs!$B$38:$B$42, 0), 0), MAX(Data!AA133, Inputs!$E$26) +  INDEX(Inputs!$D$38:$D$42, MATCH( Data!AD133, Inputs!$B$38:$B$42, 0), 0))</f>
        <v>0.23385500000000001</v>
      </c>
      <c r="C138" s="141">
        <f>(100*Data!R133)</f>
        <v>0</v>
      </c>
      <c r="D138" s="141">
        <f>ROUND(Data!Q133*C138, 0)</f>
        <v>0</v>
      </c>
      <c r="E138" s="141">
        <f>(100*Data!T133)</f>
        <v>0</v>
      </c>
      <c r="F138" s="141">
        <f>E138*Data!S133</f>
        <v>0</v>
      </c>
      <c r="G138" s="142">
        <f>ROUND(Inputs!$E$21*Data!W133*B138, 0)</f>
        <v>8030878</v>
      </c>
      <c r="H138" s="143">
        <f>IF(G138=0, 0,IF(Inputs!$E$30="Yes", IF(Data!D133=1, MAX(Outputs!D138+Outputs!F138+Outputs!G138, Data!AE133), Outputs!D138+Outputs!F138+Outputs!G138), Outputs!D138+Outputs!F138+Outputs!G138))</f>
        <v>8030878</v>
      </c>
      <c r="I138" s="143">
        <f>INDEX('FY 22 OFA Shell'!$AQ$27:$AQ$195,MATCH(Outputs!A138,'FY 22 OFA Shell'!$I$27:$I$195,0))</f>
        <v>8030878</v>
      </c>
      <c r="J138" s="129">
        <f>H138-Data!AT133</f>
        <v>2617046.9232000001</v>
      </c>
      <c r="K138" s="127">
        <f>((H138)/(Data!AT133)) - 1</f>
        <v>0.48340018114249705</v>
      </c>
      <c r="L138" s="127">
        <f t="shared" si="87"/>
        <v>0</v>
      </c>
      <c r="M138" s="143">
        <f>(IF(Inputs!$E$30="Yes",INDEX(Data!AT:AT,MATCH(Outputs!A138,Data!A:A,0)),INDEX(Data!AS:AS,MATCH(Outputs!A138,Data!A:A,0))))</f>
        <v>5413831.0767999999</v>
      </c>
      <c r="N138" s="143">
        <f>IF(Inputs!$E$30="Yes",INDEX(Data!BN:BN,MATCH(Outputs!$A138,Data!$A:$A,0)),INDEX(Data!BE:BE,MATCH(Outputs!$A138,Data!$A:$A,0)))</f>
        <v>5816848.1535999998</v>
      </c>
      <c r="O138" s="143">
        <f>IF(Inputs!$E$30="Yes",INDEX(Data!BO:BO,MATCH(Outputs!$A138,Data!$A:$A,0)),INDEX(Data!BF:BF,MATCH(Outputs!$A138,Data!$A:$A,0)))</f>
        <v>6219865.2303999998</v>
      </c>
      <c r="P138" s="143">
        <f>IF(Inputs!$E$30="Yes",INDEX(Data!BP:BP,MATCH(Outputs!$A138,Data!$A:$A,0)),INDEX(Data!BG:BG,MATCH(Outputs!$A138,Data!$A:$A,0)))</f>
        <v>6622882.3071999997</v>
      </c>
      <c r="Q138" s="143">
        <f>IF(Inputs!$E$30="Yes",INDEX(Data!BQ:BQ,MATCH(Outputs!$A138,Data!$A:$A,0)),INDEX(Data!BH:BH,MATCH(Outputs!$A138,Data!$A:$A,0)))</f>
        <v>7025899.3839999996</v>
      </c>
      <c r="R138" s="143">
        <f>IF(Inputs!$E$30="Yes",INDEX(Data!BR:BR,MATCH(Outputs!$A138,Data!$A:$A,0)),INDEX(Data!BI:BI,MATCH(Outputs!$A138,Data!$A:$A,0)))</f>
        <v>7428916.4607999995</v>
      </c>
      <c r="S138" s="143">
        <f>IF(Inputs!$E$30="Yes",INDEX(Data!BS:BS,MATCH(Outputs!$A138,Data!$A:$A,0)),INDEX(Data!BJ:BJ,MATCH(Outputs!$A138,Data!$A:$A,0)))</f>
        <v>8030878</v>
      </c>
      <c r="T138" s="143">
        <f>IF(Inputs!$E$30="Yes",INDEX(Data!BT:BT,MATCH(Outputs!$A138,Data!$A:$A,0)),INDEX(Data!BK:BK,MATCH(Outputs!$A138,Data!$A:$A,0)))</f>
        <v>8030878</v>
      </c>
      <c r="U138" s="143">
        <f>IF(Inputs!$E$30="Yes",INDEX(Data!BU:BU,MATCH(Outputs!$A138,Data!$A:$A,0)),INDEX(Data!BL:BL,MATCH(Outputs!$A138,Data!$A:$A,0)))</f>
        <v>8030878</v>
      </c>
      <c r="V138" s="143">
        <f>INDEX('FY 22 OFA Shell'!$AX$27:$AX$195,MATCH(Outputs!A138,'FY 22 OFA Shell'!$I$27:$I$195,0))</f>
        <v>5413831.0767999999</v>
      </c>
      <c r="W138" s="143">
        <f>INDEX('FY 23 OFA Shell'!$AX$27:$AX$195,MATCH(Outputs!A138,'FY 23 OFA Shell'!$I$27:$I$195,0))</f>
        <v>5816848.1535999998</v>
      </c>
      <c r="X138" s="143">
        <f>INDEX('FY 23 OFA Shell'!BK$27:BK$195,MATCH(Outputs!$A138,'FY 23 OFA Shell'!$I$27:$I$195,0))</f>
        <v>6219865.2303999998</v>
      </c>
      <c r="Y138" s="143">
        <f>INDEX('FY 23 OFA Shell'!BL$27:BL$195,MATCH(Outputs!$A138,'FY 23 OFA Shell'!$I$27:$I$195,0))</f>
        <v>6622882.3071999997</v>
      </c>
      <c r="Z138" s="143">
        <f>INDEX('FY 23 OFA Shell'!BM$27:BM$195,MATCH(Outputs!$A138,'FY 23 OFA Shell'!$I$27:$I$195,0))</f>
        <v>7025899.3839999996</v>
      </c>
      <c r="AA138" s="143">
        <f>INDEX('FY 23 OFA Shell'!BN$27:BN$195,MATCH(Outputs!$A138,'FY 23 OFA Shell'!$I$27:$I$195,0))</f>
        <v>7428916.4607999995</v>
      </c>
      <c r="AB138" s="143">
        <f>INDEX('FY 23 OFA Shell'!BO$27:BO$195,MATCH(Outputs!$A138,'FY 23 OFA Shell'!$I$27:$I$195,0))</f>
        <v>8030878</v>
      </c>
      <c r="AC138" s="143">
        <f>INDEX('FY 23 OFA Shell'!BP$27:BP$195,MATCH(Outputs!$A138,'FY 23 OFA Shell'!$I$27:$I$195,0))</f>
        <v>8030878</v>
      </c>
      <c r="AD138" s="143">
        <f>INDEX('FY 23 OFA Shell'!BQ$27:BQ$195,MATCH(Outputs!$A138,'FY 23 OFA Shell'!$I$27:$I$195,0))</f>
        <v>8030878</v>
      </c>
      <c r="AE138" s="129">
        <f t="shared" si="69"/>
        <v>0</v>
      </c>
      <c r="AF138" s="129">
        <f t="shared" si="70"/>
        <v>0</v>
      </c>
      <c r="AG138" s="129">
        <f t="shared" si="71"/>
        <v>0</v>
      </c>
      <c r="AH138" s="129">
        <f t="shared" si="72"/>
        <v>0</v>
      </c>
      <c r="AI138" s="129">
        <f t="shared" si="73"/>
        <v>0</v>
      </c>
      <c r="AJ138" s="129">
        <f t="shared" si="74"/>
        <v>0</v>
      </c>
      <c r="AK138" s="129">
        <f t="shared" si="75"/>
        <v>0</v>
      </c>
      <c r="AL138" s="129">
        <f t="shared" si="76"/>
        <v>0</v>
      </c>
      <c r="AM138" s="129">
        <f t="shared" si="77"/>
        <v>0</v>
      </c>
      <c r="AN138" s="127">
        <f t="shared" si="78"/>
        <v>0</v>
      </c>
      <c r="AO138" s="127">
        <f t="shared" si="79"/>
        <v>0</v>
      </c>
      <c r="AP138" s="127">
        <f t="shared" si="80"/>
        <v>0</v>
      </c>
      <c r="AQ138" s="127">
        <f t="shared" si="81"/>
        <v>0</v>
      </c>
      <c r="AR138" s="127">
        <f t="shared" si="82"/>
        <v>0</v>
      </c>
      <c r="AS138" s="127">
        <f t="shared" si="83"/>
        <v>0</v>
      </c>
      <c r="AT138" s="127">
        <f t="shared" si="84"/>
        <v>0</v>
      </c>
      <c r="AU138" s="127">
        <f t="shared" si="85"/>
        <v>0</v>
      </c>
      <c r="AV138" s="127">
        <f t="shared" si="86"/>
        <v>0</v>
      </c>
    </row>
    <row r="139" spans="1:48" x14ac:dyDescent="0.15">
      <c r="A139" s="29" t="s">
        <v>132</v>
      </c>
      <c r="B139" s="30">
        <f>IF(Data!D134=1, MAX(Data!AA134, Inputs!$E$25) + INDEX(Inputs!$D$38:$D$42, MATCH( Data!AD134, Inputs!$B$38:$B$42, 0), 0), MAX(Data!AA134, Inputs!$E$26) +  INDEX(Inputs!$D$38:$D$42, MATCH( Data!AD134, Inputs!$B$38:$B$42, 0), 0))</f>
        <v>0.01</v>
      </c>
      <c r="C139" s="141">
        <f>(100*Data!R134)</f>
        <v>1300</v>
      </c>
      <c r="D139" s="141">
        <f>ROUND(Data!Q134*C139, 0)</f>
        <v>249600</v>
      </c>
      <c r="E139" s="141">
        <f>(100*Data!T134)</f>
        <v>0</v>
      </c>
      <c r="F139" s="141">
        <f>E139*Data!S134</f>
        <v>0</v>
      </c>
      <c r="G139" s="142">
        <f>ROUND(Inputs!$E$21*Data!W134*B139, 0)</f>
        <v>23675</v>
      </c>
      <c r="H139" s="143">
        <f>IF(G139=0, 0,IF(Inputs!$E$30="Yes", IF(Data!D134=1, MAX(Outputs!D139+Outputs!F139+Outputs!G139, Data!AE134), Outputs!D139+Outputs!F139+Outputs!G139), Outputs!D139+Outputs!F139+Outputs!G139))</f>
        <v>273275</v>
      </c>
      <c r="I139" s="143">
        <f>INDEX('FY 22 OFA Shell'!$AQ$27:$AQ$195,MATCH(Outputs!A139,'FY 22 OFA Shell'!$I$27:$I$195,0))</f>
        <v>273275</v>
      </c>
      <c r="J139" s="129">
        <f>H139-Data!AT134</f>
        <v>211679.92420000001</v>
      </c>
      <c r="K139" s="127">
        <f>((H139)/(Data!AT134)) - 1</f>
        <v>3.4366371248137986</v>
      </c>
      <c r="L139" s="127">
        <f t="shared" si="87"/>
        <v>0</v>
      </c>
      <c r="M139" s="143">
        <f>(IF(Inputs!$E$30="Yes",INDEX(Data!AT:AT,MATCH(Outputs!A139,Data!A:A,0)),INDEX(Data!AS:AS,MATCH(Outputs!A139,Data!A:A,0))))</f>
        <v>61595.075799999999</v>
      </c>
      <c r="N139" s="143">
        <f>IF(Inputs!$E$30="Yes",INDEX(Data!BN:BN,MATCH(Outputs!$A139,Data!$A:$A,0)),INDEX(Data!BE:BE,MATCH(Outputs!$A139,Data!$A:$A,0)))</f>
        <v>87143.151599999997</v>
      </c>
      <c r="O139" s="143">
        <f>IF(Inputs!$E$30="Yes",INDEX(Data!BO:BO,MATCH(Outputs!$A139,Data!$A:$A,0)),INDEX(Data!BF:BF,MATCH(Outputs!$A139,Data!$A:$A,0)))</f>
        <v>112691.2274</v>
      </c>
      <c r="P139" s="143">
        <f>IF(Inputs!$E$30="Yes",INDEX(Data!BP:BP,MATCH(Outputs!$A139,Data!$A:$A,0)),INDEX(Data!BG:BG,MATCH(Outputs!$A139,Data!$A:$A,0)))</f>
        <v>138239.30319999999</v>
      </c>
      <c r="Q139" s="143">
        <f>IF(Inputs!$E$30="Yes",INDEX(Data!BQ:BQ,MATCH(Outputs!$A139,Data!$A:$A,0)),INDEX(Data!BH:BH,MATCH(Outputs!$A139,Data!$A:$A,0)))</f>
        <v>163787.37899999999</v>
      </c>
      <c r="R139" s="143">
        <f>IF(Inputs!$E$30="Yes",INDEX(Data!BR:BR,MATCH(Outputs!$A139,Data!$A:$A,0)),INDEX(Data!BI:BI,MATCH(Outputs!$A139,Data!$A:$A,0)))</f>
        <v>189335.45479999998</v>
      </c>
      <c r="S139" s="143">
        <f>IF(Inputs!$E$30="Yes",INDEX(Data!BS:BS,MATCH(Outputs!$A139,Data!$A:$A,0)),INDEX(Data!BJ:BJ,MATCH(Outputs!$A139,Data!$A:$A,0)))</f>
        <v>273275</v>
      </c>
      <c r="T139" s="143">
        <f>IF(Inputs!$E$30="Yes",INDEX(Data!BT:BT,MATCH(Outputs!$A139,Data!$A:$A,0)),INDEX(Data!BK:BK,MATCH(Outputs!$A139,Data!$A:$A,0)))</f>
        <v>273275</v>
      </c>
      <c r="U139" s="143">
        <f>IF(Inputs!$E$30="Yes",INDEX(Data!BU:BU,MATCH(Outputs!$A139,Data!$A:$A,0)),INDEX(Data!BL:BL,MATCH(Outputs!$A139,Data!$A:$A,0)))</f>
        <v>273275</v>
      </c>
      <c r="V139" s="143">
        <f>INDEX('FY 22 OFA Shell'!$AX$27:$AX$195,MATCH(Outputs!A139,'FY 22 OFA Shell'!$I$27:$I$195,0))</f>
        <v>61595.075799999999</v>
      </c>
      <c r="W139" s="143">
        <f>INDEX('FY 23 OFA Shell'!$AX$27:$AX$195,MATCH(Outputs!A139,'FY 23 OFA Shell'!$I$27:$I$195,0))</f>
        <v>87143.151599999997</v>
      </c>
      <c r="X139" s="143">
        <f>INDEX('FY 23 OFA Shell'!BK$27:BK$195,MATCH(Outputs!$A139,'FY 23 OFA Shell'!$I$27:$I$195,0))</f>
        <v>112691.2274</v>
      </c>
      <c r="Y139" s="143">
        <f>INDEX('FY 23 OFA Shell'!BL$27:BL$195,MATCH(Outputs!$A139,'FY 23 OFA Shell'!$I$27:$I$195,0))</f>
        <v>138239.30319999999</v>
      </c>
      <c r="Z139" s="143">
        <f>INDEX('FY 23 OFA Shell'!BM$27:BM$195,MATCH(Outputs!$A139,'FY 23 OFA Shell'!$I$27:$I$195,0))</f>
        <v>163787.37899999999</v>
      </c>
      <c r="AA139" s="143">
        <f>INDEX('FY 23 OFA Shell'!BN$27:BN$195,MATCH(Outputs!$A139,'FY 23 OFA Shell'!$I$27:$I$195,0))</f>
        <v>189335.45479999998</v>
      </c>
      <c r="AB139" s="143">
        <f>INDEX('FY 23 OFA Shell'!BO$27:BO$195,MATCH(Outputs!$A139,'FY 23 OFA Shell'!$I$27:$I$195,0))</f>
        <v>273275</v>
      </c>
      <c r="AC139" s="143">
        <f>INDEX('FY 23 OFA Shell'!BP$27:BP$195,MATCH(Outputs!$A139,'FY 23 OFA Shell'!$I$27:$I$195,0))</f>
        <v>273275</v>
      </c>
      <c r="AD139" s="143">
        <f>INDEX('FY 23 OFA Shell'!BQ$27:BQ$195,MATCH(Outputs!$A139,'FY 23 OFA Shell'!$I$27:$I$195,0))</f>
        <v>273275</v>
      </c>
      <c r="AE139" s="129">
        <f t="shared" si="69"/>
        <v>0</v>
      </c>
      <c r="AF139" s="129">
        <f t="shared" si="70"/>
        <v>0</v>
      </c>
      <c r="AG139" s="129">
        <f t="shared" si="71"/>
        <v>0</v>
      </c>
      <c r="AH139" s="129">
        <f t="shared" si="72"/>
        <v>0</v>
      </c>
      <c r="AI139" s="129">
        <f t="shared" si="73"/>
        <v>0</v>
      </c>
      <c r="AJ139" s="129">
        <f t="shared" si="74"/>
        <v>0</v>
      </c>
      <c r="AK139" s="129">
        <f t="shared" si="75"/>
        <v>0</v>
      </c>
      <c r="AL139" s="129">
        <f t="shared" si="76"/>
        <v>0</v>
      </c>
      <c r="AM139" s="129">
        <f t="shared" si="77"/>
        <v>0</v>
      </c>
      <c r="AN139" s="127">
        <f t="shared" si="78"/>
        <v>0</v>
      </c>
      <c r="AO139" s="127">
        <f t="shared" si="79"/>
        <v>0</v>
      </c>
      <c r="AP139" s="127">
        <f t="shared" si="80"/>
        <v>0</v>
      </c>
      <c r="AQ139" s="127">
        <f t="shared" si="81"/>
        <v>0</v>
      </c>
      <c r="AR139" s="127">
        <f t="shared" si="82"/>
        <v>0</v>
      </c>
      <c r="AS139" s="127">
        <f t="shared" si="83"/>
        <v>0</v>
      </c>
      <c r="AT139" s="127">
        <f t="shared" si="84"/>
        <v>0</v>
      </c>
      <c r="AU139" s="127">
        <f t="shared" si="85"/>
        <v>0</v>
      </c>
      <c r="AV139" s="127">
        <f t="shared" si="86"/>
        <v>0</v>
      </c>
    </row>
    <row r="140" spans="1:48" x14ac:dyDescent="0.15">
      <c r="A140" s="29" t="s">
        <v>133</v>
      </c>
      <c r="B140" s="30">
        <f>IF(Data!D135=1, MAX(Data!AA135, Inputs!$E$25) + INDEX(Inputs!$D$38:$D$42, MATCH( Data!AD135, Inputs!$B$38:$B$42, 0), 0), MAX(Data!AA135, Inputs!$E$26) +  INDEX(Inputs!$D$38:$D$42, MATCH( Data!AD135, Inputs!$B$38:$B$42, 0), 0))</f>
        <v>0.232988</v>
      </c>
      <c r="C140" s="141">
        <f>(100*Data!R135)</f>
        <v>0</v>
      </c>
      <c r="D140" s="141">
        <f>ROUND(Data!Q135*C140, 0)</f>
        <v>0</v>
      </c>
      <c r="E140" s="141">
        <f>(100*Data!T135)</f>
        <v>0</v>
      </c>
      <c r="F140" s="141">
        <f>E140*Data!S135</f>
        <v>0</v>
      </c>
      <c r="G140" s="142">
        <f>ROUND(Inputs!$E$21*Data!W135*B140, 0)</f>
        <v>1701442</v>
      </c>
      <c r="H140" s="143">
        <f>IF(G140=0, 0,IF(Inputs!$E$30="Yes", IF(Data!D135=1, MAX(Outputs!D140+Outputs!F140+Outputs!G140, Data!AE135), Outputs!D140+Outputs!F140+Outputs!G140), Outputs!D140+Outputs!F140+Outputs!G140))</f>
        <v>1701442</v>
      </c>
      <c r="I140" s="143">
        <f>INDEX('FY 22 OFA Shell'!$AQ$27:$AQ$195,MATCH(Outputs!A140,'FY 22 OFA Shell'!$I$27:$I$195,0))</f>
        <v>1701442</v>
      </c>
      <c r="J140" s="129">
        <f>H140-Data!AT135</f>
        <v>-823636</v>
      </c>
      <c r="K140" s="127">
        <f>((H140)/(Data!AT135)) - 1</f>
        <v>-0.32618239911796787</v>
      </c>
      <c r="L140" s="127">
        <f t="shared" si="87"/>
        <v>0</v>
      </c>
      <c r="M140" s="143">
        <f>(IF(Inputs!$E$30="Yes",INDEX(Data!AT:AT,MATCH(Outputs!A140,Data!A:A,0)),INDEX(Data!AS:AS,MATCH(Outputs!A140,Data!A:A,0))))</f>
        <v>2525078</v>
      </c>
      <c r="N140" s="143">
        <f>IF(Inputs!$E$30="Yes",INDEX(Data!BN:BN,MATCH(Outputs!$A140,Data!$A:$A,0)),INDEX(Data!BE:BE,MATCH(Outputs!$A140,Data!$A:$A,0)))</f>
        <v>2525078</v>
      </c>
      <c r="O140" s="143">
        <f>IF(Inputs!$E$30="Yes",INDEX(Data!BO:BO,MATCH(Outputs!$A140,Data!$A:$A,0)),INDEX(Data!BF:BF,MATCH(Outputs!$A140,Data!$A:$A,0)))</f>
        <v>2412800.2623999999</v>
      </c>
      <c r="P140" s="143">
        <f>IF(Inputs!$E$30="Yes",INDEX(Data!BP:BP,MATCH(Outputs!$A140,Data!$A:$A,0)),INDEX(Data!BG:BG,MATCH(Outputs!$A140,Data!$A:$A,0)))</f>
        <v>2300522.5247999998</v>
      </c>
      <c r="Q140" s="143">
        <f>IF(Inputs!$E$30="Yes",INDEX(Data!BQ:BQ,MATCH(Outputs!$A140,Data!$A:$A,0)),INDEX(Data!BH:BH,MATCH(Outputs!$A140,Data!$A:$A,0)))</f>
        <v>2188244.7871999997</v>
      </c>
      <c r="R140" s="143">
        <f>IF(Inputs!$E$30="Yes",INDEX(Data!BR:BR,MATCH(Outputs!$A140,Data!$A:$A,0)),INDEX(Data!BI:BI,MATCH(Outputs!$A140,Data!$A:$A,0)))</f>
        <v>2075967.0495999996</v>
      </c>
      <c r="S140" s="143">
        <f>IF(Inputs!$E$30="Yes",INDEX(Data!BS:BS,MATCH(Outputs!$A140,Data!$A:$A,0)),INDEX(Data!BJ:BJ,MATCH(Outputs!$A140,Data!$A:$A,0)))</f>
        <v>1963689.3119999995</v>
      </c>
      <c r="T140" s="143">
        <f>IF(Inputs!$E$30="Yes",INDEX(Data!BT:BT,MATCH(Outputs!$A140,Data!$A:$A,0)),INDEX(Data!BK:BK,MATCH(Outputs!$A140,Data!$A:$A,0)))</f>
        <v>1851411.5743999993</v>
      </c>
      <c r="U140" s="143">
        <f>IF(Inputs!$E$30="Yes",INDEX(Data!BU:BU,MATCH(Outputs!$A140,Data!$A:$A,0)),INDEX(Data!BL:BL,MATCH(Outputs!$A140,Data!$A:$A,0)))</f>
        <v>1701442</v>
      </c>
      <c r="V140" s="143">
        <f>INDEX('FY 22 OFA Shell'!$AX$27:$AX$195,MATCH(Outputs!A140,'FY 22 OFA Shell'!$I$27:$I$195,0))</f>
        <v>2525078</v>
      </c>
      <c r="W140" s="143">
        <f>INDEX('FY 23 OFA Shell'!$AX$27:$AX$195,MATCH(Outputs!A140,'FY 23 OFA Shell'!$I$27:$I$195,0))</f>
        <v>2525078</v>
      </c>
      <c r="X140" s="143">
        <f>INDEX('FY 23 OFA Shell'!BK$27:BK$195,MATCH(Outputs!$A140,'FY 23 OFA Shell'!$I$27:$I$195,0))</f>
        <v>2412800.2623999999</v>
      </c>
      <c r="Y140" s="143">
        <f>INDEX('FY 23 OFA Shell'!BL$27:BL$195,MATCH(Outputs!$A140,'FY 23 OFA Shell'!$I$27:$I$195,0))</f>
        <v>2300522.5247999998</v>
      </c>
      <c r="Z140" s="143">
        <f>INDEX('FY 23 OFA Shell'!BM$27:BM$195,MATCH(Outputs!$A140,'FY 23 OFA Shell'!$I$27:$I$195,0))</f>
        <v>2188244.7871999997</v>
      </c>
      <c r="AA140" s="143">
        <f>INDEX('FY 23 OFA Shell'!BN$27:BN$195,MATCH(Outputs!$A140,'FY 23 OFA Shell'!$I$27:$I$195,0))</f>
        <v>2075967.0495999996</v>
      </c>
      <c r="AB140" s="143">
        <f>INDEX('FY 23 OFA Shell'!BO$27:BO$195,MATCH(Outputs!$A140,'FY 23 OFA Shell'!$I$27:$I$195,0))</f>
        <v>1963689.3119999995</v>
      </c>
      <c r="AC140" s="143">
        <f>INDEX('FY 23 OFA Shell'!BP$27:BP$195,MATCH(Outputs!$A140,'FY 23 OFA Shell'!$I$27:$I$195,0))</f>
        <v>1851411.5743999993</v>
      </c>
      <c r="AD140" s="143">
        <f>INDEX('FY 23 OFA Shell'!BQ$27:BQ$195,MATCH(Outputs!$A140,'FY 23 OFA Shell'!$I$27:$I$195,0))</f>
        <v>1701442</v>
      </c>
      <c r="AE140" s="129">
        <f t="shared" si="69"/>
        <v>0</v>
      </c>
      <c r="AF140" s="129">
        <f t="shared" si="70"/>
        <v>0</v>
      </c>
      <c r="AG140" s="129">
        <f t="shared" si="71"/>
        <v>0</v>
      </c>
      <c r="AH140" s="129">
        <f t="shared" si="72"/>
        <v>0</v>
      </c>
      <c r="AI140" s="129">
        <f t="shared" si="73"/>
        <v>0</v>
      </c>
      <c r="AJ140" s="129">
        <f t="shared" si="74"/>
        <v>0</v>
      </c>
      <c r="AK140" s="129">
        <f t="shared" si="75"/>
        <v>0</v>
      </c>
      <c r="AL140" s="129">
        <f t="shared" si="76"/>
        <v>0</v>
      </c>
      <c r="AM140" s="129">
        <f t="shared" si="77"/>
        <v>0</v>
      </c>
      <c r="AN140" s="127">
        <f t="shared" si="78"/>
        <v>0</v>
      </c>
      <c r="AO140" s="127">
        <f t="shared" si="79"/>
        <v>0</v>
      </c>
      <c r="AP140" s="127">
        <f t="shared" si="80"/>
        <v>0</v>
      </c>
      <c r="AQ140" s="127">
        <f t="shared" si="81"/>
        <v>0</v>
      </c>
      <c r="AR140" s="127">
        <f t="shared" si="82"/>
        <v>0</v>
      </c>
      <c r="AS140" s="127">
        <f t="shared" si="83"/>
        <v>0</v>
      </c>
      <c r="AT140" s="127">
        <f t="shared" si="84"/>
        <v>0</v>
      </c>
      <c r="AU140" s="127">
        <f t="shared" si="85"/>
        <v>0</v>
      </c>
      <c r="AV140" s="127">
        <f t="shared" si="86"/>
        <v>0</v>
      </c>
    </row>
    <row r="141" spans="1:48" x14ac:dyDescent="0.15">
      <c r="A141" s="29" t="s">
        <v>134</v>
      </c>
      <c r="B141" s="30">
        <f>IF(Data!D136=1, MAX(Data!AA136, Inputs!$E$25) + INDEX(Inputs!$D$38:$D$42, MATCH( Data!AD136, Inputs!$B$38:$B$42, 0), 0), MAX(Data!AA136, Inputs!$E$26) +  INDEX(Inputs!$D$38:$D$42, MATCH( Data!AD136, Inputs!$B$38:$B$42, 0), 0))</f>
        <v>0.01</v>
      </c>
      <c r="C141" s="141">
        <f>(100*Data!R136)</f>
        <v>400</v>
      </c>
      <c r="D141" s="141">
        <f>ROUND(Data!Q136*C141, 0)</f>
        <v>23600</v>
      </c>
      <c r="E141" s="141">
        <f>(100*Data!T136)</f>
        <v>0</v>
      </c>
      <c r="F141" s="141">
        <f>E141*Data!S136</f>
        <v>0</v>
      </c>
      <c r="G141" s="142">
        <f>ROUND(Inputs!$E$21*Data!W136*B141, 0)</f>
        <v>43298</v>
      </c>
      <c r="H141" s="143">
        <f>IF(G141=0, 0,IF(Inputs!$E$30="Yes", IF(Data!D136=1, MAX(Outputs!D141+Outputs!F141+Outputs!G141, Data!AE136), Outputs!D141+Outputs!F141+Outputs!G141), Outputs!D141+Outputs!F141+Outputs!G141))</f>
        <v>66898</v>
      </c>
      <c r="I141" s="143">
        <f>INDEX('FY 22 OFA Shell'!$AQ$27:$AQ$195,MATCH(Outputs!A141,'FY 22 OFA Shell'!$I$27:$I$195,0))</f>
        <v>66898</v>
      </c>
      <c r="J141" s="129">
        <f>H141-Data!AT136</f>
        <v>41395.521800000002</v>
      </c>
      <c r="K141" s="127">
        <f>((H141)/(Data!AT136)) - 1</f>
        <v>1.6231960468845728</v>
      </c>
      <c r="L141" s="127">
        <f t="shared" si="87"/>
        <v>0</v>
      </c>
      <c r="M141" s="143">
        <f>(IF(Inputs!$E$30="Yes",INDEX(Data!AT:AT,MATCH(Outputs!A141,Data!A:A,0)),INDEX(Data!AS:AS,MATCH(Outputs!A141,Data!A:A,0))))</f>
        <v>25502.478200000001</v>
      </c>
      <c r="N141" s="143">
        <f>IF(Inputs!$E$30="Yes",INDEX(Data!BN:BN,MATCH(Outputs!$A141,Data!$A:$A,0)),INDEX(Data!BE:BE,MATCH(Outputs!$A141,Data!$A:$A,0)))</f>
        <v>31474.956400000003</v>
      </c>
      <c r="O141" s="143">
        <f>IF(Inputs!$E$30="Yes",INDEX(Data!BO:BO,MATCH(Outputs!$A141,Data!$A:$A,0)),INDEX(Data!BF:BF,MATCH(Outputs!$A141,Data!$A:$A,0)))</f>
        <v>37447.434600000001</v>
      </c>
      <c r="P141" s="143">
        <f>IF(Inputs!$E$30="Yes",INDEX(Data!BP:BP,MATCH(Outputs!$A141,Data!$A:$A,0)),INDEX(Data!BG:BG,MATCH(Outputs!$A141,Data!$A:$A,0)))</f>
        <v>43419.912799999998</v>
      </c>
      <c r="Q141" s="143">
        <f>IF(Inputs!$E$30="Yes",INDEX(Data!BQ:BQ,MATCH(Outputs!$A141,Data!$A:$A,0)),INDEX(Data!BH:BH,MATCH(Outputs!$A141,Data!$A:$A,0)))</f>
        <v>49392.390999999996</v>
      </c>
      <c r="R141" s="143">
        <f>IF(Inputs!$E$30="Yes",INDEX(Data!BR:BR,MATCH(Outputs!$A141,Data!$A:$A,0)),INDEX(Data!BI:BI,MATCH(Outputs!$A141,Data!$A:$A,0)))</f>
        <v>55364.869199999994</v>
      </c>
      <c r="S141" s="143">
        <f>IF(Inputs!$E$30="Yes",INDEX(Data!BS:BS,MATCH(Outputs!$A141,Data!$A:$A,0)),INDEX(Data!BJ:BJ,MATCH(Outputs!$A141,Data!$A:$A,0)))</f>
        <v>66898</v>
      </c>
      <c r="T141" s="143">
        <f>IF(Inputs!$E$30="Yes",INDEX(Data!BT:BT,MATCH(Outputs!$A141,Data!$A:$A,0)),INDEX(Data!BK:BK,MATCH(Outputs!$A141,Data!$A:$A,0)))</f>
        <v>66898</v>
      </c>
      <c r="U141" s="143">
        <f>IF(Inputs!$E$30="Yes",INDEX(Data!BU:BU,MATCH(Outputs!$A141,Data!$A:$A,0)),INDEX(Data!BL:BL,MATCH(Outputs!$A141,Data!$A:$A,0)))</f>
        <v>66898</v>
      </c>
      <c r="V141" s="143">
        <f>INDEX('FY 22 OFA Shell'!$AX$27:$AX$195,MATCH(Outputs!A141,'FY 22 OFA Shell'!$I$27:$I$195,0))</f>
        <v>25502.478200000001</v>
      </c>
      <c r="W141" s="143">
        <f>INDEX('FY 23 OFA Shell'!$AX$27:$AX$195,MATCH(Outputs!A141,'FY 23 OFA Shell'!$I$27:$I$195,0))</f>
        <v>31474.956400000003</v>
      </c>
      <c r="X141" s="143">
        <f>INDEX('FY 23 OFA Shell'!BK$27:BK$195,MATCH(Outputs!$A141,'FY 23 OFA Shell'!$I$27:$I$195,0))</f>
        <v>37447.434600000001</v>
      </c>
      <c r="Y141" s="143">
        <f>INDEX('FY 23 OFA Shell'!BL$27:BL$195,MATCH(Outputs!$A141,'FY 23 OFA Shell'!$I$27:$I$195,0))</f>
        <v>43419.912799999998</v>
      </c>
      <c r="Z141" s="143">
        <f>INDEX('FY 23 OFA Shell'!BM$27:BM$195,MATCH(Outputs!$A141,'FY 23 OFA Shell'!$I$27:$I$195,0))</f>
        <v>49392.390999999996</v>
      </c>
      <c r="AA141" s="143">
        <f>INDEX('FY 23 OFA Shell'!BN$27:BN$195,MATCH(Outputs!$A141,'FY 23 OFA Shell'!$I$27:$I$195,0))</f>
        <v>55364.869199999994</v>
      </c>
      <c r="AB141" s="143">
        <f>INDEX('FY 23 OFA Shell'!BO$27:BO$195,MATCH(Outputs!$A141,'FY 23 OFA Shell'!$I$27:$I$195,0))</f>
        <v>66898</v>
      </c>
      <c r="AC141" s="143">
        <f>INDEX('FY 23 OFA Shell'!BP$27:BP$195,MATCH(Outputs!$A141,'FY 23 OFA Shell'!$I$27:$I$195,0))</f>
        <v>66898</v>
      </c>
      <c r="AD141" s="143">
        <f>INDEX('FY 23 OFA Shell'!BQ$27:BQ$195,MATCH(Outputs!$A141,'FY 23 OFA Shell'!$I$27:$I$195,0))</f>
        <v>66898</v>
      </c>
      <c r="AE141" s="129">
        <f t="shared" si="69"/>
        <v>0</v>
      </c>
      <c r="AF141" s="129">
        <f t="shared" si="70"/>
        <v>0</v>
      </c>
      <c r="AG141" s="129">
        <f t="shared" si="71"/>
        <v>0</v>
      </c>
      <c r="AH141" s="129">
        <f t="shared" si="72"/>
        <v>0</v>
      </c>
      <c r="AI141" s="129">
        <f t="shared" si="73"/>
        <v>0</v>
      </c>
      <c r="AJ141" s="129">
        <f t="shared" si="74"/>
        <v>0</v>
      </c>
      <c r="AK141" s="129">
        <f t="shared" si="75"/>
        <v>0</v>
      </c>
      <c r="AL141" s="129">
        <f t="shared" si="76"/>
        <v>0</v>
      </c>
      <c r="AM141" s="129">
        <f t="shared" si="77"/>
        <v>0</v>
      </c>
      <c r="AN141" s="127">
        <f t="shared" si="78"/>
        <v>0</v>
      </c>
      <c r="AO141" s="127">
        <f t="shared" si="79"/>
        <v>0</v>
      </c>
      <c r="AP141" s="127">
        <f t="shared" si="80"/>
        <v>0</v>
      </c>
      <c r="AQ141" s="127">
        <f t="shared" si="81"/>
        <v>0</v>
      </c>
      <c r="AR141" s="127">
        <f t="shared" si="82"/>
        <v>0</v>
      </c>
      <c r="AS141" s="127">
        <f t="shared" si="83"/>
        <v>0</v>
      </c>
      <c r="AT141" s="127">
        <f t="shared" si="84"/>
        <v>0</v>
      </c>
      <c r="AU141" s="127">
        <f t="shared" si="85"/>
        <v>0</v>
      </c>
      <c r="AV141" s="127">
        <f t="shared" si="86"/>
        <v>0</v>
      </c>
    </row>
    <row r="142" spans="1:48" x14ac:dyDescent="0.15">
      <c r="A142" s="29" t="s">
        <v>135</v>
      </c>
      <c r="B142" s="30">
        <f>IF(Data!D137=1, MAX(Data!AA137, Inputs!$E$25) + INDEX(Inputs!$D$38:$D$42, MATCH( Data!AD137, Inputs!$B$38:$B$42, 0), 0), MAX(Data!AA137, Inputs!$E$26) +  INDEX(Inputs!$D$38:$D$42, MATCH( Data!AD137, Inputs!$B$38:$B$42, 0), 0))</f>
        <v>0.41278500000000001</v>
      </c>
      <c r="C142" s="141">
        <f>(100*Data!R137)</f>
        <v>600</v>
      </c>
      <c r="D142" s="141">
        <f>ROUND(Data!Q137*C142, 0)</f>
        <v>48600</v>
      </c>
      <c r="E142" s="141">
        <f>(100*Data!T137)</f>
        <v>0</v>
      </c>
      <c r="F142" s="141">
        <f>E142*Data!S137</f>
        <v>0</v>
      </c>
      <c r="G142" s="142">
        <f>ROUND(Inputs!$E$21*Data!W137*B142, 0)</f>
        <v>886436</v>
      </c>
      <c r="H142" s="143">
        <f>IF(G142=0, 0,IF(Inputs!$E$30="Yes", IF(Data!D137=1, MAX(Outputs!D142+Outputs!F142+Outputs!G142, Data!AE137), Outputs!D142+Outputs!F142+Outputs!G142), Outputs!D142+Outputs!F142+Outputs!G142))</f>
        <v>935036</v>
      </c>
      <c r="I142" s="143">
        <f>INDEX('FY 22 OFA Shell'!$AQ$27:$AQ$195,MATCH(Outputs!A142,'FY 22 OFA Shell'!$I$27:$I$195,0))</f>
        <v>935036</v>
      </c>
      <c r="J142" s="129">
        <f>H142-Data!AT137</f>
        <v>-339635</v>
      </c>
      <c r="K142" s="127">
        <f>((H142)/(Data!AT137)) - 1</f>
        <v>-0.26644914648564222</v>
      </c>
      <c r="L142" s="127">
        <f t="shared" si="87"/>
        <v>0</v>
      </c>
      <c r="M142" s="143">
        <f>(IF(Inputs!$E$30="Yes",INDEX(Data!AT:AT,MATCH(Outputs!A142,Data!A:A,0)),INDEX(Data!AS:AS,MATCH(Outputs!A142,Data!A:A,0))))</f>
        <v>1274671</v>
      </c>
      <c r="N142" s="143">
        <f>IF(Inputs!$E$30="Yes",INDEX(Data!BN:BN,MATCH(Outputs!$A142,Data!$A:$A,0)),INDEX(Data!BE:BE,MATCH(Outputs!$A142,Data!$A:$A,0)))</f>
        <v>1274671</v>
      </c>
      <c r="O142" s="143">
        <f>IF(Inputs!$E$30="Yes",INDEX(Data!BO:BO,MATCH(Outputs!$A142,Data!$A:$A,0)),INDEX(Data!BF:BF,MATCH(Outputs!$A142,Data!$A:$A,0)))</f>
        <v>1234023.5155</v>
      </c>
      <c r="P142" s="143">
        <f>IF(Inputs!$E$30="Yes",INDEX(Data!BP:BP,MATCH(Outputs!$A142,Data!$A:$A,0)),INDEX(Data!BG:BG,MATCH(Outputs!$A142,Data!$A:$A,0)))</f>
        <v>1193376.031</v>
      </c>
      <c r="Q142" s="143">
        <f>IF(Inputs!$E$30="Yes",INDEX(Data!BQ:BQ,MATCH(Outputs!$A142,Data!$A:$A,0)),INDEX(Data!BH:BH,MATCH(Outputs!$A142,Data!$A:$A,0)))</f>
        <v>1152728.5464999999</v>
      </c>
      <c r="R142" s="143">
        <f>IF(Inputs!$E$30="Yes",INDEX(Data!BR:BR,MATCH(Outputs!$A142,Data!$A:$A,0)),INDEX(Data!BI:BI,MATCH(Outputs!$A142,Data!$A:$A,0)))</f>
        <v>1112081.0619999999</v>
      </c>
      <c r="S142" s="143">
        <f>IF(Inputs!$E$30="Yes",INDEX(Data!BS:BS,MATCH(Outputs!$A142,Data!$A:$A,0)),INDEX(Data!BJ:BJ,MATCH(Outputs!$A142,Data!$A:$A,0)))</f>
        <v>1071433.5774999999</v>
      </c>
      <c r="T142" s="143">
        <f>IF(Inputs!$E$30="Yes",INDEX(Data!BT:BT,MATCH(Outputs!$A142,Data!$A:$A,0)),INDEX(Data!BK:BK,MATCH(Outputs!$A142,Data!$A:$A,0)))</f>
        <v>1030786.0929999999</v>
      </c>
      <c r="U142" s="143">
        <f>IF(Inputs!$E$30="Yes",INDEX(Data!BU:BU,MATCH(Outputs!$A142,Data!$A:$A,0)),INDEX(Data!BL:BL,MATCH(Outputs!$A142,Data!$A:$A,0)))</f>
        <v>935036</v>
      </c>
      <c r="V142" s="143">
        <f>INDEX('FY 22 OFA Shell'!$AX$27:$AX$195,MATCH(Outputs!A142,'FY 22 OFA Shell'!$I$27:$I$195,0))</f>
        <v>1274671</v>
      </c>
      <c r="W142" s="143">
        <f>INDEX('FY 23 OFA Shell'!$AX$27:$AX$195,MATCH(Outputs!A142,'FY 23 OFA Shell'!$I$27:$I$195,0))</f>
        <v>1274671</v>
      </c>
      <c r="X142" s="143">
        <f>INDEX('FY 23 OFA Shell'!BK$27:BK$195,MATCH(Outputs!$A142,'FY 23 OFA Shell'!$I$27:$I$195,0))</f>
        <v>1234023.5155</v>
      </c>
      <c r="Y142" s="143">
        <f>INDEX('FY 23 OFA Shell'!BL$27:BL$195,MATCH(Outputs!$A142,'FY 23 OFA Shell'!$I$27:$I$195,0))</f>
        <v>1193376.031</v>
      </c>
      <c r="Z142" s="143">
        <f>INDEX('FY 23 OFA Shell'!BM$27:BM$195,MATCH(Outputs!$A142,'FY 23 OFA Shell'!$I$27:$I$195,0))</f>
        <v>1152728.5464999999</v>
      </c>
      <c r="AA142" s="143">
        <f>INDEX('FY 23 OFA Shell'!BN$27:BN$195,MATCH(Outputs!$A142,'FY 23 OFA Shell'!$I$27:$I$195,0))</f>
        <v>1112081.0619999999</v>
      </c>
      <c r="AB142" s="143">
        <f>INDEX('FY 23 OFA Shell'!BO$27:BO$195,MATCH(Outputs!$A142,'FY 23 OFA Shell'!$I$27:$I$195,0))</f>
        <v>1071433.5774999999</v>
      </c>
      <c r="AC142" s="143">
        <f>INDEX('FY 23 OFA Shell'!BP$27:BP$195,MATCH(Outputs!$A142,'FY 23 OFA Shell'!$I$27:$I$195,0))</f>
        <v>1030786.0929999999</v>
      </c>
      <c r="AD142" s="143">
        <f>INDEX('FY 23 OFA Shell'!BQ$27:BQ$195,MATCH(Outputs!$A142,'FY 23 OFA Shell'!$I$27:$I$195,0))</f>
        <v>935036</v>
      </c>
      <c r="AE142" s="129">
        <f t="shared" si="69"/>
        <v>0</v>
      </c>
      <c r="AF142" s="129">
        <f t="shared" si="70"/>
        <v>0</v>
      </c>
      <c r="AG142" s="129">
        <f t="shared" si="71"/>
        <v>0</v>
      </c>
      <c r="AH142" s="129">
        <f t="shared" si="72"/>
        <v>0</v>
      </c>
      <c r="AI142" s="129">
        <f t="shared" si="73"/>
        <v>0</v>
      </c>
      <c r="AJ142" s="129">
        <f t="shared" si="74"/>
        <v>0</v>
      </c>
      <c r="AK142" s="129">
        <f t="shared" si="75"/>
        <v>0</v>
      </c>
      <c r="AL142" s="129">
        <f t="shared" si="76"/>
        <v>0</v>
      </c>
      <c r="AM142" s="129">
        <f t="shared" si="77"/>
        <v>0</v>
      </c>
      <c r="AN142" s="127">
        <f t="shared" si="78"/>
        <v>0</v>
      </c>
      <c r="AO142" s="127">
        <f t="shared" si="79"/>
        <v>0</v>
      </c>
      <c r="AP142" s="127">
        <f t="shared" si="80"/>
        <v>0</v>
      </c>
      <c r="AQ142" s="127">
        <f t="shared" si="81"/>
        <v>0</v>
      </c>
      <c r="AR142" s="127">
        <f t="shared" si="82"/>
        <v>0</v>
      </c>
      <c r="AS142" s="127">
        <f t="shared" si="83"/>
        <v>0</v>
      </c>
      <c r="AT142" s="127">
        <f t="shared" si="84"/>
        <v>0</v>
      </c>
      <c r="AU142" s="127">
        <f t="shared" si="85"/>
        <v>0</v>
      </c>
      <c r="AV142" s="127">
        <f t="shared" si="86"/>
        <v>0</v>
      </c>
    </row>
    <row r="143" spans="1:48" x14ac:dyDescent="0.15">
      <c r="A143" s="29" t="s">
        <v>136</v>
      </c>
      <c r="B143" s="30">
        <f>IF(Data!D138=1, MAX(Data!AA138, Inputs!$E$25) + INDEX(Inputs!$D$38:$D$42, MATCH( Data!AD138, Inputs!$B$38:$B$42, 0), 0), MAX(Data!AA138, Inputs!$E$26) +  INDEX(Inputs!$D$38:$D$42, MATCH( Data!AD138, Inputs!$B$38:$B$42, 0), 0))</f>
        <v>0.42349300000000001</v>
      </c>
      <c r="C143" s="141">
        <f>(100*Data!R138)</f>
        <v>0</v>
      </c>
      <c r="D143" s="141">
        <f>ROUND(Data!Q138*C143, 0)</f>
        <v>0</v>
      </c>
      <c r="E143" s="141">
        <f>(100*Data!T138)</f>
        <v>0</v>
      </c>
      <c r="F143" s="141">
        <f>E143*Data!S138</f>
        <v>0</v>
      </c>
      <c r="G143" s="142">
        <f>ROUND(Inputs!$E$21*Data!W138*B143, 0)</f>
        <v>12047026</v>
      </c>
      <c r="H143" s="143">
        <f>IF(G143=0, 0,IF(Inputs!$E$30="Yes", IF(Data!D138=1, MAX(Outputs!D143+Outputs!F143+Outputs!G143, Data!AE138), Outputs!D143+Outputs!F143+Outputs!G143), Outputs!D143+Outputs!F143+Outputs!G143))</f>
        <v>12047026</v>
      </c>
      <c r="I143" s="143">
        <f>INDEX('FY 22 OFA Shell'!$AQ$27:$AQ$195,MATCH(Outputs!A143,'FY 22 OFA Shell'!$I$27:$I$195,0))</f>
        <v>12047026</v>
      </c>
      <c r="J143" s="129">
        <f>H143-Data!AT138</f>
        <v>1410096.2425999995</v>
      </c>
      <c r="K143" s="127">
        <f>((H143)/(Data!AT138)) - 1</f>
        <v>0.13256609517600793</v>
      </c>
      <c r="L143" s="127">
        <f t="shared" si="87"/>
        <v>0</v>
      </c>
      <c r="M143" s="143">
        <f>(IF(Inputs!$E$30="Yes",INDEX(Data!AT:AT,MATCH(Outputs!A143,Data!A:A,0)),INDEX(Data!AS:AS,MATCH(Outputs!A143,Data!A:A,0))))</f>
        <v>10636929.7574</v>
      </c>
      <c r="N143" s="143">
        <f>IF(Inputs!$E$30="Yes",INDEX(Data!BN:BN,MATCH(Outputs!$A143,Data!$A:$A,0)),INDEX(Data!BE:BE,MATCH(Outputs!$A143,Data!$A:$A,0)))</f>
        <v>10850773.514800001</v>
      </c>
      <c r="O143" s="143">
        <f>IF(Inputs!$E$30="Yes",INDEX(Data!BO:BO,MATCH(Outputs!$A143,Data!$A:$A,0)),INDEX(Data!BF:BF,MATCH(Outputs!$A143,Data!$A:$A,0)))</f>
        <v>11064617.272200001</v>
      </c>
      <c r="P143" s="143">
        <f>IF(Inputs!$E$30="Yes",INDEX(Data!BP:BP,MATCH(Outputs!$A143,Data!$A:$A,0)),INDEX(Data!BG:BG,MATCH(Outputs!$A143,Data!$A:$A,0)))</f>
        <v>11278461.029600002</v>
      </c>
      <c r="Q143" s="143">
        <f>IF(Inputs!$E$30="Yes",INDEX(Data!BQ:BQ,MATCH(Outputs!$A143,Data!$A:$A,0)),INDEX(Data!BH:BH,MATCH(Outputs!$A143,Data!$A:$A,0)))</f>
        <v>11492304.787000002</v>
      </c>
      <c r="R143" s="143">
        <f>IF(Inputs!$E$30="Yes",INDEX(Data!BR:BR,MATCH(Outputs!$A143,Data!$A:$A,0)),INDEX(Data!BI:BI,MATCH(Outputs!$A143,Data!$A:$A,0)))</f>
        <v>11706148.544400003</v>
      </c>
      <c r="S143" s="143">
        <f>IF(Inputs!$E$30="Yes",INDEX(Data!BS:BS,MATCH(Outputs!$A143,Data!$A:$A,0)),INDEX(Data!BJ:BJ,MATCH(Outputs!$A143,Data!$A:$A,0)))</f>
        <v>12047026</v>
      </c>
      <c r="T143" s="143">
        <f>IF(Inputs!$E$30="Yes",INDEX(Data!BT:BT,MATCH(Outputs!$A143,Data!$A:$A,0)),INDEX(Data!BK:BK,MATCH(Outputs!$A143,Data!$A:$A,0)))</f>
        <v>12047026</v>
      </c>
      <c r="U143" s="143">
        <f>IF(Inputs!$E$30="Yes",INDEX(Data!BU:BU,MATCH(Outputs!$A143,Data!$A:$A,0)),INDEX(Data!BL:BL,MATCH(Outputs!$A143,Data!$A:$A,0)))</f>
        <v>12047026</v>
      </c>
      <c r="V143" s="143">
        <f>INDEX('FY 22 OFA Shell'!$AX$27:$AX$195,MATCH(Outputs!A143,'FY 22 OFA Shell'!$I$27:$I$195,0))</f>
        <v>10636929.7574</v>
      </c>
      <c r="W143" s="143">
        <f>INDEX('FY 23 OFA Shell'!$AX$27:$AX$195,MATCH(Outputs!A143,'FY 23 OFA Shell'!$I$27:$I$195,0))</f>
        <v>10850773.514800001</v>
      </c>
      <c r="X143" s="143">
        <f>INDEX('FY 23 OFA Shell'!BK$27:BK$195,MATCH(Outputs!$A143,'FY 23 OFA Shell'!$I$27:$I$195,0))</f>
        <v>11064617.272200001</v>
      </c>
      <c r="Y143" s="143">
        <f>INDEX('FY 23 OFA Shell'!BL$27:BL$195,MATCH(Outputs!$A143,'FY 23 OFA Shell'!$I$27:$I$195,0))</f>
        <v>11278461.029600002</v>
      </c>
      <c r="Z143" s="143">
        <f>INDEX('FY 23 OFA Shell'!BM$27:BM$195,MATCH(Outputs!$A143,'FY 23 OFA Shell'!$I$27:$I$195,0))</f>
        <v>11492304.787000002</v>
      </c>
      <c r="AA143" s="143">
        <f>INDEX('FY 23 OFA Shell'!BN$27:BN$195,MATCH(Outputs!$A143,'FY 23 OFA Shell'!$I$27:$I$195,0))</f>
        <v>11706148.544400003</v>
      </c>
      <c r="AB143" s="143">
        <f>INDEX('FY 23 OFA Shell'!BO$27:BO$195,MATCH(Outputs!$A143,'FY 23 OFA Shell'!$I$27:$I$195,0))</f>
        <v>12047026</v>
      </c>
      <c r="AC143" s="143">
        <f>INDEX('FY 23 OFA Shell'!BP$27:BP$195,MATCH(Outputs!$A143,'FY 23 OFA Shell'!$I$27:$I$195,0))</f>
        <v>12047026</v>
      </c>
      <c r="AD143" s="143">
        <f>INDEX('FY 23 OFA Shell'!BQ$27:BQ$195,MATCH(Outputs!$A143,'FY 23 OFA Shell'!$I$27:$I$195,0))</f>
        <v>12047026</v>
      </c>
      <c r="AE143" s="129">
        <f t="shared" si="69"/>
        <v>0</v>
      </c>
      <c r="AF143" s="129">
        <f t="shared" si="70"/>
        <v>0</v>
      </c>
      <c r="AG143" s="129">
        <f t="shared" si="71"/>
        <v>0</v>
      </c>
      <c r="AH143" s="129">
        <f t="shared" si="72"/>
        <v>0</v>
      </c>
      <c r="AI143" s="129">
        <f t="shared" si="73"/>
        <v>0</v>
      </c>
      <c r="AJ143" s="129">
        <f t="shared" si="74"/>
        <v>0</v>
      </c>
      <c r="AK143" s="129">
        <f t="shared" si="75"/>
        <v>0</v>
      </c>
      <c r="AL143" s="129">
        <f t="shared" si="76"/>
        <v>0</v>
      </c>
      <c r="AM143" s="129">
        <f t="shared" si="77"/>
        <v>0</v>
      </c>
      <c r="AN143" s="127">
        <f t="shared" si="78"/>
        <v>0</v>
      </c>
      <c r="AO143" s="127">
        <f t="shared" si="79"/>
        <v>0</v>
      </c>
      <c r="AP143" s="127">
        <f t="shared" si="80"/>
        <v>0</v>
      </c>
      <c r="AQ143" s="127">
        <f t="shared" si="81"/>
        <v>0</v>
      </c>
      <c r="AR143" s="127">
        <f t="shared" si="82"/>
        <v>0</v>
      </c>
      <c r="AS143" s="127">
        <f t="shared" si="83"/>
        <v>0</v>
      </c>
      <c r="AT143" s="127">
        <f t="shared" si="84"/>
        <v>0</v>
      </c>
      <c r="AU143" s="127">
        <f t="shared" si="85"/>
        <v>0</v>
      </c>
      <c r="AV143" s="127">
        <f t="shared" si="86"/>
        <v>0</v>
      </c>
    </row>
    <row r="144" spans="1:48" x14ac:dyDescent="0.15">
      <c r="A144" s="29" t="s">
        <v>137</v>
      </c>
      <c r="B144" s="30">
        <f>IF(Data!D139=1, MAX(Data!AA139, Inputs!$E$25) + INDEX(Inputs!$D$38:$D$42, MATCH( Data!AD139, Inputs!$B$38:$B$42, 0), 0), MAX(Data!AA139, Inputs!$E$26) +  INDEX(Inputs!$D$38:$D$42, MATCH( Data!AD139, Inputs!$B$38:$B$42, 0), 0))</f>
        <v>0.01</v>
      </c>
      <c r="C144" s="141">
        <f>(100*Data!R139)</f>
        <v>400</v>
      </c>
      <c r="D144" s="141">
        <f>ROUND(Data!Q139*C144, 0)</f>
        <v>17200</v>
      </c>
      <c r="E144" s="141">
        <f>(100*Data!T139)</f>
        <v>0</v>
      </c>
      <c r="F144" s="141">
        <f>E144*Data!S139</f>
        <v>0</v>
      </c>
      <c r="G144" s="142">
        <f>ROUND(Inputs!$E$21*Data!W139*B144, 0)</f>
        <v>18869</v>
      </c>
      <c r="H144" s="143">
        <f>IF(G144=0, 0,IF(Inputs!$E$30="Yes", IF(Data!D139=1, MAX(Outputs!D144+Outputs!F144+Outputs!G144, Data!AE139), Outputs!D144+Outputs!F144+Outputs!G144), Outputs!D144+Outputs!F144+Outputs!G144))</f>
        <v>36069</v>
      </c>
      <c r="I144" s="143">
        <f>INDEX('FY 22 OFA Shell'!$AQ$27:$AQ$195,MATCH(Outputs!A144,'FY 22 OFA Shell'!$I$27:$I$195,0))</f>
        <v>36069</v>
      </c>
      <c r="J144" s="129">
        <f>H144-Data!AT139</f>
        <v>19848.780599999998</v>
      </c>
      <c r="K144" s="127">
        <f>((H144)/(Data!AT139)) - 1</f>
        <v>1.223706049253563</v>
      </c>
      <c r="L144" s="127">
        <f t="shared" si="87"/>
        <v>0</v>
      </c>
      <c r="M144" s="143">
        <f>(IF(Inputs!$E$30="Yes",INDEX(Data!AT:AT,MATCH(Outputs!A144,Data!A:A,0)),INDEX(Data!AS:AS,MATCH(Outputs!A144,Data!A:A,0))))</f>
        <v>16220.2194</v>
      </c>
      <c r="N144" s="143">
        <f>IF(Inputs!$E$30="Yes",INDEX(Data!BN:BN,MATCH(Outputs!$A144,Data!$A:$A,0)),INDEX(Data!BE:BE,MATCH(Outputs!$A144,Data!$A:$A,0)))</f>
        <v>19003.4388</v>
      </c>
      <c r="O144" s="143">
        <f>IF(Inputs!$E$30="Yes",INDEX(Data!BO:BO,MATCH(Outputs!$A144,Data!$A:$A,0)),INDEX(Data!BF:BF,MATCH(Outputs!$A144,Data!$A:$A,0)))</f>
        <v>21786.658199999998</v>
      </c>
      <c r="P144" s="143">
        <f>IF(Inputs!$E$30="Yes",INDEX(Data!BP:BP,MATCH(Outputs!$A144,Data!$A:$A,0)),INDEX(Data!BG:BG,MATCH(Outputs!$A144,Data!$A:$A,0)))</f>
        <v>24569.8776</v>
      </c>
      <c r="Q144" s="143">
        <f>IF(Inputs!$E$30="Yes",INDEX(Data!BQ:BQ,MATCH(Outputs!$A144,Data!$A:$A,0)),INDEX(Data!BH:BH,MATCH(Outputs!$A144,Data!$A:$A,0)))</f>
        <v>27353.097000000002</v>
      </c>
      <c r="R144" s="143">
        <f>IF(Inputs!$E$30="Yes",INDEX(Data!BR:BR,MATCH(Outputs!$A144,Data!$A:$A,0)),INDEX(Data!BI:BI,MATCH(Outputs!$A144,Data!$A:$A,0)))</f>
        <v>30136.316400000003</v>
      </c>
      <c r="S144" s="143">
        <f>IF(Inputs!$E$30="Yes",INDEX(Data!BS:BS,MATCH(Outputs!$A144,Data!$A:$A,0)),INDEX(Data!BJ:BJ,MATCH(Outputs!$A144,Data!$A:$A,0)))</f>
        <v>36069</v>
      </c>
      <c r="T144" s="143">
        <f>IF(Inputs!$E$30="Yes",INDEX(Data!BT:BT,MATCH(Outputs!$A144,Data!$A:$A,0)),INDEX(Data!BK:BK,MATCH(Outputs!$A144,Data!$A:$A,0)))</f>
        <v>36069</v>
      </c>
      <c r="U144" s="143">
        <f>IF(Inputs!$E$30="Yes",INDEX(Data!BU:BU,MATCH(Outputs!$A144,Data!$A:$A,0)),INDEX(Data!BL:BL,MATCH(Outputs!$A144,Data!$A:$A,0)))</f>
        <v>36069</v>
      </c>
      <c r="V144" s="143">
        <f>INDEX('FY 22 OFA Shell'!$AX$27:$AX$195,MATCH(Outputs!A144,'FY 22 OFA Shell'!$I$27:$I$195,0))</f>
        <v>16220.2194</v>
      </c>
      <c r="W144" s="143">
        <f>INDEX('FY 23 OFA Shell'!$AX$27:$AX$195,MATCH(Outputs!A144,'FY 23 OFA Shell'!$I$27:$I$195,0))</f>
        <v>19003.4388</v>
      </c>
      <c r="X144" s="143">
        <f>INDEX('FY 23 OFA Shell'!BK$27:BK$195,MATCH(Outputs!$A144,'FY 23 OFA Shell'!$I$27:$I$195,0))</f>
        <v>21786.658199999998</v>
      </c>
      <c r="Y144" s="143">
        <f>INDEX('FY 23 OFA Shell'!BL$27:BL$195,MATCH(Outputs!$A144,'FY 23 OFA Shell'!$I$27:$I$195,0))</f>
        <v>24569.8776</v>
      </c>
      <c r="Z144" s="143">
        <f>INDEX('FY 23 OFA Shell'!BM$27:BM$195,MATCH(Outputs!$A144,'FY 23 OFA Shell'!$I$27:$I$195,0))</f>
        <v>27353.097000000002</v>
      </c>
      <c r="AA144" s="143">
        <f>INDEX('FY 23 OFA Shell'!BN$27:BN$195,MATCH(Outputs!$A144,'FY 23 OFA Shell'!$I$27:$I$195,0))</f>
        <v>30136.316400000003</v>
      </c>
      <c r="AB144" s="143">
        <f>INDEX('FY 23 OFA Shell'!BO$27:BO$195,MATCH(Outputs!$A144,'FY 23 OFA Shell'!$I$27:$I$195,0))</f>
        <v>36069</v>
      </c>
      <c r="AC144" s="143">
        <f>INDEX('FY 23 OFA Shell'!BP$27:BP$195,MATCH(Outputs!$A144,'FY 23 OFA Shell'!$I$27:$I$195,0))</f>
        <v>36069</v>
      </c>
      <c r="AD144" s="143">
        <f>INDEX('FY 23 OFA Shell'!BQ$27:BQ$195,MATCH(Outputs!$A144,'FY 23 OFA Shell'!$I$27:$I$195,0))</f>
        <v>36069</v>
      </c>
      <c r="AE144" s="129">
        <f t="shared" si="69"/>
        <v>0</v>
      </c>
      <c r="AF144" s="129">
        <f t="shared" si="70"/>
        <v>0</v>
      </c>
      <c r="AG144" s="129">
        <f t="shared" si="71"/>
        <v>0</v>
      </c>
      <c r="AH144" s="129">
        <f t="shared" si="72"/>
        <v>0</v>
      </c>
      <c r="AI144" s="129">
        <f t="shared" si="73"/>
        <v>0</v>
      </c>
      <c r="AJ144" s="129">
        <f t="shared" si="74"/>
        <v>0</v>
      </c>
      <c r="AK144" s="129">
        <f t="shared" si="75"/>
        <v>0</v>
      </c>
      <c r="AL144" s="129">
        <f t="shared" si="76"/>
        <v>0</v>
      </c>
      <c r="AM144" s="129">
        <f t="shared" si="77"/>
        <v>0</v>
      </c>
      <c r="AN144" s="127">
        <f t="shared" si="78"/>
        <v>0</v>
      </c>
      <c r="AO144" s="127">
        <f t="shared" si="79"/>
        <v>0</v>
      </c>
      <c r="AP144" s="127">
        <f t="shared" si="80"/>
        <v>0</v>
      </c>
      <c r="AQ144" s="127">
        <f t="shared" si="81"/>
        <v>0</v>
      </c>
      <c r="AR144" s="127">
        <f t="shared" si="82"/>
        <v>0</v>
      </c>
      <c r="AS144" s="127">
        <f t="shared" si="83"/>
        <v>0</v>
      </c>
      <c r="AT144" s="127">
        <f t="shared" si="84"/>
        <v>0</v>
      </c>
      <c r="AU144" s="127">
        <f t="shared" si="85"/>
        <v>0</v>
      </c>
      <c r="AV144" s="127">
        <f t="shared" si="86"/>
        <v>0</v>
      </c>
    </row>
    <row r="145" spans="1:48" x14ac:dyDescent="0.15">
      <c r="A145" s="29" t="s">
        <v>138</v>
      </c>
      <c r="B145" s="30">
        <f>IF(Data!D140=1, MAX(Data!AA140, Inputs!$E$25) + INDEX(Inputs!$D$38:$D$42, MATCH( Data!AD140, Inputs!$B$38:$B$42, 0), 0), MAX(Data!AA140, Inputs!$E$26) +  INDEX(Inputs!$D$38:$D$42, MATCH( Data!AD140, Inputs!$B$38:$B$42, 0), 0))</f>
        <v>0.134468</v>
      </c>
      <c r="C145" s="141">
        <f>(100*Data!R140)</f>
        <v>0</v>
      </c>
      <c r="D145" s="141">
        <f>ROUND(Data!Q140*C145, 0)</f>
        <v>0</v>
      </c>
      <c r="E145" s="141">
        <f>(100*Data!T140)</f>
        <v>0</v>
      </c>
      <c r="F145" s="141">
        <f>E145*Data!S140</f>
        <v>0</v>
      </c>
      <c r="G145" s="142">
        <f>ROUND(Inputs!$E$21*Data!W140*B145, 0)</f>
        <v>7859417</v>
      </c>
      <c r="H145" s="143">
        <f>IF(G145=0, 0,IF(Inputs!$E$30="Yes", IF(Data!D140=1, MAX(Outputs!D145+Outputs!F145+Outputs!G145, Data!AE140), Outputs!D145+Outputs!F145+Outputs!G145), Outputs!D145+Outputs!F145+Outputs!G145))</f>
        <v>7859417</v>
      </c>
      <c r="I145" s="143">
        <f>INDEX('FY 22 OFA Shell'!$AQ$27:$AQ$195,MATCH(Outputs!A145,'FY 22 OFA Shell'!$I$27:$I$195,0))</f>
        <v>7859417</v>
      </c>
      <c r="J145" s="129">
        <f>H145-Data!AT140</f>
        <v>1008047.1364000002</v>
      </c>
      <c r="K145" s="127">
        <f>((H145)/(Data!AT140)) - 1</f>
        <v>0.14713074267900184</v>
      </c>
      <c r="L145" s="127">
        <f t="shared" si="87"/>
        <v>0</v>
      </c>
      <c r="M145" s="143">
        <f>(IF(Inputs!$E$30="Yes",INDEX(Data!AT:AT,MATCH(Outputs!A145,Data!A:A,0)),INDEX(Data!AS:AS,MATCH(Outputs!A145,Data!A:A,0))))</f>
        <v>6851369.8635999998</v>
      </c>
      <c r="N145" s="143">
        <f>IF(Inputs!$E$30="Yes",INDEX(Data!BN:BN,MATCH(Outputs!$A145,Data!$A:$A,0)),INDEX(Data!BE:BE,MATCH(Outputs!$A145,Data!$A:$A,0)))</f>
        <v>7060907.7271999996</v>
      </c>
      <c r="O145" s="143">
        <f>IF(Inputs!$E$30="Yes",INDEX(Data!BO:BO,MATCH(Outputs!$A145,Data!$A:$A,0)),INDEX(Data!BF:BF,MATCH(Outputs!$A145,Data!$A:$A,0)))</f>
        <v>7270445.5907999994</v>
      </c>
      <c r="P145" s="143">
        <f>IF(Inputs!$E$30="Yes",INDEX(Data!BP:BP,MATCH(Outputs!$A145,Data!$A:$A,0)),INDEX(Data!BG:BG,MATCH(Outputs!$A145,Data!$A:$A,0)))</f>
        <v>7479983.4543999992</v>
      </c>
      <c r="Q145" s="143">
        <f>IF(Inputs!$E$30="Yes",INDEX(Data!BQ:BQ,MATCH(Outputs!$A145,Data!$A:$A,0)),INDEX(Data!BH:BH,MATCH(Outputs!$A145,Data!$A:$A,0)))</f>
        <v>7689521.317999999</v>
      </c>
      <c r="R145" s="143">
        <f>IF(Inputs!$E$30="Yes",INDEX(Data!BR:BR,MATCH(Outputs!$A145,Data!$A:$A,0)),INDEX(Data!BI:BI,MATCH(Outputs!$A145,Data!$A:$A,0)))</f>
        <v>7899059.1815999988</v>
      </c>
      <c r="S145" s="143">
        <f>IF(Inputs!$E$30="Yes",INDEX(Data!BS:BS,MATCH(Outputs!$A145,Data!$A:$A,0)),INDEX(Data!BJ:BJ,MATCH(Outputs!$A145,Data!$A:$A,0)))</f>
        <v>7859417</v>
      </c>
      <c r="T145" s="143">
        <f>IF(Inputs!$E$30="Yes",INDEX(Data!BT:BT,MATCH(Outputs!$A145,Data!$A:$A,0)),INDEX(Data!BK:BK,MATCH(Outputs!$A145,Data!$A:$A,0)))</f>
        <v>7859417</v>
      </c>
      <c r="U145" s="143">
        <f>IF(Inputs!$E$30="Yes",INDEX(Data!BU:BU,MATCH(Outputs!$A145,Data!$A:$A,0)),INDEX(Data!BL:BL,MATCH(Outputs!$A145,Data!$A:$A,0)))</f>
        <v>7859417</v>
      </c>
      <c r="V145" s="143">
        <f>INDEX('FY 22 OFA Shell'!$AX$27:$AX$195,MATCH(Outputs!A145,'FY 22 OFA Shell'!$I$27:$I$195,0))</f>
        <v>6851369.8635999998</v>
      </c>
      <c r="W145" s="143">
        <f>INDEX('FY 23 OFA Shell'!$AX$27:$AX$195,MATCH(Outputs!A145,'FY 23 OFA Shell'!$I$27:$I$195,0))</f>
        <v>7060907.7271999996</v>
      </c>
      <c r="X145" s="143">
        <f>INDEX('FY 23 OFA Shell'!BK$27:BK$195,MATCH(Outputs!$A145,'FY 23 OFA Shell'!$I$27:$I$195,0))</f>
        <v>7270445.5907999994</v>
      </c>
      <c r="Y145" s="143">
        <f>INDEX('FY 23 OFA Shell'!BL$27:BL$195,MATCH(Outputs!$A145,'FY 23 OFA Shell'!$I$27:$I$195,0))</f>
        <v>7479983.4543999992</v>
      </c>
      <c r="Z145" s="143">
        <f>INDEX('FY 23 OFA Shell'!BM$27:BM$195,MATCH(Outputs!$A145,'FY 23 OFA Shell'!$I$27:$I$195,0))</f>
        <v>7689521.317999999</v>
      </c>
      <c r="AA145" s="143">
        <f>INDEX('FY 23 OFA Shell'!BN$27:BN$195,MATCH(Outputs!$A145,'FY 23 OFA Shell'!$I$27:$I$195,0))</f>
        <v>7899059.1815999988</v>
      </c>
      <c r="AB145" s="143">
        <f>INDEX('FY 23 OFA Shell'!BO$27:BO$195,MATCH(Outputs!$A145,'FY 23 OFA Shell'!$I$27:$I$195,0))</f>
        <v>7859417</v>
      </c>
      <c r="AC145" s="143">
        <f>INDEX('FY 23 OFA Shell'!BP$27:BP$195,MATCH(Outputs!$A145,'FY 23 OFA Shell'!$I$27:$I$195,0))</f>
        <v>7859417</v>
      </c>
      <c r="AD145" s="143">
        <f>INDEX('FY 23 OFA Shell'!BQ$27:BQ$195,MATCH(Outputs!$A145,'FY 23 OFA Shell'!$I$27:$I$195,0))</f>
        <v>7859417</v>
      </c>
      <c r="AE145" s="129">
        <f t="shared" si="69"/>
        <v>0</v>
      </c>
      <c r="AF145" s="129">
        <f t="shared" si="70"/>
        <v>0</v>
      </c>
      <c r="AG145" s="129">
        <f t="shared" si="71"/>
        <v>0</v>
      </c>
      <c r="AH145" s="129">
        <f t="shared" si="72"/>
        <v>0</v>
      </c>
      <c r="AI145" s="129">
        <f t="shared" si="73"/>
        <v>0</v>
      </c>
      <c r="AJ145" s="129">
        <f t="shared" si="74"/>
        <v>0</v>
      </c>
      <c r="AK145" s="129">
        <f t="shared" si="75"/>
        <v>0</v>
      </c>
      <c r="AL145" s="129">
        <f t="shared" si="76"/>
        <v>0</v>
      </c>
      <c r="AM145" s="129">
        <f t="shared" si="77"/>
        <v>0</v>
      </c>
      <c r="AN145" s="127">
        <f t="shared" si="78"/>
        <v>0</v>
      </c>
      <c r="AO145" s="127">
        <f t="shared" si="79"/>
        <v>0</v>
      </c>
      <c r="AP145" s="127">
        <f t="shared" si="80"/>
        <v>0</v>
      </c>
      <c r="AQ145" s="127">
        <f t="shared" si="81"/>
        <v>0</v>
      </c>
      <c r="AR145" s="127">
        <f t="shared" si="82"/>
        <v>0</v>
      </c>
      <c r="AS145" s="127">
        <f t="shared" si="83"/>
        <v>0</v>
      </c>
      <c r="AT145" s="127">
        <f t="shared" si="84"/>
        <v>0</v>
      </c>
      <c r="AU145" s="127">
        <f t="shared" si="85"/>
        <v>0</v>
      </c>
      <c r="AV145" s="127">
        <f t="shared" si="86"/>
        <v>0</v>
      </c>
    </row>
    <row r="146" spans="1:48" x14ac:dyDescent="0.15">
      <c r="A146" s="29" t="s">
        <v>139</v>
      </c>
      <c r="B146" s="30">
        <f>IF(Data!D141=1, MAX(Data!AA141, Inputs!$E$25) + INDEX(Inputs!$D$38:$D$42, MATCH( Data!AD141, Inputs!$B$38:$B$42, 0), 0), MAX(Data!AA141, Inputs!$E$26) +  INDEX(Inputs!$D$38:$D$42, MATCH( Data!AD141, Inputs!$B$38:$B$42, 0), 0))</f>
        <v>0.01</v>
      </c>
      <c r="C146" s="141">
        <f>(100*Data!R141)</f>
        <v>0</v>
      </c>
      <c r="D146" s="141">
        <f>ROUND(Data!Q141*C146, 0)</f>
        <v>0</v>
      </c>
      <c r="E146" s="141">
        <f>(100*Data!T141)</f>
        <v>0</v>
      </c>
      <c r="F146" s="141">
        <f>E146*Data!S141</f>
        <v>0</v>
      </c>
      <c r="G146" s="142">
        <f>ROUND(Inputs!$E$21*Data!W141*B146, 0)</f>
        <v>43254</v>
      </c>
      <c r="H146" s="143">
        <f>IF(G146=0, 0,IF(Inputs!$E$30="Yes", IF(Data!D141=1, MAX(Outputs!D146+Outputs!F146+Outputs!G146, Data!AE141), Outputs!D146+Outputs!F146+Outputs!G146), Outputs!D146+Outputs!F146+Outputs!G146))</f>
        <v>43254</v>
      </c>
      <c r="I146" s="143">
        <f>INDEX('FY 22 OFA Shell'!$AQ$27:$AQ$195,MATCH(Outputs!A146,'FY 22 OFA Shell'!$I$27:$I$195,0))</f>
        <v>43254</v>
      </c>
      <c r="J146" s="129">
        <f>H146-Data!AT141</f>
        <v>-3741</v>
      </c>
      <c r="K146" s="127">
        <f>((H146)/(Data!AT141)) - 1</f>
        <v>-7.9604213214171771E-2</v>
      </c>
      <c r="L146" s="127">
        <f t="shared" si="87"/>
        <v>0</v>
      </c>
      <c r="M146" s="143">
        <f>(IF(Inputs!$E$30="Yes",INDEX(Data!AT:AT,MATCH(Outputs!A146,Data!A:A,0)),INDEX(Data!AS:AS,MATCH(Outputs!A146,Data!A:A,0))))</f>
        <v>46995</v>
      </c>
      <c r="N146" s="143">
        <f>IF(Inputs!$E$30="Yes",INDEX(Data!BN:BN,MATCH(Outputs!$A146,Data!$A:$A,0)),INDEX(Data!BE:BE,MATCH(Outputs!$A146,Data!$A:$A,0)))</f>
        <v>46995</v>
      </c>
      <c r="O146" s="143">
        <f>IF(Inputs!$E$30="Yes",INDEX(Data!BO:BO,MATCH(Outputs!$A146,Data!$A:$A,0)),INDEX(Data!BF:BF,MATCH(Outputs!$A146,Data!$A:$A,0)))</f>
        <v>46715.361900000004</v>
      </c>
      <c r="P146" s="143">
        <f>IF(Inputs!$E$30="Yes",INDEX(Data!BP:BP,MATCH(Outputs!$A146,Data!$A:$A,0)),INDEX(Data!BG:BG,MATCH(Outputs!$A146,Data!$A:$A,0)))</f>
        <v>46435.723800000007</v>
      </c>
      <c r="Q146" s="143">
        <f>IF(Inputs!$E$30="Yes",INDEX(Data!BQ:BQ,MATCH(Outputs!$A146,Data!$A:$A,0)),INDEX(Data!BH:BH,MATCH(Outputs!$A146,Data!$A:$A,0)))</f>
        <v>46156.085700000011</v>
      </c>
      <c r="R146" s="143">
        <f>IF(Inputs!$E$30="Yes",INDEX(Data!BR:BR,MATCH(Outputs!$A146,Data!$A:$A,0)),INDEX(Data!BI:BI,MATCH(Outputs!$A146,Data!$A:$A,0)))</f>
        <v>45876.447600000014</v>
      </c>
      <c r="S146" s="143">
        <f>IF(Inputs!$E$30="Yes",INDEX(Data!BS:BS,MATCH(Outputs!$A146,Data!$A:$A,0)),INDEX(Data!BJ:BJ,MATCH(Outputs!$A146,Data!$A:$A,0)))</f>
        <v>45596.809500000018</v>
      </c>
      <c r="T146" s="143">
        <f>IF(Inputs!$E$30="Yes",INDEX(Data!BT:BT,MATCH(Outputs!$A146,Data!$A:$A,0)),INDEX(Data!BK:BK,MATCH(Outputs!$A146,Data!$A:$A,0)))</f>
        <v>45317.171400000021</v>
      </c>
      <c r="U146" s="143">
        <f>IF(Inputs!$E$30="Yes",INDEX(Data!BU:BU,MATCH(Outputs!$A146,Data!$A:$A,0)),INDEX(Data!BL:BL,MATCH(Outputs!$A146,Data!$A:$A,0)))</f>
        <v>43254</v>
      </c>
      <c r="V146" s="143">
        <f>INDEX('FY 22 OFA Shell'!$AX$27:$AX$195,MATCH(Outputs!A146,'FY 22 OFA Shell'!$I$27:$I$195,0))</f>
        <v>46995</v>
      </c>
      <c r="W146" s="143">
        <f>INDEX('FY 23 OFA Shell'!$AX$27:$AX$195,MATCH(Outputs!A146,'FY 23 OFA Shell'!$I$27:$I$195,0))</f>
        <v>46995</v>
      </c>
      <c r="X146" s="143">
        <f>INDEX('FY 23 OFA Shell'!BK$27:BK$195,MATCH(Outputs!$A146,'FY 23 OFA Shell'!$I$27:$I$195,0))</f>
        <v>46715.361900000004</v>
      </c>
      <c r="Y146" s="143">
        <f>INDEX('FY 23 OFA Shell'!BL$27:BL$195,MATCH(Outputs!$A146,'FY 23 OFA Shell'!$I$27:$I$195,0))</f>
        <v>46435.723800000007</v>
      </c>
      <c r="Z146" s="143">
        <f>INDEX('FY 23 OFA Shell'!BM$27:BM$195,MATCH(Outputs!$A146,'FY 23 OFA Shell'!$I$27:$I$195,0))</f>
        <v>46156.085700000011</v>
      </c>
      <c r="AA146" s="143">
        <f>INDEX('FY 23 OFA Shell'!BN$27:BN$195,MATCH(Outputs!$A146,'FY 23 OFA Shell'!$I$27:$I$195,0))</f>
        <v>45876.447600000014</v>
      </c>
      <c r="AB146" s="143">
        <f>INDEX('FY 23 OFA Shell'!BO$27:BO$195,MATCH(Outputs!$A146,'FY 23 OFA Shell'!$I$27:$I$195,0))</f>
        <v>45596.809500000018</v>
      </c>
      <c r="AC146" s="143">
        <f>INDEX('FY 23 OFA Shell'!BP$27:BP$195,MATCH(Outputs!$A146,'FY 23 OFA Shell'!$I$27:$I$195,0))</f>
        <v>45317.171400000021</v>
      </c>
      <c r="AD146" s="143">
        <f>INDEX('FY 23 OFA Shell'!BQ$27:BQ$195,MATCH(Outputs!$A146,'FY 23 OFA Shell'!$I$27:$I$195,0))</f>
        <v>43254</v>
      </c>
      <c r="AE146" s="129">
        <f t="shared" si="69"/>
        <v>0</v>
      </c>
      <c r="AF146" s="129">
        <f t="shared" si="70"/>
        <v>0</v>
      </c>
      <c r="AG146" s="129">
        <f t="shared" si="71"/>
        <v>0</v>
      </c>
      <c r="AH146" s="129">
        <f t="shared" si="72"/>
        <v>0</v>
      </c>
      <c r="AI146" s="129">
        <f t="shared" si="73"/>
        <v>0</v>
      </c>
      <c r="AJ146" s="129">
        <f t="shared" si="74"/>
        <v>0</v>
      </c>
      <c r="AK146" s="129">
        <f t="shared" si="75"/>
        <v>0</v>
      </c>
      <c r="AL146" s="129">
        <f t="shared" si="76"/>
        <v>0</v>
      </c>
      <c r="AM146" s="129">
        <f t="shared" si="77"/>
        <v>0</v>
      </c>
      <c r="AN146" s="127">
        <f t="shared" si="78"/>
        <v>0</v>
      </c>
      <c r="AO146" s="127">
        <f t="shared" si="79"/>
        <v>0</v>
      </c>
      <c r="AP146" s="127">
        <f t="shared" si="80"/>
        <v>0</v>
      </c>
      <c r="AQ146" s="127">
        <f t="shared" si="81"/>
        <v>0</v>
      </c>
      <c r="AR146" s="127">
        <f t="shared" si="82"/>
        <v>0</v>
      </c>
      <c r="AS146" s="127">
        <f t="shared" si="83"/>
        <v>0</v>
      </c>
      <c r="AT146" s="127">
        <f t="shared" si="84"/>
        <v>0</v>
      </c>
      <c r="AU146" s="127">
        <f t="shared" si="85"/>
        <v>0</v>
      </c>
      <c r="AV146" s="127">
        <f t="shared" si="86"/>
        <v>0</v>
      </c>
    </row>
    <row r="147" spans="1:48" x14ac:dyDescent="0.15">
      <c r="A147" s="29" t="s">
        <v>140</v>
      </c>
      <c r="B147" s="30">
        <f>IF(Data!D142=1, MAX(Data!AA142, Inputs!$E$25) + INDEX(Inputs!$D$38:$D$42, MATCH( Data!AD142, Inputs!$B$38:$B$42, 0), 0), MAX(Data!AA142, Inputs!$E$26) +  INDEX(Inputs!$D$38:$D$42, MATCH( Data!AD142, Inputs!$B$38:$B$42, 0), 0))</f>
        <v>0.167292</v>
      </c>
      <c r="C147" s="141">
        <f>(100*Data!R142)</f>
        <v>0</v>
      </c>
      <c r="D147" s="141">
        <f>ROUND(Data!Q142*C147, 0)</f>
        <v>0</v>
      </c>
      <c r="E147" s="141">
        <f>(100*Data!T142)</f>
        <v>0</v>
      </c>
      <c r="F147" s="141">
        <f>E147*Data!S142</f>
        <v>0</v>
      </c>
      <c r="G147" s="142">
        <f>ROUND(Inputs!$E$21*Data!W142*B147, 0)</f>
        <v>8087686</v>
      </c>
      <c r="H147" s="143">
        <f>IF(G147=0, 0,IF(Inputs!$E$30="Yes", IF(Data!D142=1, MAX(Outputs!D147+Outputs!F147+Outputs!G147, Data!AE142), Outputs!D147+Outputs!F147+Outputs!G147), Outputs!D147+Outputs!F147+Outputs!G147))</f>
        <v>8087686</v>
      </c>
      <c r="I147" s="143">
        <f>INDEX('FY 22 OFA Shell'!$AQ$27:$AQ$195,MATCH(Outputs!A147,'FY 22 OFA Shell'!$I$27:$I$195,0))</f>
        <v>8087686</v>
      </c>
      <c r="J147" s="129">
        <f>H147-Data!AT142</f>
        <v>1557488.0458000004</v>
      </c>
      <c r="K147" s="127">
        <f>((H147)/(Data!AT142)) - 1</f>
        <v>0.23850548738699073</v>
      </c>
      <c r="L147" s="127">
        <f t="shared" si="87"/>
        <v>0</v>
      </c>
      <c r="M147" s="143">
        <f>(IF(Inputs!$E$30="Yes",INDEX(Data!AT:AT,MATCH(Outputs!A147,Data!A:A,0)),INDEX(Data!AS:AS,MATCH(Outputs!A147,Data!A:A,0))))</f>
        <v>6530197.9541999996</v>
      </c>
      <c r="N147" s="143">
        <f>IF(Inputs!$E$30="Yes",INDEX(Data!BN:BN,MATCH(Outputs!$A147,Data!$A:$A,0)),INDEX(Data!BE:BE,MATCH(Outputs!$A147,Data!$A:$A,0)))</f>
        <v>6743385.9083999991</v>
      </c>
      <c r="O147" s="143">
        <f>IF(Inputs!$E$30="Yes",INDEX(Data!BO:BO,MATCH(Outputs!$A147,Data!$A:$A,0)),INDEX(Data!BF:BF,MATCH(Outputs!$A147,Data!$A:$A,0)))</f>
        <v>6956573.8625999987</v>
      </c>
      <c r="P147" s="143">
        <f>IF(Inputs!$E$30="Yes",INDEX(Data!BP:BP,MATCH(Outputs!$A147,Data!$A:$A,0)),INDEX(Data!BG:BG,MATCH(Outputs!$A147,Data!$A:$A,0)))</f>
        <v>7169761.8167999983</v>
      </c>
      <c r="Q147" s="143">
        <f>IF(Inputs!$E$30="Yes",INDEX(Data!BQ:BQ,MATCH(Outputs!$A147,Data!$A:$A,0)),INDEX(Data!BH:BH,MATCH(Outputs!$A147,Data!$A:$A,0)))</f>
        <v>7382949.7709999979</v>
      </c>
      <c r="R147" s="143">
        <f>IF(Inputs!$E$30="Yes",INDEX(Data!BR:BR,MATCH(Outputs!$A147,Data!$A:$A,0)),INDEX(Data!BI:BI,MATCH(Outputs!$A147,Data!$A:$A,0)))</f>
        <v>7596137.7251999974</v>
      </c>
      <c r="S147" s="143">
        <f>IF(Inputs!$E$30="Yes",INDEX(Data!BS:BS,MATCH(Outputs!$A147,Data!$A:$A,0)),INDEX(Data!BJ:BJ,MATCH(Outputs!$A147,Data!$A:$A,0)))</f>
        <v>8087686</v>
      </c>
      <c r="T147" s="143">
        <f>IF(Inputs!$E$30="Yes",INDEX(Data!BT:BT,MATCH(Outputs!$A147,Data!$A:$A,0)),INDEX(Data!BK:BK,MATCH(Outputs!$A147,Data!$A:$A,0)))</f>
        <v>8087686</v>
      </c>
      <c r="U147" s="143">
        <f>IF(Inputs!$E$30="Yes",INDEX(Data!BU:BU,MATCH(Outputs!$A147,Data!$A:$A,0)),INDEX(Data!BL:BL,MATCH(Outputs!$A147,Data!$A:$A,0)))</f>
        <v>8087686</v>
      </c>
      <c r="V147" s="143">
        <f>INDEX('FY 22 OFA Shell'!$AX$27:$AX$195,MATCH(Outputs!A147,'FY 22 OFA Shell'!$I$27:$I$195,0))</f>
        <v>6530197.9541999996</v>
      </c>
      <c r="W147" s="143">
        <f>INDEX('FY 23 OFA Shell'!$AX$27:$AX$195,MATCH(Outputs!A147,'FY 23 OFA Shell'!$I$27:$I$195,0))</f>
        <v>6743385.9083999991</v>
      </c>
      <c r="X147" s="143">
        <f>INDEX('FY 23 OFA Shell'!BK$27:BK$195,MATCH(Outputs!$A147,'FY 23 OFA Shell'!$I$27:$I$195,0))</f>
        <v>6956573.8625999987</v>
      </c>
      <c r="Y147" s="143">
        <f>INDEX('FY 23 OFA Shell'!BL$27:BL$195,MATCH(Outputs!$A147,'FY 23 OFA Shell'!$I$27:$I$195,0))</f>
        <v>7169761.8167999983</v>
      </c>
      <c r="Z147" s="143">
        <f>INDEX('FY 23 OFA Shell'!BM$27:BM$195,MATCH(Outputs!$A147,'FY 23 OFA Shell'!$I$27:$I$195,0))</f>
        <v>7382949.7709999979</v>
      </c>
      <c r="AA147" s="143">
        <f>INDEX('FY 23 OFA Shell'!BN$27:BN$195,MATCH(Outputs!$A147,'FY 23 OFA Shell'!$I$27:$I$195,0))</f>
        <v>7596137.7251999974</v>
      </c>
      <c r="AB147" s="143">
        <f>INDEX('FY 23 OFA Shell'!BO$27:BO$195,MATCH(Outputs!$A147,'FY 23 OFA Shell'!$I$27:$I$195,0))</f>
        <v>8087686</v>
      </c>
      <c r="AC147" s="143">
        <f>INDEX('FY 23 OFA Shell'!BP$27:BP$195,MATCH(Outputs!$A147,'FY 23 OFA Shell'!$I$27:$I$195,0))</f>
        <v>8087686</v>
      </c>
      <c r="AD147" s="143">
        <f>INDEX('FY 23 OFA Shell'!BQ$27:BQ$195,MATCH(Outputs!$A147,'FY 23 OFA Shell'!$I$27:$I$195,0))</f>
        <v>8087686</v>
      </c>
      <c r="AE147" s="129">
        <f t="shared" si="69"/>
        <v>0</v>
      </c>
      <c r="AF147" s="129">
        <f t="shared" si="70"/>
        <v>0</v>
      </c>
      <c r="AG147" s="129">
        <f t="shared" si="71"/>
        <v>0</v>
      </c>
      <c r="AH147" s="129">
        <f t="shared" si="72"/>
        <v>0</v>
      </c>
      <c r="AI147" s="129">
        <f t="shared" si="73"/>
        <v>0</v>
      </c>
      <c r="AJ147" s="129">
        <f t="shared" si="74"/>
        <v>0</v>
      </c>
      <c r="AK147" s="129">
        <f t="shared" si="75"/>
        <v>0</v>
      </c>
      <c r="AL147" s="129">
        <f t="shared" si="76"/>
        <v>0</v>
      </c>
      <c r="AM147" s="129">
        <f t="shared" si="77"/>
        <v>0</v>
      </c>
      <c r="AN147" s="127">
        <f t="shared" si="78"/>
        <v>0</v>
      </c>
      <c r="AO147" s="127">
        <f t="shared" si="79"/>
        <v>0</v>
      </c>
      <c r="AP147" s="127">
        <f t="shared" si="80"/>
        <v>0</v>
      </c>
      <c r="AQ147" s="127">
        <f t="shared" si="81"/>
        <v>0</v>
      </c>
      <c r="AR147" s="127">
        <f t="shared" si="82"/>
        <v>0</v>
      </c>
      <c r="AS147" s="127">
        <f t="shared" si="83"/>
        <v>0</v>
      </c>
      <c r="AT147" s="127">
        <f t="shared" si="84"/>
        <v>0</v>
      </c>
      <c r="AU147" s="127">
        <f t="shared" si="85"/>
        <v>0</v>
      </c>
      <c r="AV147" s="127">
        <f t="shared" si="86"/>
        <v>0</v>
      </c>
    </row>
    <row r="148" spans="1:48" x14ac:dyDescent="0.15">
      <c r="A148" s="29" t="s">
        <v>141</v>
      </c>
      <c r="B148" s="30">
        <f>IF(Data!D143=1, MAX(Data!AA143, Inputs!$E$25) + INDEX(Inputs!$D$38:$D$42, MATCH( Data!AD143, Inputs!$B$38:$B$42, 0), 0), MAX(Data!AA143, Inputs!$E$26) +  INDEX(Inputs!$D$38:$D$42, MATCH( Data!AD143, Inputs!$B$38:$B$42, 0), 0))</f>
        <v>0.31257200000000002</v>
      </c>
      <c r="C148" s="141">
        <f>(100*Data!R143)</f>
        <v>0</v>
      </c>
      <c r="D148" s="141">
        <f>ROUND(Data!Q143*C148, 0)</f>
        <v>0</v>
      </c>
      <c r="E148" s="141">
        <f>(100*Data!T143)</f>
        <v>0</v>
      </c>
      <c r="F148" s="141">
        <f>E148*Data!S143</f>
        <v>0</v>
      </c>
      <c r="G148" s="142">
        <f>ROUND(Inputs!$E$21*Data!W143*B148, 0)</f>
        <v>4786427</v>
      </c>
      <c r="H148" s="143">
        <f>IF(G148=0, 0,IF(Inputs!$E$30="Yes", IF(Data!D143=1, MAX(Outputs!D148+Outputs!F148+Outputs!G148, Data!AE143), Outputs!D148+Outputs!F148+Outputs!G148), Outputs!D148+Outputs!F148+Outputs!G148))</f>
        <v>4786427</v>
      </c>
      <c r="I148" s="143">
        <f>INDEX('FY 22 OFA Shell'!$AQ$27:$AQ$195,MATCH(Outputs!A148,'FY 22 OFA Shell'!$I$27:$I$195,0))</f>
        <v>4786427</v>
      </c>
      <c r="J148" s="129">
        <f>H148-Data!AT143</f>
        <v>-906203</v>
      </c>
      <c r="K148" s="127">
        <f>((H148)/(Data!AT143)) - 1</f>
        <v>-0.15918881079571301</v>
      </c>
      <c r="L148" s="127">
        <f t="shared" ref="L148:L179" si="88">IFERROR(H148/I148-1, 0)</f>
        <v>0</v>
      </c>
      <c r="M148" s="143">
        <f>(IF(Inputs!$E$30="Yes",INDEX(Data!AT:AT,MATCH(Outputs!A148,Data!A:A,0)),INDEX(Data!AS:AS,MATCH(Outputs!A148,Data!A:A,0))))</f>
        <v>5692630</v>
      </c>
      <c r="N148" s="143">
        <f>IF(Inputs!$E$30="Yes",INDEX(Data!BN:BN,MATCH(Outputs!$A148,Data!$A:$A,0)),INDEX(Data!BE:BE,MATCH(Outputs!$A148,Data!$A:$A,0)))</f>
        <v>5692630</v>
      </c>
      <c r="O148" s="143">
        <f>IF(Inputs!$E$30="Yes",INDEX(Data!BO:BO,MATCH(Outputs!$A148,Data!$A:$A,0)),INDEX(Data!BF:BF,MATCH(Outputs!$A148,Data!$A:$A,0)))</f>
        <v>5597415.9342</v>
      </c>
      <c r="P148" s="143">
        <f>IF(Inputs!$E$30="Yes",INDEX(Data!BP:BP,MATCH(Outputs!$A148,Data!$A:$A,0)),INDEX(Data!BG:BG,MATCH(Outputs!$A148,Data!$A:$A,0)))</f>
        <v>5502201.8684</v>
      </c>
      <c r="Q148" s="143">
        <f>IF(Inputs!$E$30="Yes",INDEX(Data!BQ:BQ,MATCH(Outputs!$A148,Data!$A:$A,0)),INDEX(Data!BH:BH,MATCH(Outputs!$A148,Data!$A:$A,0)))</f>
        <v>5406987.8026000001</v>
      </c>
      <c r="R148" s="143">
        <f>IF(Inputs!$E$30="Yes",INDEX(Data!BR:BR,MATCH(Outputs!$A148,Data!$A:$A,0)),INDEX(Data!BI:BI,MATCH(Outputs!$A148,Data!$A:$A,0)))</f>
        <v>5311773.7368000001</v>
      </c>
      <c r="S148" s="143">
        <f>IF(Inputs!$E$30="Yes",INDEX(Data!BS:BS,MATCH(Outputs!$A148,Data!$A:$A,0)),INDEX(Data!BJ:BJ,MATCH(Outputs!$A148,Data!$A:$A,0)))</f>
        <v>5216559.6710000001</v>
      </c>
      <c r="T148" s="143">
        <f>IF(Inputs!$E$30="Yes",INDEX(Data!BT:BT,MATCH(Outputs!$A148,Data!$A:$A,0)),INDEX(Data!BK:BK,MATCH(Outputs!$A148,Data!$A:$A,0)))</f>
        <v>5121345.6052000001</v>
      </c>
      <c r="U148" s="143">
        <f>IF(Inputs!$E$30="Yes",INDEX(Data!BU:BU,MATCH(Outputs!$A148,Data!$A:$A,0)),INDEX(Data!BL:BL,MATCH(Outputs!$A148,Data!$A:$A,0)))</f>
        <v>4786427</v>
      </c>
      <c r="V148" s="143">
        <f>INDEX('FY 22 OFA Shell'!$AX$27:$AX$195,MATCH(Outputs!A148,'FY 22 OFA Shell'!$I$27:$I$195,0))</f>
        <v>5692630</v>
      </c>
      <c r="W148" s="143">
        <f>INDEX('FY 23 OFA Shell'!$AX$27:$AX$195,MATCH(Outputs!A148,'FY 23 OFA Shell'!$I$27:$I$195,0))</f>
        <v>5692630</v>
      </c>
      <c r="X148" s="143">
        <f>INDEX('FY 23 OFA Shell'!BK$27:BK$195,MATCH(Outputs!$A148,'FY 23 OFA Shell'!$I$27:$I$195,0))</f>
        <v>5597415.9342</v>
      </c>
      <c r="Y148" s="143">
        <f>INDEX('FY 23 OFA Shell'!BL$27:BL$195,MATCH(Outputs!$A148,'FY 23 OFA Shell'!$I$27:$I$195,0))</f>
        <v>5502201.8684</v>
      </c>
      <c r="Z148" s="143">
        <f>INDEX('FY 23 OFA Shell'!BM$27:BM$195,MATCH(Outputs!$A148,'FY 23 OFA Shell'!$I$27:$I$195,0))</f>
        <v>5406987.8026000001</v>
      </c>
      <c r="AA148" s="143">
        <f>INDEX('FY 23 OFA Shell'!BN$27:BN$195,MATCH(Outputs!$A148,'FY 23 OFA Shell'!$I$27:$I$195,0))</f>
        <v>5311773.7368000001</v>
      </c>
      <c r="AB148" s="143">
        <f>INDEX('FY 23 OFA Shell'!BO$27:BO$195,MATCH(Outputs!$A148,'FY 23 OFA Shell'!$I$27:$I$195,0))</f>
        <v>5216559.6710000001</v>
      </c>
      <c r="AC148" s="143">
        <f>INDEX('FY 23 OFA Shell'!BP$27:BP$195,MATCH(Outputs!$A148,'FY 23 OFA Shell'!$I$27:$I$195,0))</f>
        <v>5121345.6052000001</v>
      </c>
      <c r="AD148" s="143">
        <f>INDEX('FY 23 OFA Shell'!BQ$27:BQ$195,MATCH(Outputs!$A148,'FY 23 OFA Shell'!$I$27:$I$195,0))</f>
        <v>4786427</v>
      </c>
      <c r="AE148" s="129">
        <f t="shared" si="69"/>
        <v>0</v>
      </c>
      <c r="AF148" s="129">
        <f t="shared" si="70"/>
        <v>0</v>
      </c>
      <c r="AG148" s="129">
        <f t="shared" si="71"/>
        <v>0</v>
      </c>
      <c r="AH148" s="129">
        <f t="shared" si="72"/>
        <v>0</v>
      </c>
      <c r="AI148" s="129">
        <f t="shared" si="73"/>
        <v>0</v>
      </c>
      <c r="AJ148" s="129">
        <f t="shared" si="74"/>
        <v>0</v>
      </c>
      <c r="AK148" s="129">
        <f t="shared" si="75"/>
        <v>0</v>
      </c>
      <c r="AL148" s="129">
        <f t="shared" si="76"/>
        <v>0</v>
      </c>
      <c r="AM148" s="129">
        <f t="shared" si="77"/>
        <v>0</v>
      </c>
      <c r="AN148" s="127">
        <f t="shared" si="78"/>
        <v>0</v>
      </c>
      <c r="AO148" s="127">
        <f t="shared" si="79"/>
        <v>0</v>
      </c>
      <c r="AP148" s="127">
        <f t="shared" si="80"/>
        <v>0</v>
      </c>
      <c r="AQ148" s="127">
        <f t="shared" si="81"/>
        <v>0</v>
      </c>
      <c r="AR148" s="127">
        <f t="shared" si="82"/>
        <v>0</v>
      </c>
      <c r="AS148" s="127">
        <f t="shared" si="83"/>
        <v>0</v>
      </c>
      <c r="AT148" s="127">
        <f t="shared" si="84"/>
        <v>0</v>
      </c>
      <c r="AU148" s="127">
        <f t="shared" si="85"/>
        <v>0</v>
      </c>
      <c r="AV148" s="127">
        <f t="shared" si="86"/>
        <v>0</v>
      </c>
    </row>
    <row r="149" spans="1:48" x14ac:dyDescent="0.15">
      <c r="A149" s="29" t="s">
        <v>142</v>
      </c>
      <c r="B149" s="30">
        <f>IF(Data!D144=1, MAX(Data!AA144, Inputs!$E$25) + INDEX(Inputs!$D$38:$D$42, MATCH( Data!AD144, Inputs!$B$38:$B$42, 0), 0), MAX(Data!AA144, Inputs!$E$26) +  INDEX(Inputs!$D$38:$D$42, MATCH( Data!AD144, Inputs!$B$38:$B$42, 0), 0))</f>
        <v>0.18273400000000001</v>
      </c>
      <c r="C149" s="141">
        <f>(100*Data!R144)</f>
        <v>1300</v>
      </c>
      <c r="D149" s="141">
        <f>ROUND(Data!Q144*C149, 0)</f>
        <v>3066700</v>
      </c>
      <c r="E149" s="141">
        <f>(100*Data!T144)</f>
        <v>0</v>
      </c>
      <c r="F149" s="141">
        <f>E149*Data!S144</f>
        <v>0</v>
      </c>
      <c r="G149" s="142">
        <f>ROUND(Inputs!$E$21*Data!W144*B149, 0)</f>
        <v>5131587</v>
      </c>
      <c r="H149" s="143">
        <f>IF(G149=0, 0,IF(Inputs!$E$30="Yes", IF(Data!D144=1, MAX(Outputs!D149+Outputs!F149+Outputs!G149, Data!AE144), Outputs!D149+Outputs!F149+Outputs!G149), Outputs!D149+Outputs!F149+Outputs!G149))</f>
        <v>8198287</v>
      </c>
      <c r="I149" s="143">
        <f>INDEX('FY 22 OFA Shell'!$AQ$27:$AQ$195,MATCH(Outputs!A149,'FY 22 OFA Shell'!$I$27:$I$195,0))</f>
        <v>8198287</v>
      </c>
      <c r="J149" s="129">
        <f>H149-Data!AT144</f>
        <v>3907359.7614000002</v>
      </c>
      <c r="K149" s="127">
        <f>((H149)/(Data!AT144)) - 1</f>
        <v>0.91060965244305891</v>
      </c>
      <c r="L149" s="127">
        <f t="shared" si="88"/>
        <v>0</v>
      </c>
      <c r="M149" s="143">
        <f>(IF(Inputs!$E$30="Yes",INDEX(Data!AT:AT,MATCH(Outputs!A149,Data!A:A,0)),INDEX(Data!AS:AS,MATCH(Outputs!A149,Data!A:A,0))))</f>
        <v>4290927.2385999998</v>
      </c>
      <c r="N149" s="143">
        <f>IF(Inputs!$E$30="Yes",INDEX(Data!BN:BN,MATCH(Outputs!$A149,Data!$A:$A,0)),INDEX(Data!BE:BE,MATCH(Outputs!$A149,Data!$A:$A,0)))</f>
        <v>4796213.4771999996</v>
      </c>
      <c r="O149" s="143">
        <f>IF(Inputs!$E$30="Yes",INDEX(Data!BO:BO,MATCH(Outputs!$A149,Data!$A:$A,0)),INDEX(Data!BF:BF,MATCH(Outputs!$A149,Data!$A:$A,0)))</f>
        <v>5301499.7157999994</v>
      </c>
      <c r="P149" s="143">
        <f>IF(Inputs!$E$30="Yes",INDEX(Data!BP:BP,MATCH(Outputs!$A149,Data!$A:$A,0)),INDEX(Data!BG:BG,MATCH(Outputs!$A149,Data!$A:$A,0)))</f>
        <v>5806785.9543999992</v>
      </c>
      <c r="Q149" s="143">
        <f>IF(Inputs!$E$30="Yes",INDEX(Data!BQ:BQ,MATCH(Outputs!$A149,Data!$A:$A,0)),INDEX(Data!BH:BH,MATCH(Outputs!$A149,Data!$A:$A,0)))</f>
        <v>6312072.192999999</v>
      </c>
      <c r="R149" s="143">
        <f>IF(Inputs!$E$30="Yes",INDEX(Data!BR:BR,MATCH(Outputs!$A149,Data!$A:$A,0)),INDEX(Data!BI:BI,MATCH(Outputs!$A149,Data!$A:$A,0)))</f>
        <v>6817358.4315999988</v>
      </c>
      <c r="S149" s="143">
        <f>IF(Inputs!$E$30="Yes",INDEX(Data!BS:BS,MATCH(Outputs!$A149,Data!$A:$A,0)),INDEX(Data!BJ:BJ,MATCH(Outputs!$A149,Data!$A:$A,0)))</f>
        <v>8198287</v>
      </c>
      <c r="T149" s="143">
        <f>IF(Inputs!$E$30="Yes",INDEX(Data!BT:BT,MATCH(Outputs!$A149,Data!$A:$A,0)),INDEX(Data!BK:BK,MATCH(Outputs!$A149,Data!$A:$A,0)))</f>
        <v>8198287</v>
      </c>
      <c r="U149" s="143">
        <f>IF(Inputs!$E$30="Yes",INDEX(Data!BU:BU,MATCH(Outputs!$A149,Data!$A:$A,0)),INDEX(Data!BL:BL,MATCH(Outputs!$A149,Data!$A:$A,0)))</f>
        <v>8198287</v>
      </c>
      <c r="V149" s="143">
        <f>INDEX('FY 22 OFA Shell'!$AX$27:$AX$195,MATCH(Outputs!A149,'FY 22 OFA Shell'!$I$27:$I$195,0))</f>
        <v>4290927.2385999998</v>
      </c>
      <c r="W149" s="143">
        <f>INDEX('FY 23 OFA Shell'!$AX$27:$AX$195,MATCH(Outputs!A149,'FY 23 OFA Shell'!$I$27:$I$195,0))</f>
        <v>4796213.4771999996</v>
      </c>
      <c r="X149" s="143">
        <f>INDEX('FY 23 OFA Shell'!BK$27:BK$195,MATCH(Outputs!$A149,'FY 23 OFA Shell'!$I$27:$I$195,0))</f>
        <v>5301499.7157999994</v>
      </c>
      <c r="Y149" s="143">
        <f>INDEX('FY 23 OFA Shell'!BL$27:BL$195,MATCH(Outputs!$A149,'FY 23 OFA Shell'!$I$27:$I$195,0))</f>
        <v>5806785.9543999992</v>
      </c>
      <c r="Z149" s="143">
        <f>INDEX('FY 23 OFA Shell'!BM$27:BM$195,MATCH(Outputs!$A149,'FY 23 OFA Shell'!$I$27:$I$195,0))</f>
        <v>6312072.192999999</v>
      </c>
      <c r="AA149" s="143">
        <f>INDEX('FY 23 OFA Shell'!BN$27:BN$195,MATCH(Outputs!$A149,'FY 23 OFA Shell'!$I$27:$I$195,0))</f>
        <v>6817358.4315999988</v>
      </c>
      <c r="AB149" s="143">
        <f>INDEX('FY 23 OFA Shell'!BO$27:BO$195,MATCH(Outputs!$A149,'FY 23 OFA Shell'!$I$27:$I$195,0))</f>
        <v>8198287</v>
      </c>
      <c r="AC149" s="143">
        <f>INDEX('FY 23 OFA Shell'!BP$27:BP$195,MATCH(Outputs!$A149,'FY 23 OFA Shell'!$I$27:$I$195,0))</f>
        <v>8198287</v>
      </c>
      <c r="AD149" s="143">
        <f>INDEX('FY 23 OFA Shell'!BQ$27:BQ$195,MATCH(Outputs!$A149,'FY 23 OFA Shell'!$I$27:$I$195,0))</f>
        <v>8198287</v>
      </c>
      <c r="AE149" s="129">
        <f t="shared" ref="AE149:AE188" si="89">M149-V149</f>
        <v>0</v>
      </c>
      <c r="AF149" s="129">
        <f t="shared" ref="AF149:AF188" si="90">N149-W149</f>
        <v>0</v>
      </c>
      <c r="AG149" s="129">
        <f t="shared" ref="AG149:AG188" si="91">O149-X149</f>
        <v>0</v>
      </c>
      <c r="AH149" s="129">
        <f t="shared" ref="AH149:AH188" si="92">P149-Y149</f>
        <v>0</v>
      </c>
      <c r="AI149" s="129">
        <f t="shared" ref="AI149:AI188" si="93">Q149-Z149</f>
        <v>0</v>
      </c>
      <c r="AJ149" s="129">
        <f t="shared" ref="AJ149:AJ188" si="94">R149-AA149</f>
        <v>0</v>
      </c>
      <c r="AK149" s="129">
        <f t="shared" ref="AK149:AK188" si="95">S149-AB149</f>
        <v>0</v>
      </c>
      <c r="AL149" s="129">
        <f t="shared" ref="AL149:AL188" si="96">T149-AC149</f>
        <v>0</v>
      </c>
      <c r="AM149" s="129">
        <f t="shared" ref="AM149:AM188" si="97">U149-AD149</f>
        <v>0</v>
      </c>
      <c r="AN149" s="127">
        <f t="shared" ref="AN149:AN188" si="98">IFERROR(M149/V149-1, 0)</f>
        <v>0</v>
      </c>
      <c r="AO149" s="127">
        <f t="shared" ref="AO149:AO188" si="99">IFERROR(N149/W149-1, 0)</f>
        <v>0</v>
      </c>
      <c r="AP149" s="127">
        <f t="shared" ref="AP149:AP188" si="100">IFERROR(O149/X149-1, 0)</f>
        <v>0</v>
      </c>
      <c r="AQ149" s="127">
        <f t="shared" ref="AQ149:AQ188" si="101">IFERROR(P149/Y149-1, 0)</f>
        <v>0</v>
      </c>
      <c r="AR149" s="127">
        <f t="shared" ref="AR149:AR188" si="102">IFERROR(Q149/Z149-1, 0)</f>
        <v>0</v>
      </c>
      <c r="AS149" s="127">
        <f t="shared" ref="AS149:AS188" si="103">IFERROR(R149/AA149-1, 0)</f>
        <v>0</v>
      </c>
      <c r="AT149" s="127">
        <f t="shared" ref="AT149:AT188" si="104">IFERROR(S149/AB149-1, 0)</f>
        <v>0</v>
      </c>
      <c r="AU149" s="127">
        <f t="shared" ref="AU149:AU188" si="105">IFERROR(T149/AC149-1, 0)</f>
        <v>0</v>
      </c>
      <c r="AV149" s="127">
        <f t="shared" ref="AV149:AV188" si="106">IFERROR(U149/AD149-1, 0)</f>
        <v>0</v>
      </c>
    </row>
    <row r="150" spans="1:48" x14ac:dyDescent="0.15">
      <c r="A150" s="29" t="s">
        <v>143</v>
      </c>
      <c r="B150" s="30">
        <f>IF(Data!D145=1, MAX(Data!AA145, Inputs!$E$25) + INDEX(Inputs!$D$38:$D$42, MATCH( Data!AD145, Inputs!$B$38:$B$42, 0), 0), MAX(Data!AA145, Inputs!$E$26) +  INDEX(Inputs!$D$38:$D$42, MATCH( Data!AD145, Inputs!$B$38:$B$42, 0), 0))</f>
        <v>0.26642500000000002</v>
      </c>
      <c r="C150" s="141">
        <f>(100*Data!R145)</f>
        <v>0</v>
      </c>
      <c r="D150" s="141">
        <f>ROUND(Data!Q145*C150, 0)</f>
        <v>0</v>
      </c>
      <c r="E150" s="141">
        <f>(100*Data!T145)</f>
        <v>0</v>
      </c>
      <c r="F150" s="141">
        <f>E150*Data!S145</f>
        <v>0</v>
      </c>
      <c r="G150" s="142">
        <f>ROUND(Inputs!$E$21*Data!W145*B150, 0)</f>
        <v>20215322</v>
      </c>
      <c r="H150" s="143">
        <f>IF(G150=0, 0,IF(Inputs!$E$30="Yes", IF(Data!D145=1, MAX(Outputs!D150+Outputs!F150+Outputs!G150, Data!AE145), Outputs!D150+Outputs!F150+Outputs!G150), Outputs!D150+Outputs!F150+Outputs!G150))</f>
        <v>20215322</v>
      </c>
      <c r="I150" s="143">
        <f>INDEX('FY 22 OFA Shell'!$AQ$27:$AQ$195,MATCH(Outputs!A150,'FY 22 OFA Shell'!$I$27:$I$195,0))</f>
        <v>20215322</v>
      </c>
      <c r="J150" s="129">
        <f>H150-Data!AT145</f>
        <v>-251095</v>
      </c>
      <c r="K150" s="127">
        <f>((H150)/(Data!AT145)) - 1</f>
        <v>-1.2268635003381378E-2</v>
      </c>
      <c r="L150" s="127">
        <f t="shared" si="88"/>
        <v>0</v>
      </c>
      <c r="M150" s="143">
        <f>(IF(Inputs!$E$30="Yes",INDEX(Data!AT:AT,MATCH(Outputs!A150,Data!A:A,0)),INDEX(Data!AS:AS,MATCH(Outputs!A150,Data!A:A,0))))</f>
        <v>20466417</v>
      </c>
      <c r="N150" s="143">
        <f>IF(Inputs!$E$30="Yes",INDEX(Data!BN:BN,MATCH(Outputs!$A150,Data!$A:$A,0)),INDEX(Data!BE:BE,MATCH(Outputs!$A150,Data!$A:$A,0)))</f>
        <v>20466417</v>
      </c>
      <c r="O150" s="143">
        <f>IF(Inputs!$E$30="Yes",INDEX(Data!BO:BO,MATCH(Outputs!$A150,Data!$A:$A,0)),INDEX(Data!BF:BF,MATCH(Outputs!$A150,Data!$A:$A,0)))</f>
        <v>20462024.0079</v>
      </c>
      <c r="P150" s="143">
        <f>IF(Inputs!$E$30="Yes",INDEX(Data!BP:BP,MATCH(Outputs!$A150,Data!$A:$A,0)),INDEX(Data!BG:BG,MATCH(Outputs!$A150,Data!$A:$A,0)))</f>
        <v>20457631.015799999</v>
      </c>
      <c r="Q150" s="143">
        <f>IF(Inputs!$E$30="Yes",INDEX(Data!BQ:BQ,MATCH(Outputs!$A150,Data!$A:$A,0)),INDEX(Data!BH:BH,MATCH(Outputs!$A150,Data!$A:$A,0)))</f>
        <v>20453238.023699999</v>
      </c>
      <c r="R150" s="143">
        <f>IF(Inputs!$E$30="Yes",INDEX(Data!BR:BR,MATCH(Outputs!$A150,Data!$A:$A,0)),INDEX(Data!BI:BI,MATCH(Outputs!$A150,Data!$A:$A,0)))</f>
        <v>20448845.031599998</v>
      </c>
      <c r="S150" s="143">
        <f>IF(Inputs!$E$30="Yes",INDEX(Data!BS:BS,MATCH(Outputs!$A150,Data!$A:$A,0)),INDEX(Data!BJ:BJ,MATCH(Outputs!$A150,Data!$A:$A,0)))</f>
        <v>20444452.039499998</v>
      </c>
      <c r="T150" s="143">
        <f>IF(Inputs!$E$30="Yes",INDEX(Data!BT:BT,MATCH(Outputs!$A150,Data!$A:$A,0)),INDEX(Data!BK:BK,MATCH(Outputs!$A150,Data!$A:$A,0)))</f>
        <v>20440059.047399998</v>
      </c>
      <c r="U150" s="143">
        <f>IF(Inputs!$E$30="Yes",INDEX(Data!BU:BU,MATCH(Outputs!$A150,Data!$A:$A,0)),INDEX(Data!BL:BL,MATCH(Outputs!$A150,Data!$A:$A,0)))</f>
        <v>20215322</v>
      </c>
      <c r="V150" s="143">
        <f>INDEX('FY 22 OFA Shell'!$AX$27:$AX$195,MATCH(Outputs!A150,'FY 22 OFA Shell'!$I$27:$I$195,0))</f>
        <v>20466417</v>
      </c>
      <c r="W150" s="143">
        <f>INDEX('FY 23 OFA Shell'!$AX$27:$AX$195,MATCH(Outputs!A150,'FY 23 OFA Shell'!$I$27:$I$195,0))</f>
        <v>20466417</v>
      </c>
      <c r="X150" s="143">
        <f>INDEX('FY 23 OFA Shell'!BK$27:BK$195,MATCH(Outputs!$A150,'FY 23 OFA Shell'!$I$27:$I$195,0))</f>
        <v>20462024.0079</v>
      </c>
      <c r="Y150" s="143">
        <f>INDEX('FY 23 OFA Shell'!BL$27:BL$195,MATCH(Outputs!$A150,'FY 23 OFA Shell'!$I$27:$I$195,0))</f>
        <v>20457631.015799999</v>
      </c>
      <c r="Z150" s="143">
        <f>INDEX('FY 23 OFA Shell'!BM$27:BM$195,MATCH(Outputs!$A150,'FY 23 OFA Shell'!$I$27:$I$195,0))</f>
        <v>20453238.023699999</v>
      </c>
      <c r="AA150" s="143">
        <f>INDEX('FY 23 OFA Shell'!BN$27:BN$195,MATCH(Outputs!$A150,'FY 23 OFA Shell'!$I$27:$I$195,0))</f>
        <v>20448845.031599998</v>
      </c>
      <c r="AB150" s="143">
        <f>INDEX('FY 23 OFA Shell'!BO$27:BO$195,MATCH(Outputs!$A150,'FY 23 OFA Shell'!$I$27:$I$195,0))</f>
        <v>20444452.039499998</v>
      </c>
      <c r="AC150" s="143">
        <f>INDEX('FY 23 OFA Shell'!BP$27:BP$195,MATCH(Outputs!$A150,'FY 23 OFA Shell'!$I$27:$I$195,0))</f>
        <v>20440059.047399998</v>
      </c>
      <c r="AD150" s="143">
        <f>INDEX('FY 23 OFA Shell'!BQ$27:BQ$195,MATCH(Outputs!$A150,'FY 23 OFA Shell'!$I$27:$I$195,0))</f>
        <v>20215322</v>
      </c>
      <c r="AE150" s="129">
        <f t="shared" si="89"/>
        <v>0</v>
      </c>
      <c r="AF150" s="129">
        <f t="shared" si="90"/>
        <v>0</v>
      </c>
      <c r="AG150" s="129">
        <f t="shared" si="91"/>
        <v>0</v>
      </c>
      <c r="AH150" s="129">
        <f t="shared" si="92"/>
        <v>0</v>
      </c>
      <c r="AI150" s="129">
        <f t="shared" si="93"/>
        <v>0</v>
      </c>
      <c r="AJ150" s="129">
        <f t="shared" si="94"/>
        <v>0</v>
      </c>
      <c r="AK150" s="129">
        <f t="shared" si="95"/>
        <v>0</v>
      </c>
      <c r="AL150" s="129">
        <f t="shared" si="96"/>
        <v>0</v>
      </c>
      <c r="AM150" s="129">
        <f t="shared" si="97"/>
        <v>0</v>
      </c>
      <c r="AN150" s="127">
        <f t="shared" si="98"/>
        <v>0</v>
      </c>
      <c r="AO150" s="127">
        <f t="shared" si="99"/>
        <v>0</v>
      </c>
      <c r="AP150" s="127">
        <f t="shared" si="100"/>
        <v>0</v>
      </c>
      <c r="AQ150" s="127">
        <f t="shared" si="101"/>
        <v>0</v>
      </c>
      <c r="AR150" s="127">
        <f t="shared" si="102"/>
        <v>0</v>
      </c>
      <c r="AS150" s="127">
        <f t="shared" si="103"/>
        <v>0</v>
      </c>
      <c r="AT150" s="127">
        <f t="shared" si="104"/>
        <v>0</v>
      </c>
      <c r="AU150" s="127">
        <f t="shared" si="105"/>
        <v>0</v>
      </c>
      <c r="AV150" s="127">
        <f t="shared" si="106"/>
        <v>0</v>
      </c>
    </row>
    <row r="151" spans="1:48" x14ac:dyDescent="0.15">
      <c r="A151" s="29" t="s">
        <v>144</v>
      </c>
      <c r="B151" s="30">
        <f>IF(Data!D146=1, MAX(Data!AA146, Inputs!$E$25) + INDEX(Inputs!$D$38:$D$42, MATCH( Data!AD146, Inputs!$B$38:$B$42, 0), 0), MAX(Data!AA146, Inputs!$E$26) +  INDEX(Inputs!$D$38:$D$42, MATCH( Data!AD146, Inputs!$B$38:$B$42, 0), 0))</f>
        <v>0.16506999999999999</v>
      </c>
      <c r="C151" s="141">
        <f>(100*Data!R146)</f>
        <v>0</v>
      </c>
      <c r="D151" s="141">
        <f>ROUND(Data!Q146*C151, 0)</f>
        <v>0</v>
      </c>
      <c r="E151" s="141">
        <f>(100*Data!T146)</f>
        <v>0</v>
      </c>
      <c r="F151" s="141">
        <f>E151*Data!S146</f>
        <v>0</v>
      </c>
      <c r="G151" s="142">
        <f>ROUND(Inputs!$E$21*Data!W146*B151, 0)</f>
        <v>9489025</v>
      </c>
      <c r="H151" s="143">
        <f>IF(G151=0, 0,IF(Inputs!$E$30="Yes", IF(Data!D146=1, MAX(Outputs!D151+Outputs!F151+Outputs!G151, Data!AE146), Outputs!D151+Outputs!F151+Outputs!G151), Outputs!D151+Outputs!F151+Outputs!G151))</f>
        <v>9489025</v>
      </c>
      <c r="I151" s="143">
        <f>INDEX('FY 22 OFA Shell'!$AQ$27:$AQ$195,MATCH(Outputs!A151,'FY 22 OFA Shell'!$I$27:$I$195,0))</f>
        <v>9489025</v>
      </c>
      <c r="J151" s="129">
        <f>H151-Data!AT146</f>
        <v>-1919053</v>
      </c>
      <c r="K151" s="127">
        <f>((H151)/(Data!AT146)) - 1</f>
        <v>-0.16821878321659445</v>
      </c>
      <c r="L151" s="127">
        <f t="shared" si="88"/>
        <v>0</v>
      </c>
      <c r="M151" s="143">
        <f>(IF(Inputs!$E$30="Yes",INDEX(Data!AT:AT,MATCH(Outputs!A151,Data!A:A,0)),INDEX(Data!AS:AS,MATCH(Outputs!A151,Data!A:A,0))))</f>
        <v>11408078</v>
      </c>
      <c r="N151" s="143">
        <f>IF(Inputs!$E$30="Yes",INDEX(Data!BN:BN,MATCH(Outputs!$A151,Data!$A:$A,0)),INDEX(Data!BE:BE,MATCH(Outputs!$A151,Data!$A:$A,0)))</f>
        <v>11408078</v>
      </c>
      <c r="O151" s="143">
        <f>IF(Inputs!$E$30="Yes",INDEX(Data!BO:BO,MATCH(Outputs!$A151,Data!$A:$A,0)),INDEX(Data!BF:BF,MATCH(Outputs!$A151,Data!$A:$A,0)))</f>
        <v>11130068.914799999</v>
      </c>
      <c r="P151" s="143">
        <f>IF(Inputs!$E$30="Yes",INDEX(Data!BP:BP,MATCH(Outputs!$A151,Data!$A:$A,0)),INDEX(Data!BG:BG,MATCH(Outputs!$A151,Data!$A:$A,0)))</f>
        <v>10852059.829599999</v>
      </c>
      <c r="Q151" s="143">
        <f>IF(Inputs!$E$30="Yes",INDEX(Data!BQ:BQ,MATCH(Outputs!$A151,Data!$A:$A,0)),INDEX(Data!BH:BH,MATCH(Outputs!$A151,Data!$A:$A,0)))</f>
        <v>10574050.744399998</v>
      </c>
      <c r="R151" s="143">
        <f>IF(Inputs!$E$30="Yes",INDEX(Data!BR:BR,MATCH(Outputs!$A151,Data!$A:$A,0)),INDEX(Data!BI:BI,MATCH(Outputs!$A151,Data!$A:$A,0)))</f>
        <v>10296041.659199998</v>
      </c>
      <c r="S151" s="143">
        <f>IF(Inputs!$E$30="Yes",INDEX(Data!BS:BS,MATCH(Outputs!$A151,Data!$A:$A,0)),INDEX(Data!BJ:BJ,MATCH(Outputs!$A151,Data!$A:$A,0)))</f>
        <v>10018032.573999997</v>
      </c>
      <c r="T151" s="143">
        <f>IF(Inputs!$E$30="Yes",INDEX(Data!BT:BT,MATCH(Outputs!$A151,Data!$A:$A,0)),INDEX(Data!BK:BK,MATCH(Outputs!$A151,Data!$A:$A,0)))</f>
        <v>9740023.4887999967</v>
      </c>
      <c r="U151" s="143">
        <f>IF(Inputs!$E$30="Yes",INDEX(Data!BU:BU,MATCH(Outputs!$A151,Data!$A:$A,0)),INDEX(Data!BL:BL,MATCH(Outputs!$A151,Data!$A:$A,0)))</f>
        <v>9489025</v>
      </c>
      <c r="V151" s="143">
        <f>INDEX('FY 22 OFA Shell'!$AX$27:$AX$195,MATCH(Outputs!A151,'FY 22 OFA Shell'!$I$27:$I$195,0))</f>
        <v>11408078</v>
      </c>
      <c r="W151" s="143">
        <f>INDEX('FY 23 OFA Shell'!$AX$27:$AX$195,MATCH(Outputs!A151,'FY 23 OFA Shell'!$I$27:$I$195,0))</f>
        <v>11408078</v>
      </c>
      <c r="X151" s="143">
        <f>INDEX('FY 23 OFA Shell'!BK$27:BK$195,MATCH(Outputs!$A151,'FY 23 OFA Shell'!$I$27:$I$195,0))</f>
        <v>11130068.914799999</v>
      </c>
      <c r="Y151" s="143">
        <f>INDEX('FY 23 OFA Shell'!BL$27:BL$195,MATCH(Outputs!$A151,'FY 23 OFA Shell'!$I$27:$I$195,0))</f>
        <v>10852059.829599999</v>
      </c>
      <c r="Z151" s="143">
        <f>INDEX('FY 23 OFA Shell'!BM$27:BM$195,MATCH(Outputs!$A151,'FY 23 OFA Shell'!$I$27:$I$195,0))</f>
        <v>10574050.744399998</v>
      </c>
      <c r="AA151" s="143">
        <f>INDEX('FY 23 OFA Shell'!BN$27:BN$195,MATCH(Outputs!$A151,'FY 23 OFA Shell'!$I$27:$I$195,0))</f>
        <v>10296041.659199998</v>
      </c>
      <c r="AB151" s="143">
        <f>INDEX('FY 23 OFA Shell'!BO$27:BO$195,MATCH(Outputs!$A151,'FY 23 OFA Shell'!$I$27:$I$195,0))</f>
        <v>10018032.573999997</v>
      </c>
      <c r="AC151" s="143">
        <f>INDEX('FY 23 OFA Shell'!BP$27:BP$195,MATCH(Outputs!$A151,'FY 23 OFA Shell'!$I$27:$I$195,0))</f>
        <v>9740023.4887999967</v>
      </c>
      <c r="AD151" s="143">
        <f>INDEX('FY 23 OFA Shell'!BQ$27:BQ$195,MATCH(Outputs!$A151,'FY 23 OFA Shell'!$I$27:$I$195,0))</f>
        <v>9489025</v>
      </c>
      <c r="AE151" s="129">
        <f t="shared" si="89"/>
        <v>0</v>
      </c>
      <c r="AF151" s="129">
        <f t="shared" si="90"/>
        <v>0</v>
      </c>
      <c r="AG151" s="129">
        <f t="shared" si="91"/>
        <v>0</v>
      </c>
      <c r="AH151" s="129">
        <f t="shared" si="92"/>
        <v>0</v>
      </c>
      <c r="AI151" s="129">
        <f t="shared" si="93"/>
        <v>0</v>
      </c>
      <c r="AJ151" s="129">
        <f t="shared" si="94"/>
        <v>0</v>
      </c>
      <c r="AK151" s="129">
        <f t="shared" si="95"/>
        <v>0</v>
      </c>
      <c r="AL151" s="129">
        <f t="shared" si="96"/>
        <v>0</v>
      </c>
      <c r="AM151" s="129">
        <f t="shared" si="97"/>
        <v>0</v>
      </c>
      <c r="AN151" s="127">
        <f t="shared" si="98"/>
        <v>0</v>
      </c>
      <c r="AO151" s="127">
        <f t="shared" si="99"/>
        <v>0</v>
      </c>
      <c r="AP151" s="127">
        <f t="shared" si="100"/>
        <v>0</v>
      </c>
      <c r="AQ151" s="127">
        <f t="shared" si="101"/>
        <v>0</v>
      </c>
      <c r="AR151" s="127">
        <f t="shared" si="102"/>
        <v>0</v>
      </c>
      <c r="AS151" s="127">
        <f t="shared" si="103"/>
        <v>0</v>
      </c>
      <c r="AT151" s="127">
        <f t="shared" si="104"/>
        <v>0</v>
      </c>
      <c r="AU151" s="127">
        <f t="shared" si="105"/>
        <v>0</v>
      </c>
      <c r="AV151" s="127">
        <f t="shared" si="106"/>
        <v>0</v>
      </c>
    </row>
    <row r="152" spans="1:48" x14ac:dyDescent="0.15">
      <c r="A152" s="29" t="s">
        <v>145</v>
      </c>
      <c r="B152" s="30">
        <f>IF(Data!D147=1, MAX(Data!AA147, Inputs!$E$25) + INDEX(Inputs!$D$38:$D$42, MATCH( Data!AD147, Inputs!$B$38:$B$42, 0), 0), MAX(Data!AA147, Inputs!$E$26) +  INDEX(Inputs!$D$38:$D$42, MATCH( Data!AD147, Inputs!$B$38:$B$42, 0), 0))</f>
        <v>0.55651200000000001</v>
      </c>
      <c r="C152" s="141">
        <f>(100*Data!R147)</f>
        <v>0</v>
      </c>
      <c r="D152" s="141">
        <f>ROUND(Data!Q147*C152, 0)</f>
        <v>0</v>
      </c>
      <c r="E152" s="141">
        <f>(100*Data!T147)</f>
        <v>400</v>
      </c>
      <c r="F152" s="141">
        <f>E152*Data!S147</f>
        <v>31600</v>
      </c>
      <c r="G152" s="142">
        <f>ROUND(Inputs!$E$21*Data!W147*B152, 0)</f>
        <v>2647938</v>
      </c>
      <c r="H152" s="143">
        <f>IF(G152=0, 0,IF(Inputs!$E$30="Yes", IF(Data!D147=1, MAX(Outputs!D152+Outputs!F152+Outputs!G152, Data!AE147), Outputs!D152+Outputs!F152+Outputs!G152), Outputs!D152+Outputs!F152+Outputs!G152))</f>
        <v>2679538</v>
      </c>
      <c r="I152" s="143">
        <f>INDEX('FY 22 OFA Shell'!$AQ$27:$AQ$195,MATCH(Outputs!A152,'FY 22 OFA Shell'!$I$27:$I$195,0))</f>
        <v>2679538</v>
      </c>
      <c r="J152" s="129">
        <f>H152-Data!AT147</f>
        <v>4273.5509999999776</v>
      </c>
      <c r="K152" s="127">
        <f>((H152)/(Data!AT147)) - 1</f>
        <v>1.5974312377220468E-3</v>
      </c>
      <c r="L152" s="127">
        <f t="shared" si="88"/>
        <v>0</v>
      </c>
      <c r="M152" s="143">
        <f>(IF(Inputs!$E$30="Yes",INDEX(Data!AT:AT,MATCH(Outputs!A152,Data!A:A,0)),INDEX(Data!AS:AS,MATCH(Outputs!A152,Data!A:A,0))))</f>
        <v>2675264.449</v>
      </c>
      <c r="N152" s="143">
        <f>IF(Inputs!$E$30="Yes",INDEX(Data!BN:BN,MATCH(Outputs!$A152,Data!$A:$A,0)),INDEX(Data!BE:BE,MATCH(Outputs!$A152,Data!$A:$A,0)))</f>
        <v>2682434.898</v>
      </c>
      <c r="O152" s="143">
        <f>IF(Inputs!$E$30="Yes",INDEX(Data!BO:BO,MATCH(Outputs!$A152,Data!$A:$A,0)),INDEX(Data!BF:BF,MATCH(Outputs!$A152,Data!$A:$A,0)))</f>
        <v>2689605.3470000001</v>
      </c>
      <c r="P152" s="143">
        <f>IF(Inputs!$E$30="Yes",INDEX(Data!BP:BP,MATCH(Outputs!$A152,Data!$A:$A,0)),INDEX(Data!BG:BG,MATCH(Outputs!$A152,Data!$A:$A,0)))</f>
        <v>2696775.7960000001</v>
      </c>
      <c r="Q152" s="143">
        <f>IF(Inputs!$E$30="Yes",INDEX(Data!BQ:BQ,MATCH(Outputs!$A152,Data!$A:$A,0)),INDEX(Data!BH:BH,MATCH(Outputs!$A152,Data!$A:$A,0)))</f>
        <v>2703946.2450000001</v>
      </c>
      <c r="R152" s="143">
        <f>IF(Inputs!$E$30="Yes",INDEX(Data!BR:BR,MATCH(Outputs!$A152,Data!$A:$A,0)),INDEX(Data!BI:BI,MATCH(Outputs!$A152,Data!$A:$A,0)))</f>
        <v>2711116.6940000001</v>
      </c>
      <c r="S152" s="143">
        <f>IF(Inputs!$E$30="Yes",INDEX(Data!BS:BS,MATCH(Outputs!$A152,Data!$A:$A,0)),INDEX(Data!BJ:BJ,MATCH(Outputs!$A152,Data!$A:$A,0)))</f>
        <v>2679538</v>
      </c>
      <c r="T152" s="143">
        <f>IF(Inputs!$E$30="Yes",INDEX(Data!BT:BT,MATCH(Outputs!$A152,Data!$A:$A,0)),INDEX(Data!BK:BK,MATCH(Outputs!$A152,Data!$A:$A,0)))</f>
        <v>2679538</v>
      </c>
      <c r="U152" s="143">
        <f>IF(Inputs!$E$30="Yes",INDEX(Data!BU:BU,MATCH(Outputs!$A152,Data!$A:$A,0)),INDEX(Data!BL:BL,MATCH(Outputs!$A152,Data!$A:$A,0)))</f>
        <v>2679538</v>
      </c>
      <c r="V152" s="143">
        <f>INDEX('FY 22 OFA Shell'!$AX$27:$AX$195,MATCH(Outputs!A152,'FY 22 OFA Shell'!$I$27:$I$195,0))</f>
        <v>2675264.449</v>
      </c>
      <c r="W152" s="143">
        <f>INDEX('FY 23 OFA Shell'!$AX$27:$AX$195,MATCH(Outputs!A152,'FY 23 OFA Shell'!$I$27:$I$195,0))</f>
        <v>2682434.898</v>
      </c>
      <c r="X152" s="143">
        <f>INDEX('FY 23 OFA Shell'!BK$27:BK$195,MATCH(Outputs!$A152,'FY 23 OFA Shell'!$I$27:$I$195,0))</f>
        <v>2689605.3470000001</v>
      </c>
      <c r="Y152" s="143">
        <f>INDEX('FY 23 OFA Shell'!BL$27:BL$195,MATCH(Outputs!$A152,'FY 23 OFA Shell'!$I$27:$I$195,0))</f>
        <v>2696775.7960000001</v>
      </c>
      <c r="Z152" s="143">
        <f>INDEX('FY 23 OFA Shell'!BM$27:BM$195,MATCH(Outputs!$A152,'FY 23 OFA Shell'!$I$27:$I$195,0))</f>
        <v>2703946.2450000001</v>
      </c>
      <c r="AA152" s="143">
        <f>INDEX('FY 23 OFA Shell'!BN$27:BN$195,MATCH(Outputs!$A152,'FY 23 OFA Shell'!$I$27:$I$195,0))</f>
        <v>2711116.6940000001</v>
      </c>
      <c r="AB152" s="143">
        <f>INDEX('FY 23 OFA Shell'!BO$27:BO$195,MATCH(Outputs!$A152,'FY 23 OFA Shell'!$I$27:$I$195,0))</f>
        <v>2679538</v>
      </c>
      <c r="AC152" s="143">
        <f>INDEX('FY 23 OFA Shell'!BP$27:BP$195,MATCH(Outputs!$A152,'FY 23 OFA Shell'!$I$27:$I$195,0))</f>
        <v>2679538</v>
      </c>
      <c r="AD152" s="143">
        <f>INDEX('FY 23 OFA Shell'!BQ$27:BQ$195,MATCH(Outputs!$A152,'FY 23 OFA Shell'!$I$27:$I$195,0))</f>
        <v>2679538</v>
      </c>
      <c r="AE152" s="129">
        <f t="shared" si="89"/>
        <v>0</v>
      </c>
      <c r="AF152" s="129">
        <f t="shared" si="90"/>
        <v>0</v>
      </c>
      <c r="AG152" s="129">
        <f t="shared" si="91"/>
        <v>0</v>
      </c>
      <c r="AH152" s="129">
        <f t="shared" si="92"/>
        <v>0</v>
      </c>
      <c r="AI152" s="129">
        <f t="shared" si="93"/>
        <v>0</v>
      </c>
      <c r="AJ152" s="129">
        <f t="shared" si="94"/>
        <v>0</v>
      </c>
      <c r="AK152" s="129">
        <f t="shared" si="95"/>
        <v>0</v>
      </c>
      <c r="AL152" s="129">
        <f t="shared" si="96"/>
        <v>0</v>
      </c>
      <c r="AM152" s="129">
        <f t="shared" si="97"/>
        <v>0</v>
      </c>
      <c r="AN152" s="127">
        <f t="shared" si="98"/>
        <v>0</v>
      </c>
      <c r="AO152" s="127">
        <f t="shared" si="99"/>
        <v>0</v>
      </c>
      <c r="AP152" s="127">
        <f t="shared" si="100"/>
        <v>0</v>
      </c>
      <c r="AQ152" s="127">
        <f t="shared" si="101"/>
        <v>0</v>
      </c>
      <c r="AR152" s="127">
        <f t="shared" si="102"/>
        <v>0</v>
      </c>
      <c r="AS152" s="127">
        <f t="shared" si="103"/>
        <v>0</v>
      </c>
      <c r="AT152" s="127">
        <f t="shared" si="104"/>
        <v>0</v>
      </c>
      <c r="AU152" s="127">
        <f t="shared" si="105"/>
        <v>0</v>
      </c>
      <c r="AV152" s="127">
        <f t="shared" si="106"/>
        <v>0</v>
      </c>
    </row>
    <row r="153" spans="1:48" x14ac:dyDescent="0.15">
      <c r="A153" s="29" t="s">
        <v>146</v>
      </c>
      <c r="B153" s="30">
        <f>IF(Data!D148=1, MAX(Data!AA148, Inputs!$E$25) + INDEX(Inputs!$D$38:$D$42, MATCH( Data!AD148, Inputs!$B$38:$B$42, 0), 0), MAX(Data!AA148, Inputs!$E$26) +  INDEX(Inputs!$D$38:$D$42, MATCH( Data!AD148, Inputs!$B$38:$B$42, 0), 0))</f>
        <v>0.46239400000000003</v>
      </c>
      <c r="C153" s="141">
        <f>(100*Data!R148)</f>
        <v>0</v>
      </c>
      <c r="D153" s="141">
        <f>ROUND(Data!Q148*C153, 0)</f>
        <v>0</v>
      </c>
      <c r="E153" s="141">
        <f>(100*Data!T148)</f>
        <v>0</v>
      </c>
      <c r="F153" s="141">
        <f>E153*Data!S148</f>
        <v>0</v>
      </c>
      <c r="G153" s="142">
        <f>ROUND(Inputs!$E$21*Data!W148*B153, 0)</f>
        <v>8185537</v>
      </c>
      <c r="H153" s="143">
        <f>IF(G153=0, 0,IF(Inputs!$E$30="Yes", IF(Data!D148=1, MAX(Outputs!D153+Outputs!F153+Outputs!G153, Data!AE148), Outputs!D153+Outputs!F153+Outputs!G153), Outputs!D153+Outputs!F153+Outputs!G153))</f>
        <v>8185537</v>
      </c>
      <c r="I153" s="143">
        <f>INDEX('FY 22 OFA Shell'!$AQ$27:$AQ$195,MATCH(Outputs!A153,'FY 22 OFA Shell'!$I$27:$I$195,0))</f>
        <v>8185537</v>
      </c>
      <c r="J153" s="129">
        <f>H153-Data!AT148</f>
        <v>-1365950</v>
      </c>
      <c r="K153" s="127">
        <f>((H153)/(Data!AT148)) - 1</f>
        <v>-0.14300914611515458</v>
      </c>
      <c r="L153" s="127">
        <f t="shared" si="88"/>
        <v>0</v>
      </c>
      <c r="M153" s="143">
        <f>(IF(Inputs!$E$30="Yes",INDEX(Data!AT:AT,MATCH(Outputs!A153,Data!A:A,0)),INDEX(Data!AS:AS,MATCH(Outputs!A153,Data!A:A,0))))</f>
        <v>9551487</v>
      </c>
      <c r="N153" s="143">
        <f>IF(Inputs!$E$30="Yes",INDEX(Data!BN:BN,MATCH(Outputs!$A153,Data!$A:$A,0)),INDEX(Data!BE:BE,MATCH(Outputs!$A153,Data!$A:$A,0)))</f>
        <v>9551487</v>
      </c>
      <c r="O153" s="143">
        <f>IF(Inputs!$E$30="Yes",INDEX(Data!BO:BO,MATCH(Outputs!$A153,Data!$A:$A,0)),INDEX(Data!BF:BF,MATCH(Outputs!$A153,Data!$A:$A,0)))</f>
        <v>9417794.4151000008</v>
      </c>
      <c r="P153" s="143">
        <f>IF(Inputs!$E$30="Yes",INDEX(Data!BP:BP,MATCH(Outputs!$A153,Data!$A:$A,0)),INDEX(Data!BG:BG,MATCH(Outputs!$A153,Data!$A:$A,0)))</f>
        <v>9284101.8302000016</v>
      </c>
      <c r="Q153" s="143">
        <f>IF(Inputs!$E$30="Yes",INDEX(Data!BQ:BQ,MATCH(Outputs!$A153,Data!$A:$A,0)),INDEX(Data!BH:BH,MATCH(Outputs!$A153,Data!$A:$A,0)))</f>
        <v>9150409.2453000024</v>
      </c>
      <c r="R153" s="143">
        <f>IF(Inputs!$E$30="Yes",INDEX(Data!BR:BR,MATCH(Outputs!$A153,Data!$A:$A,0)),INDEX(Data!BI:BI,MATCH(Outputs!$A153,Data!$A:$A,0)))</f>
        <v>9016716.6604000032</v>
      </c>
      <c r="S153" s="143">
        <f>IF(Inputs!$E$30="Yes",INDEX(Data!BS:BS,MATCH(Outputs!$A153,Data!$A:$A,0)),INDEX(Data!BJ:BJ,MATCH(Outputs!$A153,Data!$A:$A,0)))</f>
        <v>8883024.075500004</v>
      </c>
      <c r="T153" s="143">
        <f>IF(Inputs!$E$30="Yes",INDEX(Data!BT:BT,MATCH(Outputs!$A153,Data!$A:$A,0)),INDEX(Data!BK:BK,MATCH(Outputs!$A153,Data!$A:$A,0)))</f>
        <v>8749331.4906000048</v>
      </c>
      <c r="U153" s="143">
        <f>IF(Inputs!$E$30="Yes",INDEX(Data!BU:BU,MATCH(Outputs!$A153,Data!$A:$A,0)),INDEX(Data!BL:BL,MATCH(Outputs!$A153,Data!$A:$A,0)))</f>
        <v>8185537</v>
      </c>
      <c r="V153" s="143">
        <f>INDEX('FY 22 OFA Shell'!$AX$27:$AX$195,MATCH(Outputs!A153,'FY 22 OFA Shell'!$I$27:$I$195,0))</f>
        <v>9551487</v>
      </c>
      <c r="W153" s="143">
        <f>INDEX('FY 23 OFA Shell'!$AX$27:$AX$195,MATCH(Outputs!A153,'FY 23 OFA Shell'!$I$27:$I$195,0))</f>
        <v>9551487</v>
      </c>
      <c r="X153" s="143">
        <f>INDEX('FY 23 OFA Shell'!BK$27:BK$195,MATCH(Outputs!$A153,'FY 23 OFA Shell'!$I$27:$I$195,0))</f>
        <v>9417794.4151000008</v>
      </c>
      <c r="Y153" s="143">
        <f>INDEX('FY 23 OFA Shell'!BL$27:BL$195,MATCH(Outputs!$A153,'FY 23 OFA Shell'!$I$27:$I$195,0))</f>
        <v>9284101.8302000016</v>
      </c>
      <c r="Z153" s="143">
        <f>INDEX('FY 23 OFA Shell'!BM$27:BM$195,MATCH(Outputs!$A153,'FY 23 OFA Shell'!$I$27:$I$195,0))</f>
        <v>9150409.2453000024</v>
      </c>
      <c r="AA153" s="143">
        <f>INDEX('FY 23 OFA Shell'!BN$27:BN$195,MATCH(Outputs!$A153,'FY 23 OFA Shell'!$I$27:$I$195,0))</f>
        <v>9016716.6604000032</v>
      </c>
      <c r="AB153" s="143">
        <f>INDEX('FY 23 OFA Shell'!BO$27:BO$195,MATCH(Outputs!$A153,'FY 23 OFA Shell'!$I$27:$I$195,0))</f>
        <v>8883024.075500004</v>
      </c>
      <c r="AC153" s="143">
        <f>INDEX('FY 23 OFA Shell'!BP$27:BP$195,MATCH(Outputs!$A153,'FY 23 OFA Shell'!$I$27:$I$195,0))</f>
        <v>8749331.4906000048</v>
      </c>
      <c r="AD153" s="143">
        <f>INDEX('FY 23 OFA Shell'!BQ$27:BQ$195,MATCH(Outputs!$A153,'FY 23 OFA Shell'!$I$27:$I$195,0))</f>
        <v>8185537</v>
      </c>
      <c r="AE153" s="129">
        <f t="shared" si="89"/>
        <v>0</v>
      </c>
      <c r="AF153" s="129">
        <f t="shared" si="90"/>
        <v>0</v>
      </c>
      <c r="AG153" s="129">
        <f t="shared" si="91"/>
        <v>0</v>
      </c>
      <c r="AH153" s="129">
        <f t="shared" si="92"/>
        <v>0</v>
      </c>
      <c r="AI153" s="129">
        <f t="shared" si="93"/>
        <v>0</v>
      </c>
      <c r="AJ153" s="129">
        <f t="shared" si="94"/>
        <v>0</v>
      </c>
      <c r="AK153" s="129">
        <f t="shared" si="95"/>
        <v>0</v>
      </c>
      <c r="AL153" s="129">
        <f t="shared" si="96"/>
        <v>0</v>
      </c>
      <c r="AM153" s="129">
        <f t="shared" si="97"/>
        <v>0</v>
      </c>
      <c r="AN153" s="127">
        <f t="shared" si="98"/>
        <v>0</v>
      </c>
      <c r="AO153" s="127">
        <f t="shared" si="99"/>
        <v>0</v>
      </c>
      <c r="AP153" s="127">
        <f t="shared" si="100"/>
        <v>0</v>
      </c>
      <c r="AQ153" s="127">
        <f t="shared" si="101"/>
        <v>0</v>
      </c>
      <c r="AR153" s="127">
        <f t="shared" si="102"/>
        <v>0</v>
      </c>
      <c r="AS153" s="127">
        <f t="shared" si="103"/>
        <v>0</v>
      </c>
      <c r="AT153" s="127">
        <f t="shared" si="104"/>
        <v>0</v>
      </c>
      <c r="AU153" s="127">
        <f t="shared" si="105"/>
        <v>0</v>
      </c>
      <c r="AV153" s="127">
        <f t="shared" si="106"/>
        <v>0</v>
      </c>
    </row>
    <row r="154" spans="1:48" x14ac:dyDescent="0.15">
      <c r="A154" s="29" t="s">
        <v>147</v>
      </c>
      <c r="B154" s="30">
        <f>IF(Data!D149=1, MAX(Data!AA149, Inputs!$E$25) + INDEX(Inputs!$D$38:$D$42, MATCH( Data!AD149, Inputs!$B$38:$B$42, 0), 0), MAX(Data!AA149, Inputs!$E$26) +  INDEX(Inputs!$D$38:$D$42, MATCH( Data!AD149, Inputs!$B$38:$B$42, 0), 0))</f>
        <v>0.1</v>
      </c>
      <c r="C154" s="141">
        <f>(100*Data!R149)</f>
        <v>0</v>
      </c>
      <c r="D154" s="141">
        <f>ROUND(Data!Q149*C154, 0)</f>
        <v>0</v>
      </c>
      <c r="E154" s="141">
        <f>(100*Data!T149)</f>
        <v>0</v>
      </c>
      <c r="F154" s="141">
        <f>E154*Data!S149</f>
        <v>0</v>
      </c>
      <c r="G154" s="142">
        <f>ROUND(Inputs!$E$21*Data!W149*B154, 0)</f>
        <v>21962282</v>
      </c>
      <c r="H154" s="143">
        <f>IF(G154=0, 0,IF(Inputs!$E$30="Yes", IF(Data!D149=1, MAX(Outputs!D154+Outputs!F154+Outputs!G154, Data!AE149), Outputs!D154+Outputs!F154+Outputs!G154), Outputs!D154+Outputs!F154+Outputs!G154))</f>
        <v>21962282</v>
      </c>
      <c r="I154" s="143">
        <f>INDEX('FY 22 OFA Shell'!$AQ$27:$AQ$195,MATCH(Outputs!A154,'FY 22 OFA Shell'!$I$27:$I$195,0))</f>
        <v>21962282</v>
      </c>
      <c r="J154" s="129">
        <f>H154-Data!AT149</f>
        <v>7182198.4482000005</v>
      </c>
      <c r="K154" s="127">
        <f>((H154)/(Data!AT149)) - 1</f>
        <v>0.48593760806753439</v>
      </c>
      <c r="L154" s="127">
        <f t="shared" si="88"/>
        <v>0</v>
      </c>
      <c r="M154" s="143">
        <f>(IF(Inputs!$E$30="Yes",INDEX(Data!AT:AT,MATCH(Outputs!A154,Data!A:A,0)),INDEX(Data!AS:AS,MATCH(Outputs!A154,Data!A:A,0))))</f>
        <v>14780083.5518</v>
      </c>
      <c r="N154" s="143">
        <f>IF(Inputs!$E$30="Yes",INDEX(Data!BN:BN,MATCH(Outputs!$A154,Data!$A:$A,0)),INDEX(Data!BE:BE,MATCH(Outputs!$A154,Data!$A:$A,0)))</f>
        <v>15969582.103599999</v>
      </c>
      <c r="O154" s="143">
        <f>IF(Inputs!$E$30="Yes",INDEX(Data!BO:BO,MATCH(Outputs!$A154,Data!$A:$A,0)),INDEX(Data!BF:BF,MATCH(Outputs!$A154,Data!$A:$A,0)))</f>
        <v>17159080.655400001</v>
      </c>
      <c r="P154" s="143">
        <f>IF(Inputs!$E$30="Yes",INDEX(Data!BP:BP,MATCH(Outputs!$A154,Data!$A:$A,0)),INDEX(Data!BG:BG,MATCH(Outputs!$A154,Data!$A:$A,0)))</f>
        <v>18348579.207200002</v>
      </c>
      <c r="Q154" s="143">
        <f>IF(Inputs!$E$30="Yes",INDEX(Data!BQ:BQ,MATCH(Outputs!$A154,Data!$A:$A,0)),INDEX(Data!BH:BH,MATCH(Outputs!$A154,Data!$A:$A,0)))</f>
        <v>19538077.759000003</v>
      </c>
      <c r="R154" s="143">
        <f>IF(Inputs!$E$30="Yes",INDEX(Data!BR:BR,MATCH(Outputs!$A154,Data!$A:$A,0)),INDEX(Data!BI:BI,MATCH(Outputs!$A154,Data!$A:$A,0)))</f>
        <v>20727576.310800005</v>
      </c>
      <c r="S154" s="143">
        <f>IF(Inputs!$E$30="Yes",INDEX(Data!BS:BS,MATCH(Outputs!$A154,Data!$A:$A,0)),INDEX(Data!BJ:BJ,MATCH(Outputs!$A154,Data!$A:$A,0)))</f>
        <v>21962282</v>
      </c>
      <c r="T154" s="143">
        <f>IF(Inputs!$E$30="Yes",INDEX(Data!BT:BT,MATCH(Outputs!$A154,Data!$A:$A,0)),INDEX(Data!BK:BK,MATCH(Outputs!$A154,Data!$A:$A,0)))</f>
        <v>21962282</v>
      </c>
      <c r="U154" s="143">
        <f>IF(Inputs!$E$30="Yes",INDEX(Data!BU:BU,MATCH(Outputs!$A154,Data!$A:$A,0)),INDEX(Data!BL:BL,MATCH(Outputs!$A154,Data!$A:$A,0)))</f>
        <v>21962282</v>
      </c>
      <c r="V154" s="143">
        <f>INDEX('FY 22 OFA Shell'!$AX$27:$AX$195,MATCH(Outputs!A154,'FY 22 OFA Shell'!$I$27:$I$195,0))</f>
        <v>14780083.5518</v>
      </c>
      <c r="W154" s="143">
        <f>INDEX('FY 23 OFA Shell'!$AX$27:$AX$195,MATCH(Outputs!A154,'FY 23 OFA Shell'!$I$27:$I$195,0))</f>
        <v>15969582.103599999</v>
      </c>
      <c r="X154" s="143">
        <f>INDEX('FY 23 OFA Shell'!BK$27:BK$195,MATCH(Outputs!$A154,'FY 23 OFA Shell'!$I$27:$I$195,0))</f>
        <v>17159080.655400001</v>
      </c>
      <c r="Y154" s="143">
        <f>INDEX('FY 23 OFA Shell'!BL$27:BL$195,MATCH(Outputs!$A154,'FY 23 OFA Shell'!$I$27:$I$195,0))</f>
        <v>18348579.207200002</v>
      </c>
      <c r="Z154" s="143">
        <f>INDEX('FY 23 OFA Shell'!BM$27:BM$195,MATCH(Outputs!$A154,'FY 23 OFA Shell'!$I$27:$I$195,0))</f>
        <v>19538077.759000003</v>
      </c>
      <c r="AA154" s="143">
        <f>INDEX('FY 23 OFA Shell'!BN$27:BN$195,MATCH(Outputs!$A154,'FY 23 OFA Shell'!$I$27:$I$195,0))</f>
        <v>20727576.310800005</v>
      </c>
      <c r="AB154" s="143">
        <f>INDEX('FY 23 OFA Shell'!BO$27:BO$195,MATCH(Outputs!$A154,'FY 23 OFA Shell'!$I$27:$I$195,0))</f>
        <v>21962282</v>
      </c>
      <c r="AC154" s="143">
        <f>INDEX('FY 23 OFA Shell'!BP$27:BP$195,MATCH(Outputs!$A154,'FY 23 OFA Shell'!$I$27:$I$195,0))</f>
        <v>21962282</v>
      </c>
      <c r="AD154" s="143">
        <f>INDEX('FY 23 OFA Shell'!BQ$27:BQ$195,MATCH(Outputs!$A154,'FY 23 OFA Shell'!$I$27:$I$195,0))</f>
        <v>21962282</v>
      </c>
      <c r="AE154" s="129">
        <f t="shared" si="89"/>
        <v>0</v>
      </c>
      <c r="AF154" s="129">
        <f t="shared" si="90"/>
        <v>0</v>
      </c>
      <c r="AG154" s="129">
        <f t="shared" si="91"/>
        <v>0</v>
      </c>
      <c r="AH154" s="129">
        <f t="shared" si="92"/>
        <v>0</v>
      </c>
      <c r="AI154" s="129">
        <f t="shared" si="93"/>
        <v>0</v>
      </c>
      <c r="AJ154" s="129">
        <f t="shared" si="94"/>
        <v>0</v>
      </c>
      <c r="AK154" s="129">
        <f t="shared" si="95"/>
        <v>0</v>
      </c>
      <c r="AL154" s="129">
        <f t="shared" si="96"/>
        <v>0</v>
      </c>
      <c r="AM154" s="129">
        <f t="shared" si="97"/>
        <v>0</v>
      </c>
      <c r="AN154" s="127">
        <f t="shared" si="98"/>
        <v>0</v>
      </c>
      <c r="AO154" s="127">
        <f t="shared" si="99"/>
        <v>0</v>
      </c>
      <c r="AP154" s="127">
        <f t="shared" si="100"/>
        <v>0</v>
      </c>
      <c r="AQ154" s="127">
        <f t="shared" si="101"/>
        <v>0</v>
      </c>
      <c r="AR154" s="127">
        <f t="shared" si="102"/>
        <v>0</v>
      </c>
      <c r="AS154" s="127">
        <f t="shared" si="103"/>
        <v>0</v>
      </c>
      <c r="AT154" s="127">
        <f t="shared" si="104"/>
        <v>0</v>
      </c>
      <c r="AU154" s="127">
        <f t="shared" si="105"/>
        <v>0</v>
      </c>
      <c r="AV154" s="127">
        <f t="shared" si="106"/>
        <v>0</v>
      </c>
    </row>
    <row r="155" spans="1:48" x14ac:dyDescent="0.15">
      <c r="A155" s="29" t="s">
        <v>148</v>
      </c>
      <c r="B155" s="30">
        <f>IF(Data!D150=1, MAX(Data!AA150, Inputs!$E$25) + INDEX(Inputs!$D$38:$D$42, MATCH( Data!AD150, Inputs!$B$38:$B$42, 0), 0), MAX(Data!AA150, Inputs!$E$26) +  INDEX(Inputs!$D$38:$D$42, MATCH( Data!AD150, Inputs!$B$38:$B$42, 0), 0))</f>
        <v>0.46188699999999999</v>
      </c>
      <c r="C155" s="141">
        <f>(100*Data!R150)</f>
        <v>0</v>
      </c>
      <c r="D155" s="141">
        <f>ROUND(Data!Q150*C155, 0)</f>
        <v>0</v>
      </c>
      <c r="E155" s="141">
        <f>(100*Data!T150)</f>
        <v>0</v>
      </c>
      <c r="F155" s="141">
        <f>E155*Data!S150</f>
        <v>0</v>
      </c>
      <c r="G155" s="142">
        <f>ROUND(Inputs!$E$21*Data!W150*B155, 0)</f>
        <v>2516512</v>
      </c>
      <c r="H155" s="143">
        <f>IF(G155=0, 0,IF(Inputs!$E$30="Yes", IF(Data!D150=1, MAX(Outputs!D155+Outputs!F155+Outputs!G155, Data!AE150), Outputs!D155+Outputs!F155+Outputs!G155), Outputs!D155+Outputs!F155+Outputs!G155))</f>
        <v>2516512</v>
      </c>
      <c r="I155" s="143">
        <f>INDEX('FY 22 OFA Shell'!$AQ$27:$AQ$195,MATCH(Outputs!A155,'FY 22 OFA Shell'!$I$27:$I$195,0))</f>
        <v>2516512</v>
      </c>
      <c r="J155" s="129">
        <f>H155-Data!AT150</f>
        <v>-658073</v>
      </c>
      <c r="K155" s="127">
        <f>((H155)/(Data!AT150)) - 1</f>
        <v>-0.20729418175919057</v>
      </c>
      <c r="L155" s="127">
        <f t="shared" si="88"/>
        <v>0</v>
      </c>
      <c r="M155" s="143">
        <f>(IF(Inputs!$E$30="Yes",INDEX(Data!AT:AT,MATCH(Outputs!A155,Data!A:A,0)),INDEX(Data!AS:AS,MATCH(Outputs!A155,Data!A:A,0))))</f>
        <v>3174585</v>
      </c>
      <c r="N155" s="143">
        <f>IF(Inputs!$E$30="Yes",INDEX(Data!BN:BN,MATCH(Outputs!$A155,Data!$A:$A,0)),INDEX(Data!BE:BE,MATCH(Outputs!$A155,Data!$A:$A,0)))</f>
        <v>3174585</v>
      </c>
      <c r="O155" s="143">
        <f>IF(Inputs!$E$30="Yes",INDEX(Data!BO:BO,MATCH(Outputs!$A155,Data!$A:$A,0)),INDEX(Data!BF:BF,MATCH(Outputs!$A155,Data!$A:$A,0)))</f>
        <v>3117965.6568</v>
      </c>
      <c r="P155" s="143">
        <f>IF(Inputs!$E$30="Yes",INDEX(Data!BP:BP,MATCH(Outputs!$A155,Data!$A:$A,0)),INDEX(Data!BG:BG,MATCH(Outputs!$A155,Data!$A:$A,0)))</f>
        <v>3061346.3136</v>
      </c>
      <c r="Q155" s="143">
        <f>IF(Inputs!$E$30="Yes",INDEX(Data!BQ:BQ,MATCH(Outputs!$A155,Data!$A:$A,0)),INDEX(Data!BH:BH,MATCH(Outputs!$A155,Data!$A:$A,0)))</f>
        <v>3004726.9704</v>
      </c>
      <c r="R155" s="143">
        <f>IF(Inputs!$E$30="Yes",INDEX(Data!BR:BR,MATCH(Outputs!$A155,Data!$A:$A,0)),INDEX(Data!BI:BI,MATCH(Outputs!$A155,Data!$A:$A,0)))</f>
        <v>2948107.6272</v>
      </c>
      <c r="S155" s="143">
        <f>IF(Inputs!$E$30="Yes",INDEX(Data!BS:BS,MATCH(Outputs!$A155,Data!$A:$A,0)),INDEX(Data!BJ:BJ,MATCH(Outputs!$A155,Data!$A:$A,0)))</f>
        <v>2891488.284</v>
      </c>
      <c r="T155" s="143">
        <f>IF(Inputs!$E$30="Yes",INDEX(Data!BT:BT,MATCH(Outputs!$A155,Data!$A:$A,0)),INDEX(Data!BK:BK,MATCH(Outputs!$A155,Data!$A:$A,0)))</f>
        <v>2834868.9408</v>
      </c>
      <c r="U155" s="143">
        <f>IF(Inputs!$E$30="Yes",INDEX(Data!BU:BU,MATCH(Outputs!$A155,Data!$A:$A,0)),INDEX(Data!BL:BL,MATCH(Outputs!$A155,Data!$A:$A,0)))</f>
        <v>2516512</v>
      </c>
      <c r="V155" s="143">
        <f>INDEX('FY 22 OFA Shell'!$AX$27:$AX$195,MATCH(Outputs!A155,'FY 22 OFA Shell'!$I$27:$I$195,0))</f>
        <v>3174585</v>
      </c>
      <c r="W155" s="143">
        <f>INDEX('FY 23 OFA Shell'!$AX$27:$AX$195,MATCH(Outputs!A155,'FY 23 OFA Shell'!$I$27:$I$195,0))</f>
        <v>3174585</v>
      </c>
      <c r="X155" s="143">
        <f>INDEX('FY 23 OFA Shell'!BK$27:BK$195,MATCH(Outputs!$A155,'FY 23 OFA Shell'!$I$27:$I$195,0))</f>
        <v>3117965.6568</v>
      </c>
      <c r="Y155" s="143">
        <f>INDEX('FY 23 OFA Shell'!BL$27:BL$195,MATCH(Outputs!$A155,'FY 23 OFA Shell'!$I$27:$I$195,0))</f>
        <v>3061346.3136</v>
      </c>
      <c r="Z155" s="143">
        <f>INDEX('FY 23 OFA Shell'!BM$27:BM$195,MATCH(Outputs!$A155,'FY 23 OFA Shell'!$I$27:$I$195,0))</f>
        <v>3004726.9704</v>
      </c>
      <c r="AA155" s="143">
        <f>INDEX('FY 23 OFA Shell'!BN$27:BN$195,MATCH(Outputs!$A155,'FY 23 OFA Shell'!$I$27:$I$195,0))</f>
        <v>2948107.6272</v>
      </c>
      <c r="AB155" s="143">
        <f>INDEX('FY 23 OFA Shell'!BO$27:BO$195,MATCH(Outputs!$A155,'FY 23 OFA Shell'!$I$27:$I$195,0))</f>
        <v>2891488.284</v>
      </c>
      <c r="AC155" s="143">
        <f>INDEX('FY 23 OFA Shell'!BP$27:BP$195,MATCH(Outputs!$A155,'FY 23 OFA Shell'!$I$27:$I$195,0))</f>
        <v>2834868.9408</v>
      </c>
      <c r="AD155" s="143">
        <f>INDEX('FY 23 OFA Shell'!BQ$27:BQ$195,MATCH(Outputs!$A155,'FY 23 OFA Shell'!$I$27:$I$195,0))</f>
        <v>2516512</v>
      </c>
      <c r="AE155" s="129">
        <f t="shared" si="89"/>
        <v>0</v>
      </c>
      <c r="AF155" s="129">
        <f t="shared" si="90"/>
        <v>0</v>
      </c>
      <c r="AG155" s="129">
        <f t="shared" si="91"/>
        <v>0</v>
      </c>
      <c r="AH155" s="129">
        <f t="shared" si="92"/>
        <v>0</v>
      </c>
      <c r="AI155" s="129">
        <f t="shared" si="93"/>
        <v>0</v>
      </c>
      <c r="AJ155" s="129">
        <f t="shared" si="94"/>
        <v>0</v>
      </c>
      <c r="AK155" s="129">
        <f t="shared" si="95"/>
        <v>0</v>
      </c>
      <c r="AL155" s="129">
        <f t="shared" si="96"/>
        <v>0</v>
      </c>
      <c r="AM155" s="129">
        <f t="shared" si="97"/>
        <v>0</v>
      </c>
      <c r="AN155" s="127">
        <f t="shared" si="98"/>
        <v>0</v>
      </c>
      <c r="AO155" s="127">
        <f t="shared" si="99"/>
        <v>0</v>
      </c>
      <c r="AP155" s="127">
        <f t="shared" si="100"/>
        <v>0</v>
      </c>
      <c r="AQ155" s="127">
        <f t="shared" si="101"/>
        <v>0</v>
      </c>
      <c r="AR155" s="127">
        <f t="shared" si="102"/>
        <v>0</v>
      </c>
      <c r="AS155" s="127">
        <f t="shared" si="103"/>
        <v>0</v>
      </c>
      <c r="AT155" s="127">
        <f t="shared" si="104"/>
        <v>0</v>
      </c>
      <c r="AU155" s="127">
        <f t="shared" si="105"/>
        <v>0</v>
      </c>
      <c r="AV155" s="127">
        <f t="shared" si="106"/>
        <v>0</v>
      </c>
    </row>
    <row r="156" spans="1:48" x14ac:dyDescent="0.15">
      <c r="A156" s="29" t="s">
        <v>149</v>
      </c>
      <c r="B156" s="30">
        <f>IF(Data!D151=1, MAX(Data!AA151, Inputs!$E$25) + INDEX(Inputs!$D$38:$D$42, MATCH( Data!AD151, Inputs!$B$38:$B$42, 0), 0), MAX(Data!AA151, Inputs!$E$26) +  INDEX(Inputs!$D$38:$D$42, MATCH( Data!AD151, Inputs!$B$38:$B$42, 0), 0))</f>
        <v>0.01</v>
      </c>
      <c r="C156" s="141">
        <f>(100*Data!R151)</f>
        <v>0</v>
      </c>
      <c r="D156" s="141">
        <f>ROUND(Data!Q151*C156, 0)</f>
        <v>0</v>
      </c>
      <c r="E156" s="141">
        <f>(100*Data!T151)</f>
        <v>0</v>
      </c>
      <c r="F156" s="141">
        <f>E156*Data!S151</f>
        <v>0</v>
      </c>
      <c r="G156" s="142">
        <f>ROUND(Inputs!$E$21*Data!W151*B156, 0)</f>
        <v>244505</v>
      </c>
      <c r="H156" s="143">
        <f>IF(G156=0, 0,IF(Inputs!$E$30="Yes", IF(Data!D151=1, MAX(Outputs!D156+Outputs!F156+Outputs!G156, Data!AE151), Outputs!D156+Outputs!F156+Outputs!G156), Outputs!D156+Outputs!F156+Outputs!G156))</f>
        <v>244505</v>
      </c>
      <c r="I156" s="143">
        <f>INDEX('FY 22 OFA Shell'!$AQ$27:$AQ$195,MATCH(Outputs!A156,'FY 22 OFA Shell'!$I$27:$I$195,0))</f>
        <v>244505</v>
      </c>
      <c r="J156" s="129">
        <f>H156-Data!AT151</f>
        <v>-828506</v>
      </c>
      <c r="K156" s="127">
        <f>((H156)/(Data!AT151)) - 1</f>
        <v>-0.772131879356316</v>
      </c>
      <c r="L156" s="127">
        <f t="shared" si="88"/>
        <v>0</v>
      </c>
      <c r="M156" s="143">
        <f>(IF(Inputs!$E$30="Yes",INDEX(Data!AT:AT,MATCH(Outputs!A156,Data!A:A,0)),INDEX(Data!AS:AS,MATCH(Outputs!A156,Data!A:A,0))))</f>
        <v>1073011</v>
      </c>
      <c r="N156" s="143">
        <f>IF(Inputs!$E$30="Yes",INDEX(Data!BN:BN,MATCH(Outputs!$A156,Data!$A:$A,0)),INDEX(Data!BE:BE,MATCH(Outputs!$A156,Data!$A:$A,0)))</f>
        <v>1073011</v>
      </c>
      <c r="O156" s="143">
        <f>IF(Inputs!$E$30="Yes",INDEX(Data!BO:BO,MATCH(Outputs!$A156,Data!$A:$A,0)),INDEX(Data!BF:BF,MATCH(Outputs!$A156,Data!$A:$A,0)))</f>
        <v>956003.32180000003</v>
      </c>
      <c r="P156" s="143">
        <f>IF(Inputs!$E$30="Yes",INDEX(Data!BP:BP,MATCH(Outputs!$A156,Data!$A:$A,0)),INDEX(Data!BG:BG,MATCH(Outputs!$A156,Data!$A:$A,0)))</f>
        <v>838995.64360000007</v>
      </c>
      <c r="Q156" s="143">
        <f>IF(Inputs!$E$30="Yes",INDEX(Data!BQ:BQ,MATCH(Outputs!$A156,Data!$A:$A,0)),INDEX(Data!BH:BH,MATCH(Outputs!$A156,Data!$A:$A,0)))</f>
        <v>721987.9654000001</v>
      </c>
      <c r="R156" s="143">
        <f>IF(Inputs!$E$30="Yes",INDEX(Data!BR:BR,MATCH(Outputs!$A156,Data!$A:$A,0)),INDEX(Data!BI:BI,MATCH(Outputs!$A156,Data!$A:$A,0)))</f>
        <v>604980.28720000014</v>
      </c>
      <c r="S156" s="143">
        <f>IF(Inputs!$E$30="Yes",INDEX(Data!BS:BS,MATCH(Outputs!$A156,Data!$A:$A,0)),INDEX(Data!BJ:BJ,MATCH(Outputs!$A156,Data!$A:$A,0)))</f>
        <v>487972.60900000017</v>
      </c>
      <c r="T156" s="143">
        <f>IF(Inputs!$E$30="Yes",INDEX(Data!BT:BT,MATCH(Outputs!$A156,Data!$A:$A,0)),INDEX(Data!BK:BK,MATCH(Outputs!$A156,Data!$A:$A,0)))</f>
        <v>370964.93080000021</v>
      </c>
      <c r="U156" s="143">
        <f>IF(Inputs!$E$30="Yes",INDEX(Data!BU:BU,MATCH(Outputs!$A156,Data!$A:$A,0)),INDEX(Data!BL:BL,MATCH(Outputs!$A156,Data!$A:$A,0)))</f>
        <v>244505</v>
      </c>
      <c r="V156" s="143">
        <f>INDEX('FY 22 OFA Shell'!$AX$27:$AX$195,MATCH(Outputs!A156,'FY 22 OFA Shell'!$I$27:$I$195,0))</f>
        <v>1073011</v>
      </c>
      <c r="W156" s="143">
        <f>INDEX('FY 23 OFA Shell'!$AX$27:$AX$195,MATCH(Outputs!A156,'FY 23 OFA Shell'!$I$27:$I$195,0))</f>
        <v>1073011</v>
      </c>
      <c r="X156" s="143">
        <f>INDEX('FY 23 OFA Shell'!BK$27:BK$195,MATCH(Outputs!$A156,'FY 23 OFA Shell'!$I$27:$I$195,0))</f>
        <v>956003.32180000003</v>
      </c>
      <c r="Y156" s="143">
        <f>INDEX('FY 23 OFA Shell'!BL$27:BL$195,MATCH(Outputs!$A156,'FY 23 OFA Shell'!$I$27:$I$195,0))</f>
        <v>838995.64360000007</v>
      </c>
      <c r="Z156" s="143">
        <f>INDEX('FY 23 OFA Shell'!BM$27:BM$195,MATCH(Outputs!$A156,'FY 23 OFA Shell'!$I$27:$I$195,0))</f>
        <v>721987.9654000001</v>
      </c>
      <c r="AA156" s="143">
        <f>INDEX('FY 23 OFA Shell'!BN$27:BN$195,MATCH(Outputs!$A156,'FY 23 OFA Shell'!$I$27:$I$195,0))</f>
        <v>604980.28720000014</v>
      </c>
      <c r="AB156" s="143">
        <f>INDEX('FY 23 OFA Shell'!BO$27:BO$195,MATCH(Outputs!$A156,'FY 23 OFA Shell'!$I$27:$I$195,0))</f>
        <v>487972.60900000017</v>
      </c>
      <c r="AC156" s="143">
        <f>INDEX('FY 23 OFA Shell'!BP$27:BP$195,MATCH(Outputs!$A156,'FY 23 OFA Shell'!$I$27:$I$195,0))</f>
        <v>370964.93080000021</v>
      </c>
      <c r="AD156" s="143">
        <f>INDEX('FY 23 OFA Shell'!BQ$27:BQ$195,MATCH(Outputs!$A156,'FY 23 OFA Shell'!$I$27:$I$195,0))</f>
        <v>244505</v>
      </c>
      <c r="AE156" s="129">
        <f t="shared" si="89"/>
        <v>0</v>
      </c>
      <c r="AF156" s="129">
        <f t="shared" si="90"/>
        <v>0</v>
      </c>
      <c r="AG156" s="129">
        <f t="shared" si="91"/>
        <v>0</v>
      </c>
      <c r="AH156" s="129">
        <f t="shared" si="92"/>
        <v>0</v>
      </c>
      <c r="AI156" s="129">
        <f t="shared" si="93"/>
        <v>0</v>
      </c>
      <c r="AJ156" s="129">
        <f t="shared" si="94"/>
        <v>0</v>
      </c>
      <c r="AK156" s="129">
        <f t="shared" si="95"/>
        <v>0</v>
      </c>
      <c r="AL156" s="129">
        <f t="shared" si="96"/>
        <v>0</v>
      </c>
      <c r="AM156" s="129">
        <f t="shared" si="97"/>
        <v>0</v>
      </c>
      <c r="AN156" s="127">
        <f t="shared" si="98"/>
        <v>0</v>
      </c>
      <c r="AO156" s="127">
        <f t="shared" si="99"/>
        <v>0</v>
      </c>
      <c r="AP156" s="127">
        <f t="shared" si="100"/>
        <v>0</v>
      </c>
      <c r="AQ156" s="127">
        <f t="shared" si="101"/>
        <v>0</v>
      </c>
      <c r="AR156" s="127">
        <f t="shared" si="102"/>
        <v>0</v>
      </c>
      <c r="AS156" s="127">
        <f t="shared" si="103"/>
        <v>0</v>
      </c>
      <c r="AT156" s="127">
        <f t="shared" si="104"/>
        <v>0</v>
      </c>
      <c r="AU156" s="127">
        <f t="shared" si="105"/>
        <v>0</v>
      </c>
      <c r="AV156" s="127">
        <f t="shared" si="106"/>
        <v>0</v>
      </c>
    </row>
    <row r="157" spans="1:48" x14ac:dyDescent="0.15">
      <c r="A157" s="29" t="s">
        <v>150</v>
      </c>
      <c r="B157" s="30">
        <f>IF(Data!D152=1, MAX(Data!AA152, Inputs!$E$25) + INDEX(Inputs!$D$38:$D$42, MATCH( Data!AD152, Inputs!$B$38:$B$42, 0), 0), MAX(Data!AA152, Inputs!$E$26) +  INDEX(Inputs!$D$38:$D$42, MATCH( Data!AD152, Inputs!$B$38:$B$42, 0), 0))</f>
        <v>0.33648600000000001</v>
      </c>
      <c r="C157" s="141">
        <f>(100*Data!R152)</f>
        <v>0</v>
      </c>
      <c r="D157" s="141">
        <f>ROUND(Data!Q152*C157, 0)</f>
        <v>0</v>
      </c>
      <c r="E157" s="141">
        <f>(100*Data!T152)</f>
        <v>0</v>
      </c>
      <c r="F157" s="141">
        <f>E157*Data!S152</f>
        <v>0</v>
      </c>
      <c r="G157" s="142">
        <f>ROUND(Inputs!$E$21*Data!W152*B157, 0)</f>
        <v>31139341</v>
      </c>
      <c r="H157" s="143">
        <f>IF(G157=0, 0,IF(Inputs!$E$30="Yes", IF(Data!D152=1, MAX(Outputs!D157+Outputs!F157+Outputs!G157, Data!AE152), Outputs!D157+Outputs!F157+Outputs!G157), Outputs!D157+Outputs!F157+Outputs!G157))</f>
        <v>31139341</v>
      </c>
      <c r="I157" s="143">
        <f>INDEX('FY 22 OFA Shell'!$AQ$27:$AQ$195,MATCH(Outputs!A157,'FY 22 OFA Shell'!$I$27:$I$195,0))</f>
        <v>31139341</v>
      </c>
      <c r="J157" s="129">
        <f>H157-Data!AT152</f>
        <v>5991376.2105999999</v>
      </c>
      <c r="K157" s="127">
        <f>((H157)/(Data!AT152)) - 1</f>
        <v>0.23824497372946052</v>
      </c>
      <c r="L157" s="127">
        <f t="shared" si="88"/>
        <v>0</v>
      </c>
      <c r="M157" s="143">
        <f>(IF(Inputs!$E$30="Yes",INDEX(Data!AT:AT,MATCH(Outputs!A157,Data!A:A,0)),INDEX(Data!AS:AS,MATCH(Outputs!A157,Data!A:A,0))))</f>
        <v>25147964.7894</v>
      </c>
      <c r="N157" s="143">
        <f>IF(Inputs!$E$30="Yes",INDEX(Data!BN:BN,MATCH(Outputs!$A157,Data!$A:$A,0)),INDEX(Data!BE:BE,MATCH(Outputs!$A157,Data!$A:$A,0)))</f>
        <v>26179592.5788</v>
      </c>
      <c r="O157" s="143">
        <f>IF(Inputs!$E$30="Yes",INDEX(Data!BO:BO,MATCH(Outputs!$A157,Data!$A:$A,0)),INDEX(Data!BF:BF,MATCH(Outputs!$A157,Data!$A:$A,0)))</f>
        <v>27211220.3682</v>
      </c>
      <c r="P157" s="143">
        <f>IF(Inputs!$E$30="Yes",INDEX(Data!BP:BP,MATCH(Outputs!$A157,Data!$A:$A,0)),INDEX(Data!BG:BG,MATCH(Outputs!$A157,Data!$A:$A,0)))</f>
        <v>28242848.157600001</v>
      </c>
      <c r="Q157" s="143">
        <f>IF(Inputs!$E$30="Yes",INDEX(Data!BQ:BQ,MATCH(Outputs!$A157,Data!$A:$A,0)),INDEX(Data!BH:BH,MATCH(Outputs!$A157,Data!$A:$A,0)))</f>
        <v>29274475.947000001</v>
      </c>
      <c r="R157" s="143">
        <f>IF(Inputs!$E$30="Yes",INDEX(Data!BR:BR,MATCH(Outputs!$A157,Data!$A:$A,0)),INDEX(Data!BI:BI,MATCH(Outputs!$A157,Data!$A:$A,0)))</f>
        <v>30306103.736400001</v>
      </c>
      <c r="S157" s="143">
        <f>IF(Inputs!$E$30="Yes",INDEX(Data!BS:BS,MATCH(Outputs!$A157,Data!$A:$A,0)),INDEX(Data!BJ:BJ,MATCH(Outputs!$A157,Data!$A:$A,0)))</f>
        <v>31139341</v>
      </c>
      <c r="T157" s="143">
        <f>IF(Inputs!$E$30="Yes",INDEX(Data!BT:BT,MATCH(Outputs!$A157,Data!$A:$A,0)),INDEX(Data!BK:BK,MATCH(Outputs!$A157,Data!$A:$A,0)))</f>
        <v>31139341</v>
      </c>
      <c r="U157" s="143">
        <f>IF(Inputs!$E$30="Yes",INDEX(Data!BU:BU,MATCH(Outputs!$A157,Data!$A:$A,0)),INDEX(Data!BL:BL,MATCH(Outputs!$A157,Data!$A:$A,0)))</f>
        <v>31139341</v>
      </c>
      <c r="V157" s="143">
        <f>INDEX('FY 22 OFA Shell'!$AX$27:$AX$195,MATCH(Outputs!A157,'FY 22 OFA Shell'!$I$27:$I$195,0))</f>
        <v>25147964.7894</v>
      </c>
      <c r="W157" s="143">
        <f>INDEX('FY 23 OFA Shell'!$AX$27:$AX$195,MATCH(Outputs!A157,'FY 23 OFA Shell'!$I$27:$I$195,0))</f>
        <v>26179592.5788</v>
      </c>
      <c r="X157" s="143">
        <f>INDEX('FY 23 OFA Shell'!BK$27:BK$195,MATCH(Outputs!$A157,'FY 23 OFA Shell'!$I$27:$I$195,0))</f>
        <v>27211220.3682</v>
      </c>
      <c r="Y157" s="143">
        <f>INDEX('FY 23 OFA Shell'!BL$27:BL$195,MATCH(Outputs!$A157,'FY 23 OFA Shell'!$I$27:$I$195,0))</f>
        <v>28242848.157600001</v>
      </c>
      <c r="Z157" s="143">
        <f>INDEX('FY 23 OFA Shell'!BM$27:BM$195,MATCH(Outputs!$A157,'FY 23 OFA Shell'!$I$27:$I$195,0))</f>
        <v>29274475.947000001</v>
      </c>
      <c r="AA157" s="143">
        <f>INDEX('FY 23 OFA Shell'!BN$27:BN$195,MATCH(Outputs!$A157,'FY 23 OFA Shell'!$I$27:$I$195,0))</f>
        <v>30306103.736400001</v>
      </c>
      <c r="AB157" s="143">
        <f>INDEX('FY 23 OFA Shell'!BO$27:BO$195,MATCH(Outputs!$A157,'FY 23 OFA Shell'!$I$27:$I$195,0))</f>
        <v>31139341</v>
      </c>
      <c r="AC157" s="143">
        <f>INDEX('FY 23 OFA Shell'!BP$27:BP$195,MATCH(Outputs!$A157,'FY 23 OFA Shell'!$I$27:$I$195,0))</f>
        <v>31139341</v>
      </c>
      <c r="AD157" s="143">
        <f>INDEX('FY 23 OFA Shell'!BQ$27:BQ$195,MATCH(Outputs!$A157,'FY 23 OFA Shell'!$I$27:$I$195,0))</f>
        <v>31139341</v>
      </c>
      <c r="AE157" s="129">
        <f t="shared" si="89"/>
        <v>0</v>
      </c>
      <c r="AF157" s="129">
        <f t="shared" si="90"/>
        <v>0</v>
      </c>
      <c r="AG157" s="129">
        <f t="shared" si="91"/>
        <v>0</v>
      </c>
      <c r="AH157" s="129">
        <f t="shared" si="92"/>
        <v>0</v>
      </c>
      <c r="AI157" s="129">
        <f t="shared" si="93"/>
        <v>0</v>
      </c>
      <c r="AJ157" s="129">
        <f t="shared" si="94"/>
        <v>0</v>
      </c>
      <c r="AK157" s="129">
        <f t="shared" si="95"/>
        <v>0</v>
      </c>
      <c r="AL157" s="129">
        <f t="shared" si="96"/>
        <v>0</v>
      </c>
      <c r="AM157" s="129">
        <f t="shared" si="97"/>
        <v>0</v>
      </c>
      <c r="AN157" s="127">
        <f t="shared" si="98"/>
        <v>0</v>
      </c>
      <c r="AO157" s="127">
        <f t="shared" si="99"/>
        <v>0</v>
      </c>
      <c r="AP157" s="127">
        <f t="shared" si="100"/>
        <v>0</v>
      </c>
      <c r="AQ157" s="127">
        <f t="shared" si="101"/>
        <v>0</v>
      </c>
      <c r="AR157" s="127">
        <f t="shared" si="102"/>
        <v>0</v>
      </c>
      <c r="AS157" s="127">
        <f t="shared" si="103"/>
        <v>0</v>
      </c>
      <c r="AT157" s="127">
        <f t="shared" si="104"/>
        <v>0</v>
      </c>
      <c r="AU157" s="127">
        <f t="shared" si="105"/>
        <v>0</v>
      </c>
      <c r="AV157" s="127">
        <f t="shared" si="106"/>
        <v>0</v>
      </c>
    </row>
    <row r="158" spans="1:48" x14ac:dyDescent="0.15">
      <c r="A158" s="29" t="s">
        <v>151</v>
      </c>
      <c r="B158" s="30">
        <f>IF(Data!D153=1, MAX(Data!AA153, Inputs!$E$25) + INDEX(Inputs!$D$38:$D$42, MATCH( Data!AD153, Inputs!$B$38:$B$42, 0), 0), MAX(Data!AA153, Inputs!$E$26) +  INDEX(Inputs!$D$38:$D$42, MATCH( Data!AD153, Inputs!$B$38:$B$42, 0), 0))</f>
        <v>0.23827000000000001</v>
      </c>
      <c r="C158" s="141">
        <f>(100*Data!R153)</f>
        <v>0</v>
      </c>
      <c r="D158" s="141">
        <f>ROUND(Data!Q153*C158, 0)</f>
        <v>0</v>
      </c>
      <c r="E158" s="141">
        <f>(100*Data!T153)</f>
        <v>0</v>
      </c>
      <c r="F158" s="141">
        <f>E158*Data!S153</f>
        <v>0</v>
      </c>
      <c r="G158" s="142">
        <f>ROUND(Inputs!$E$21*Data!W153*B158, 0)</f>
        <v>5752285</v>
      </c>
      <c r="H158" s="143">
        <f>IF(G158=0, 0,IF(Inputs!$E$30="Yes", IF(Data!D153=1, MAX(Outputs!D158+Outputs!F158+Outputs!G158, Data!AE153), Outputs!D158+Outputs!F158+Outputs!G158), Outputs!D158+Outputs!F158+Outputs!G158))</f>
        <v>5752285</v>
      </c>
      <c r="I158" s="143">
        <f>INDEX('FY 22 OFA Shell'!$AQ$27:$AQ$195,MATCH(Outputs!A158,'FY 22 OFA Shell'!$I$27:$I$195,0))</f>
        <v>5752285</v>
      </c>
      <c r="J158" s="129">
        <f>H158-Data!AT153</f>
        <v>-395866</v>
      </c>
      <c r="K158" s="127">
        <f>((H158)/(Data!AT153)) - 1</f>
        <v>-6.4387813506857627E-2</v>
      </c>
      <c r="L158" s="127">
        <f t="shared" si="88"/>
        <v>0</v>
      </c>
      <c r="M158" s="143">
        <f>(IF(Inputs!$E$30="Yes",INDEX(Data!AT:AT,MATCH(Outputs!A158,Data!A:A,0)),INDEX(Data!AS:AS,MATCH(Outputs!A158,Data!A:A,0))))</f>
        <v>6148151</v>
      </c>
      <c r="N158" s="143">
        <f>IF(Inputs!$E$30="Yes",INDEX(Data!BN:BN,MATCH(Outputs!$A158,Data!$A:$A,0)),INDEX(Data!BE:BE,MATCH(Outputs!$A158,Data!$A:$A,0)))</f>
        <v>6148151</v>
      </c>
      <c r="O158" s="143">
        <f>IF(Inputs!$E$30="Yes",INDEX(Data!BO:BO,MATCH(Outputs!$A158,Data!$A:$A,0)),INDEX(Data!BF:BF,MATCH(Outputs!$A158,Data!$A:$A,0)))</f>
        <v>6109094.9620000003</v>
      </c>
      <c r="P158" s="143">
        <f>IF(Inputs!$E$30="Yes",INDEX(Data!BP:BP,MATCH(Outputs!$A158,Data!$A:$A,0)),INDEX(Data!BG:BG,MATCH(Outputs!$A158,Data!$A:$A,0)))</f>
        <v>6070038.9240000006</v>
      </c>
      <c r="Q158" s="143">
        <f>IF(Inputs!$E$30="Yes",INDEX(Data!BQ:BQ,MATCH(Outputs!$A158,Data!$A:$A,0)),INDEX(Data!BH:BH,MATCH(Outputs!$A158,Data!$A:$A,0)))</f>
        <v>6030982.8860000009</v>
      </c>
      <c r="R158" s="143">
        <f>IF(Inputs!$E$30="Yes",INDEX(Data!BR:BR,MATCH(Outputs!$A158,Data!$A:$A,0)),INDEX(Data!BI:BI,MATCH(Outputs!$A158,Data!$A:$A,0)))</f>
        <v>5991926.8480000012</v>
      </c>
      <c r="S158" s="143">
        <f>IF(Inputs!$E$30="Yes",INDEX(Data!BS:BS,MATCH(Outputs!$A158,Data!$A:$A,0)),INDEX(Data!BJ:BJ,MATCH(Outputs!$A158,Data!$A:$A,0)))</f>
        <v>5952870.8100000015</v>
      </c>
      <c r="T158" s="143">
        <f>IF(Inputs!$E$30="Yes",INDEX(Data!BT:BT,MATCH(Outputs!$A158,Data!$A:$A,0)),INDEX(Data!BK:BK,MATCH(Outputs!$A158,Data!$A:$A,0)))</f>
        <v>5913814.7720000017</v>
      </c>
      <c r="U158" s="143">
        <f>IF(Inputs!$E$30="Yes",INDEX(Data!BU:BU,MATCH(Outputs!$A158,Data!$A:$A,0)),INDEX(Data!BL:BL,MATCH(Outputs!$A158,Data!$A:$A,0)))</f>
        <v>5752285</v>
      </c>
      <c r="V158" s="143">
        <f>INDEX('FY 22 OFA Shell'!$AX$27:$AX$195,MATCH(Outputs!A158,'FY 22 OFA Shell'!$I$27:$I$195,0))</f>
        <v>6148151</v>
      </c>
      <c r="W158" s="143">
        <f>INDEX('FY 23 OFA Shell'!$AX$27:$AX$195,MATCH(Outputs!A158,'FY 23 OFA Shell'!$I$27:$I$195,0))</f>
        <v>6148151</v>
      </c>
      <c r="X158" s="143">
        <f>INDEX('FY 23 OFA Shell'!BK$27:BK$195,MATCH(Outputs!$A158,'FY 23 OFA Shell'!$I$27:$I$195,0))</f>
        <v>6109094.9620000003</v>
      </c>
      <c r="Y158" s="143">
        <f>INDEX('FY 23 OFA Shell'!BL$27:BL$195,MATCH(Outputs!$A158,'FY 23 OFA Shell'!$I$27:$I$195,0))</f>
        <v>6070038.9240000006</v>
      </c>
      <c r="Z158" s="143">
        <f>INDEX('FY 23 OFA Shell'!BM$27:BM$195,MATCH(Outputs!$A158,'FY 23 OFA Shell'!$I$27:$I$195,0))</f>
        <v>6030982.8860000009</v>
      </c>
      <c r="AA158" s="143">
        <f>INDEX('FY 23 OFA Shell'!BN$27:BN$195,MATCH(Outputs!$A158,'FY 23 OFA Shell'!$I$27:$I$195,0))</f>
        <v>5991926.8480000012</v>
      </c>
      <c r="AB158" s="143">
        <f>INDEX('FY 23 OFA Shell'!BO$27:BO$195,MATCH(Outputs!$A158,'FY 23 OFA Shell'!$I$27:$I$195,0))</f>
        <v>5952870.8100000015</v>
      </c>
      <c r="AC158" s="143">
        <f>INDEX('FY 23 OFA Shell'!BP$27:BP$195,MATCH(Outputs!$A158,'FY 23 OFA Shell'!$I$27:$I$195,0))</f>
        <v>5913814.7720000017</v>
      </c>
      <c r="AD158" s="143">
        <f>INDEX('FY 23 OFA Shell'!BQ$27:BQ$195,MATCH(Outputs!$A158,'FY 23 OFA Shell'!$I$27:$I$195,0))</f>
        <v>5752285</v>
      </c>
      <c r="AE158" s="129">
        <f t="shared" si="89"/>
        <v>0</v>
      </c>
      <c r="AF158" s="129">
        <f t="shared" si="90"/>
        <v>0</v>
      </c>
      <c r="AG158" s="129">
        <f t="shared" si="91"/>
        <v>0</v>
      </c>
      <c r="AH158" s="129">
        <f t="shared" si="92"/>
        <v>0</v>
      </c>
      <c r="AI158" s="129">
        <f t="shared" si="93"/>
        <v>0</v>
      </c>
      <c r="AJ158" s="129">
        <f t="shared" si="94"/>
        <v>0</v>
      </c>
      <c r="AK158" s="129">
        <f t="shared" si="95"/>
        <v>0</v>
      </c>
      <c r="AL158" s="129">
        <f t="shared" si="96"/>
        <v>0</v>
      </c>
      <c r="AM158" s="129">
        <f t="shared" si="97"/>
        <v>0</v>
      </c>
      <c r="AN158" s="127">
        <f t="shared" si="98"/>
        <v>0</v>
      </c>
      <c r="AO158" s="127">
        <f t="shared" si="99"/>
        <v>0</v>
      </c>
      <c r="AP158" s="127">
        <f t="shared" si="100"/>
        <v>0</v>
      </c>
      <c r="AQ158" s="127">
        <f t="shared" si="101"/>
        <v>0</v>
      </c>
      <c r="AR158" s="127">
        <f t="shared" si="102"/>
        <v>0</v>
      </c>
      <c r="AS158" s="127">
        <f t="shared" si="103"/>
        <v>0</v>
      </c>
      <c r="AT158" s="127">
        <f t="shared" si="104"/>
        <v>0</v>
      </c>
      <c r="AU158" s="127">
        <f t="shared" si="105"/>
        <v>0</v>
      </c>
      <c r="AV158" s="127">
        <f t="shared" si="106"/>
        <v>0</v>
      </c>
    </row>
    <row r="159" spans="1:48" x14ac:dyDescent="0.15">
      <c r="A159" s="29" t="s">
        <v>152</v>
      </c>
      <c r="B159" s="30">
        <f>IF(Data!D154=1, MAX(Data!AA154, Inputs!$E$25) + INDEX(Inputs!$D$38:$D$42, MATCH( Data!AD154, Inputs!$B$38:$B$42, 0), 0), MAX(Data!AA154, Inputs!$E$26) +  INDEX(Inputs!$D$38:$D$42, MATCH( Data!AD154, Inputs!$B$38:$B$42, 0), 0))</f>
        <v>0.44744</v>
      </c>
      <c r="C159" s="141">
        <f>(100*Data!R154)</f>
        <v>0</v>
      </c>
      <c r="D159" s="141">
        <f>ROUND(Data!Q154*C159, 0)</f>
        <v>0</v>
      </c>
      <c r="E159" s="141">
        <f>(100*Data!T154)</f>
        <v>0</v>
      </c>
      <c r="F159" s="141">
        <f>E159*Data!S154</f>
        <v>0</v>
      </c>
      <c r="G159" s="142">
        <f>ROUND(Inputs!$E$21*Data!W154*B159, 0)</f>
        <v>5387562</v>
      </c>
      <c r="H159" s="143">
        <f>IF(G159=0, 0,IF(Inputs!$E$30="Yes", IF(Data!D154=1, MAX(Outputs!D159+Outputs!F159+Outputs!G159, Data!AE154), Outputs!D159+Outputs!F159+Outputs!G159), Outputs!D159+Outputs!F159+Outputs!G159))</f>
        <v>5387562</v>
      </c>
      <c r="I159" s="143">
        <f>INDEX('FY 22 OFA Shell'!$AQ$27:$AQ$195,MATCH(Outputs!A159,'FY 22 OFA Shell'!$I$27:$I$195,0))</f>
        <v>5387562</v>
      </c>
      <c r="J159" s="129">
        <f>H159-Data!AT154</f>
        <v>-93664</v>
      </c>
      <c r="K159" s="127">
        <f>((H159)/(Data!AT154)) - 1</f>
        <v>-1.7088147797591269E-2</v>
      </c>
      <c r="L159" s="127">
        <f t="shared" si="88"/>
        <v>0</v>
      </c>
      <c r="M159" s="143">
        <f>(IF(Inputs!$E$30="Yes",INDEX(Data!AT:AT,MATCH(Outputs!A159,Data!A:A,0)),INDEX(Data!AS:AS,MATCH(Outputs!A159,Data!A:A,0))))</f>
        <v>5481226</v>
      </c>
      <c r="N159" s="143">
        <f>IF(Inputs!$E$30="Yes",INDEX(Data!BN:BN,MATCH(Outputs!$A159,Data!$A:$A,0)),INDEX(Data!BE:BE,MATCH(Outputs!$A159,Data!$A:$A,0)))</f>
        <v>5481226</v>
      </c>
      <c r="O159" s="143">
        <f>IF(Inputs!$E$30="Yes",INDEX(Data!BO:BO,MATCH(Outputs!$A159,Data!$A:$A,0)),INDEX(Data!BF:BF,MATCH(Outputs!$A159,Data!$A:$A,0)))</f>
        <v>5461462.8251</v>
      </c>
      <c r="P159" s="143">
        <f>IF(Inputs!$E$30="Yes",INDEX(Data!BP:BP,MATCH(Outputs!$A159,Data!$A:$A,0)),INDEX(Data!BG:BG,MATCH(Outputs!$A159,Data!$A:$A,0)))</f>
        <v>5441699.6502</v>
      </c>
      <c r="Q159" s="143">
        <f>IF(Inputs!$E$30="Yes",INDEX(Data!BQ:BQ,MATCH(Outputs!$A159,Data!$A:$A,0)),INDEX(Data!BH:BH,MATCH(Outputs!$A159,Data!$A:$A,0)))</f>
        <v>5421936.4753</v>
      </c>
      <c r="R159" s="143">
        <f>IF(Inputs!$E$30="Yes",INDEX(Data!BR:BR,MATCH(Outputs!$A159,Data!$A:$A,0)),INDEX(Data!BI:BI,MATCH(Outputs!$A159,Data!$A:$A,0)))</f>
        <v>5402173.3004000001</v>
      </c>
      <c r="S159" s="143">
        <f>IF(Inputs!$E$30="Yes",INDEX(Data!BS:BS,MATCH(Outputs!$A159,Data!$A:$A,0)),INDEX(Data!BJ:BJ,MATCH(Outputs!$A159,Data!$A:$A,0)))</f>
        <v>5382410.1255000001</v>
      </c>
      <c r="T159" s="143">
        <f>IF(Inputs!$E$30="Yes",INDEX(Data!BT:BT,MATCH(Outputs!$A159,Data!$A:$A,0)),INDEX(Data!BK:BK,MATCH(Outputs!$A159,Data!$A:$A,0)))</f>
        <v>5362646.9506000001</v>
      </c>
      <c r="U159" s="143">
        <f>IF(Inputs!$E$30="Yes",INDEX(Data!BU:BU,MATCH(Outputs!$A159,Data!$A:$A,0)),INDEX(Data!BL:BL,MATCH(Outputs!$A159,Data!$A:$A,0)))</f>
        <v>5387562</v>
      </c>
      <c r="V159" s="143">
        <f>INDEX('FY 22 OFA Shell'!$AX$27:$AX$195,MATCH(Outputs!A159,'FY 22 OFA Shell'!$I$27:$I$195,0))</f>
        <v>5481226</v>
      </c>
      <c r="W159" s="143">
        <f>INDEX('FY 23 OFA Shell'!$AX$27:$AX$195,MATCH(Outputs!A159,'FY 23 OFA Shell'!$I$27:$I$195,0))</f>
        <v>5481226</v>
      </c>
      <c r="X159" s="143">
        <f>INDEX('FY 23 OFA Shell'!BK$27:BK$195,MATCH(Outputs!$A159,'FY 23 OFA Shell'!$I$27:$I$195,0))</f>
        <v>5461462.8251</v>
      </c>
      <c r="Y159" s="143">
        <f>INDEX('FY 23 OFA Shell'!BL$27:BL$195,MATCH(Outputs!$A159,'FY 23 OFA Shell'!$I$27:$I$195,0))</f>
        <v>5441699.6502</v>
      </c>
      <c r="Z159" s="143">
        <f>INDEX('FY 23 OFA Shell'!BM$27:BM$195,MATCH(Outputs!$A159,'FY 23 OFA Shell'!$I$27:$I$195,0))</f>
        <v>5421936.4753</v>
      </c>
      <c r="AA159" s="143">
        <f>INDEX('FY 23 OFA Shell'!BN$27:BN$195,MATCH(Outputs!$A159,'FY 23 OFA Shell'!$I$27:$I$195,0))</f>
        <v>5402173.3004000001</v>
      </c>
      <c r="AB159" s="143">
        <f>INDEX('FY 23 OFA Shell'!BO$27:BO$195,MATCH(Outputs!$A159,'FY 23 OFA Shell'!$I$27:$I$195,0))</f>
        <v>5382410.1255000001</v>
      </c>
      <c r="AC159" s="143">
        <f>INDEX('FY 23 OFA Shell'!BP$27:BP$195,MATCH(Outputs!$A159,'FY 23 OFA Shell'!$I$27:$I$195,0))</f>
        <v>5362646.9506000001</v>
      </c>
      <c r="AD159" s="143">
        <f>INDEX('FY 23 OFA Shell'!BQ$27:BQ$195,MATCH(Outputs!$A159,'FY 23 OFA Shell'!$I$27:$I$195,0))</f>
        <v>5387562</v>
      </c>
      <c r="AE159" s="129">
        <f t="shared" si="89"/>
        <v>0</v>
      </c>
      <c r="AF159" s="129">
        <f t="shared" si="90"/>
        <v>0</v>
      </c>
      <c r="AG159" s="129">
        <f t="shared" si="91"/>
        <v>0</v>
      </c>
      <c r="AH159" s="129">
        <f t="shared" si="92"/>
        <v>0</v>
      </c>
      <c r="AI159" s="129">
        <f t="shared" si="93"/>
        <v>0</v>
      </c>
      <c r="AJ159" s="129">
        <f t="shared" si="94"/>
        <v>0</v>
      </c>
      <c r="AK159" s="129">
        <f t="shared" si="95"/>
        <v>0</v>
      </c>
      <c r="AL159" s="129">
        <f t="shared" si="96"/>
        <v>0</v>
      </c>
      <c r="AM159" s="129">
        <f t="shared" si="97"/>
        <v>0</v>
      </c>
      <c r="AN159" s="127">
        <f t="shared" si="98"/>
        <v>0</v>
      </c>
      <c r="AO159" s="127">
        <f t="shared" si="99"/>
        <v>0</v>
      </c>
      <c r="AP159" s="127">
        <f t="shared" si="100"/>
        <v>0</v>
      </c>
      <c r="AQ159" s="127">
        <f t="shared" si="101"/>
        <v>0</v>
      </c>
      <c r="AR159" s="127">
        <f t="shared" si="102"/>
        <v>0</v>
      </c>
      <c r="AS159" s="127">
        <f t="shared" si="103"/>
        <v>0</v>
      </c>
      <c r="AT159" s="127">
        <f t="shared" si="104"/>
        <v>0</v>
      </c>
      <c r="AU159" s="127">
        <f t="shared" si="105"/>
        <v>0</v>
      </c>
      <c r="AV159" s="127">
        <f t="shared" si="106"/>
        <v>0</v>
      </c>
    </row>
    <row r="160" spans="1:48" x14ac:dyDescent="0.15">
      <c r="A160" s="29" t="s">
        <v>153</v>
      </c>
      <c r="B160" s="30">
        <f>IF(Data!D155=1, MAX(Data!AA155, Inputs!$E$25) + INDEX(Inputs!$D$38:$D$42, MATCH( Data!AD155, Inputs!$B$38:$B$42, 0), 0), MAX(Data!AA155, Inputs!$E$26) +  INDEX(Inputs!$D$38:$D$42, MATCH( Data!AD155, Inputs!$B$38:$B$42, 0), 0))</f>
        <v>0.39975100000000002</v>
      </c>
      <c r="C160" s="141">
        <f>(100*Data!R155)</f>
        <v>0</v>
      </c>
      <c r="D160" s="141">
        <f>ROUND(Data!Q155*C160, 0)</f>
        <v>0</v>
      </c>
      <c r="E160" s="141">
        <f>(100*Data!T155)</f>
        <v>0</v>
      </c>
      <c r="F160" s="141">
        <f>E160*Data!S155</f>
        <v>0</v>
      </c>
      <c r="G160" s="142">
        <f>ROUND(Inputs!$E$21*Data!W155*B160, 0)</f>
        <v>5204767</v>
      </c>
      <c r="H160" s="143">
        <f>IF(G160=0, 0,IF(Inputs!$E$30="Yes", IF(Data!D155=1, MAX(Outputs!D160+Outputs!F160+Outputs!G160, Data!AE155), Outputs!D160+Outputs!F160+Outputs!G160), Outputs!D160+Outputs!F160+Outputs!G160))</f>
        <v>7534704</v>
      </c>
      <c r="I160" s="143">
        <f>INDEX('FY 22 OFA Shell'!$AQ$27:$AQ$195,MATCH(Outputs!A160,'FY 22 OFA Shell'!$I$27:$I$195,0))</f>
        <v>7534704</v>
      </c>
      <c r="J160" s="129">
        <f>H160-Data!AT155</f>
        <v>0</v>
      </c>
      <c r="K160" s="127">
        <f>((H160)/(Data!AT155)) - 1</f>
        <v>0</v>
      </c>
      <c r="L160" s="127">
        <f t="shared" si="88"/>
        <v>0</v>
      </c>
      <c r="M160" s="143">
        <f>(IF(Inputs!$E$30="Yes",INDEX(Data!AT:AT,MATCH(Outputs!A160,Data!A:A,0)),INDEX(Data!AS:AS,MATCH(Outputs!A160,Data!A:A,0))))</f>
        <v>7534704</v>
      </c>
      <c r="N160" s="143">
        <f>IF(Inputs!$E$30="Yes",INDEX(Data!BN:BN,MATCH(Outputs!$A160,Data!$A:$A,0)),INDEX(Data!BE:BE,MATCH(Outputs!$A160,Data!$A:$A,0)))</f>
        <v>7534704</v>
      </c>
      <c r="O160" s="143">
        <f>IF(Inputs!$E$30="Yes",INDEX(Data!BO:BO,MATCH(Outputs!$A160,Data!$A:$A,0)),INDEX(Data!BF:BF,MATCH(Outputs!$A160,Data!$A:$A,0)))</f>
        <v>7534704</v>
      </c>
      <c r="P160" s="143">
        <f>IF(Inputs!$E$30="Yes",INDEX(Data!BP:BP,MATCH(Outputs!$A160,Data!$A:$A,0)),INDEX(Data!BG:BG,MATCH(Outputs!$A160,Data!$A:$A,0)))</f>
        <v>7534704</v>
      </c>
      <c r="Q160" s="143">
        <f>IF(Inputs!$E$30="Yes",INDEX(Data!BQ:BQ,MATCH(Outputs!$A160,Data!$A:$A,0)),INDEX(Data!BH:BH,MATCH(Outputs!$A160,Data!$A:$A,0)))</f>
        <v>7534704</v>
      </c>
      <c r="R160" s="143">
        <f>IF(Inputs!$E$30="Yes",INDEX(Data!BR:BR,MATCH(Outputs!$A160,Data!$A:$A,0)),INDEX(Data!BI:BI,MATCH(Outputs!$A160,Data!$A:$A,0)))</f>
        <v>7534704</v>
      </c>
      <c r="S160" s="143">
        <f>IF(Inputs!$E$30="Yes",INDEX(Data!BS:BS,MATCH(Outputs!$A160,Data!$A:$A,0)),INDEX(Data!BJ:BJ,MATCH(Outputs!$A160,Data!$A:$A,0)))</f>
        <v>7534704</v>
      </c>
      <c r="T160" s="143">
        <f>IF(Inputs!$E$30="Yes",INDEX(Data!BT:BT,MATCH(Outputs!$A160,Data!$A:$A,0)),INDEX(Data!BK:BK,MATCH(Outputs!$A160,Data!$A:$A,0)))</f>
        <v>7534704</v>
      </c>
      <c r="U160" s="143">
        <f>IF(Inputs!$E$30="Yes",INDEX(Data!BU:BU,MATCH(Outputs!$A160,Data!$A:$A,0)),INDEX(Data!BL:BL,MATCH(Outputs!$A160,Data!$A:$A,0)))</f>
        <v>7534704</v>
      </c>
      <c r="V160" s="143">
        <f>INDEX('FY 22 OFA Shell'!$AX$27:$AX$195,MATCH(Outputs!A160,'FY 22 OFA Shell'!$I$27:$I$195,0))</f>
        <v>7534704</v>
      </c>
      <c r="W160" s="143">
        <f>INDEX('FY 23 OFA Shell'!$AX$27:$AX$195,MATCH(Outputs!A160,'FY 23 OFA Shell'!$I$27:$I$195,0))</f>
        <v>7534704</v>
      </c>
      <c r="X160" s="143">
        <f>INDEX('FY 23 OFA Shell'!BK$27:BK$195,MATCH(Outputs!$A160,'FY 23 OFA Shell'!$I$27:$I$195,0))</f>
        <v>7534704</v>
      </c>
      <c r="Y160" s="143">
        <f>INDEX('FY 23 OFA Shell'!BL$27:BL$195,MATCH(Outputs!$A160,'FY 23 OFA Shell'!$I$27:$I$195,0))</f>
        <v>7534704</v>
      </c>
      <c r="Z160" s="143">
        <f>INDEX('FY 23 OFA Shell'!BM$27:BM$195,MATCH(Outputs!$A160,'FY 23 OFA Shell'!$I$27:$I$195,0))</f>
        <v>7534704</v>
      </c>
      <c r="AA160" s="143">
        <f>INDEX('FY 23 OFA Shell'!BN$27:BN$195,MATCH(Outputs!$A160,'FY 23 OFA Shell'!$I$27:$I$195,0))</f>
        <v>7534704</v>
      </c>
      <c r="AB160" s="143">
        <f>INDEX('FY 23 OFA Shell'!BO$27:BO$195,MATCH(Outputs!$A160,'FY 23 OFA Shell'!$I$27:$I$195,0))</f>
        <v>7534704</v>
      </c>
      <c r="AC160" s="143">
        <f>INDEX('FY 23 OFA Shell'!BP$27:BP$195,MATCH(Outputs!$A160,'FY 23 OFA Shell'!$I$27:$I$195,0))</f>
        <v>7534704</v>
      </c>
      <c r="AD160" s="143">
        <f>INDEX('FY 23 OFA Shell'!BQ$27:BQ$195,MATCH(Outputs!$A160,'FY 23 OFA Shell'!$I$27:$I$195,0))</f>
        <v>7534704</v>
      </c>
      <c r="AE160" s="129">
        <f t="shared" si="89"/>
        <v>0</v>
      </c>
      <c r="AF160" s="129">
        <f t="shared" si="90"/>
        <v>0</v>
      </c>
      <c r="AG160" s="129">
        <f t="shared" si="91"/>
        <v>0</v>
      </c>
      <c r="AH160" s="129">
        <f t="shared" si="92"/>
        <v>0</v>
      </c>
      <c r="AI160" s="129">
        <f t="shared" si="93"/>
        <v>0</v>
      </c>
      <c r="AJ160" s="129">
        <f t="shared" si="94"/>
        <v>0</v>
      </c>
      <c r="AK160" s="129">
        <f t="shared" si="95"/>
        <v>0</v>
      </c>
      <c r="AL160" s="129">
        <f t="shared" si="96"/>
        <v>0</v>
      </c>
      <c r="AM160" s="129">
        <f t="shared" si="97"/>
        <v>0</v>
      </c>
      <c r="AN160" s="127">
        <f t="shared" si="98"/>
        <v>0</v>
      </c>
      <c r="AO160" s="127">
        <f t="shared" si="99"/>
        <v>0</v>
      </c>
      <c r="AP160" s="127">
        <f t="shared" si="100"/>
        <v>0</v>
      </c>
      <c r="AQ160" s="127">
        <f t="shared" si="101"/>
        <v>0</v>
      </c>
      <c r="AR160" s="127">
        <f t="shared" si="102"/>
        <v>0</v>
      </c>
      <c r="AS160" s="127">
        <f t="shared" si="103"/>
        <v>0</v>
      </c>
      <c r="AT160" s="127">
        <f t="shared" si="104"/>
        <v>0</v>
      </c>
      <c r="AU160" s="127">
        <f t="shared" si="105"/>
        <v>0</v>
      </c>
      <c r="AV160" s="127">
        <f t="shared" si="106"/>
        <v>0</v>
      </c>
    </row>
    <row r="161" spans="1:48" x14ac:dyDescent="0.15">
      <c r="A161" s="29" t="s">
        <v>154</v>
      </c>
      <c r="B161" s="30">
        <f>IF(Data!D156=1, MAX(Data!AA156, Inputs!$E$25) + INDEX(Inputs!$D$38:$D$42, MATCH( Data!AD156, Inputs!$B$38:$B$42, 0), 0), MAX(Data!AA156, Inputs!$E$26) +  INDEX(Inputs!$D$38:$D$42, MATCH( Data!AD156, Inputs!$B$38:$B$42, 0), 0))</f>
        <v>0.24820999999999999</v>
      </c>
      <c r="C161" s="141">
        <f>(100*Data!R156)</f>
        <v>0</v>
      </c>
      <c r="D161" s="141">
        <f>ROUND(Data!Q156*C161, 0)</f>
        <v>0</v>
      </c>
      <c r="E161" s="141">
        <f>(100*Data!T156)</f>
        <v>0</v>
      </c>
      <c r="F161" s="141">
        <f>E161*Data!S156</f>
        <v>0</v>
      </c>
      <c r="G161" s="142">
        <f>ROUND(Inputs!$E$21*Data!W156*B161, 0)</f>
        <v>6931054</v>
      </c>
      <c r="H161" s="143">
        <f>IF(G161=0, 0,IF(Inputs!$E$30="Yes", IF(Data!D156=1, MAX(Outputs!D161+Outputs!F161+Outputs!G161, Data!AE156), Outputs!D161+Outputs!F161+Outputs!G161), Outputs!D161+Outputs!F161+Outputs!G161))</f>
        <v>6931054</v>
      </c>
      <c r="I161" s="143">
        <f>INDEX('FY 22 OFA Shell'!$AQ$27:$AQ$195,MATCH(Outputs!A161,'FY 22 OFA Shell'!$I$27:$I$195,0))</f>
        <v>6931054</v>
      </c>
      <c r="J161" s="129">
        <f>H161-Data!AT156</f>
        <v>-2174474</v>
      </c>
      <c r="K161" s="127">
        <f>((H161)/(Data!AT156)) - 1</f>
        <v>-0.23880811744250308</v>
      </c>
      <c r="L161" s="127">
        <f t="shared" si="88"/>
        <v>0</v>
      </c>
      <c r="M161" s="143">
        <f>(IF(Inputs!$E$30="Yes",INDEX(Data!AT:AT,MATCH(Outputs!A161,Data!A:A,0)),INDEX(Data!AS:AS,MATCH(Outputs!A161,Data!A:A,0))))</f>
        <v>9105528</v>
      </c>
      <c r="N161" s="143">
        <f>IF(Inputs!$E$30="Yes",INDEX(Data!BN:BN,MATCH(Outputs!$A161,Data!$A:$A,0)),INDEX(Data!BE:BE,MATCH(Outputs!$A161,Data!$A:$A,0)))</f>
        <v>9105528</v>
      </c>
      <c r="O161" s="143">
        <f>IF(Inputs!$E$30="Yes",INDEX(Data!BO:BO,MATCH(Outputs!$A161,Data!$A:$A,0)),INDEX(Data!BF:BF,MATCH(Outputs!$A161,Data!$A:$A,0)))</f>
        <v>8791643.3541000001</v>
      </c>
      <c r="P161" s="143">
        <f>IF(Inputs!$E$30="Yes",INDEX(Data!BP:BP,MATCH(Outputs!$A161,Data!$A:$A,0)),INDEX(Data!BG:BG,MATCH(Outputs!$A161,Data!$A:$A,0)))</f>
        <v>8477758.7082000002</v>
      </c>
      <c r="Q161" s="143">
        <f>IF(Inputs!$E$30="Yes",INDEX(Data!BQ:BQ,MATCH(Outputs!$A161,Data!$A:$A,0)),INDEX(Data!BH:BH,MATCH(Outputs!$A161,Data!$A:$A,0)))</f>
        <v>8163874.0623000003</v>
      </c>
      <c r="R161" s="143">
        <f>IF(Inputs!$E$30="Yes",INDEX(Data!BR:BR,MATCH(Outputs!$A161,Data!$A:$A,0)),INDEX(Data!BI:BI,MATCH(Outputs!$A161,Data!$A:$A,0)))</f>
        <v>7849989.4164000005</v>
      </c>
      <c r="S161" s="143">
        <f>IF(Inputs!$E$30="Yes",INDEX(Data!BS:BS,MATCH(Outputs!$A161,Data!$A:$A,0)),INDEX(Data!BJ:BJ,MATCH(Outputs!$A161,Data!$A:$A,0)))</f>
        <v>7536104.7705000006</v>
      </c>
      <c r="T161" s="143">
        <f>IF(Inputs!$E$30="Yes",INDEX(Data!BT:BT,MATCH(Outputs!$A161,Data!$A:$A,0)),INDEX(Data!BK:BK,MATCH(Outputs!$A161,Data!$A:$A,0)))</f>
        <v>7222220.1246000007</v>
      </c>
      <c r="U161" s="143">
        <f>IF(Inputs!$E$30="Yes",INDEX(Data!BU:BU,MATCH(Outputs!$A161,Data!$A:$A,0)),INDEX(Data!BL:BL,MATCH(Outputs!$A161,Data!$A:$A,0)))</f>
        <v>6931054</v>
      </c>
      <c r="V161" s="143">
        <f>INDEX('FY 22 OFA Shell'!$AX$27:$AX$195,MATCH(Outputs!A161,'FY 22 OFA Shell'!$I$27:$I$195,0))</f>
        <v>9105528</v>
      </c>
      <c r="W161" s="143">
        <f>INDEX('FY 23 OFA Shell'!$AX$27:$AX$195,MATCH(Outputs!A161,'FY 23 OFA Shell'!$I$27:$I$195,0))</f>
        <v>9105528</v>
      </c>
      <c r="X161" s="143">
        <f>INDEX('FY 23 OFA Shell'!BK$27:BK$195,MATCH(Outputs!$A161,'FY 23 OFA Shell'!$I$27:$I$195,0))</f>
        <v>8791643.3541000001</v>
      </c>
      <c r="Y161" s="143">
        <f>INDEX('FY 23 OFA Shell'!BL$27:BL$195,MATCH(Outputs!$A161,'FY 23 OFA Shell'!$I$27:$I$195,0))</f>
        <v>8477758.7082000002</v>
      </c>
      <c r="Z161" s="143">
        <f>INDEX('FY 23 OFA Shell'!BM$27:BM$195,MATCH(Outputs!$A161,'FY 23 OFA Shell'!$I$27:$I$195,0))</f>
        <v>8163874.0623000003</v>
      </c>
      <c r="AA161" s="143">
        <f>INDEX('FY 23 OFA Shell'!BN$27:BN$195,MATCH(Outputs!$A161,'FY 23 OFA Shell'!$I$27:$I$195,0))</f>
        <v>7849989.4164000005</v>
      </c>
      <c r="AB161" s="143">
        <f>INDEX('FY 23 OFA Shell'!BO$27:BO$195,MATCH(Outputs!$A161,'FY 23 OFA Shell'!$I$27:$I$195,0))</f>
        <v>7536104.7705000006</v>
      </c>
      <c r="AC161" s="143">
        <f>INDEX('FY 23 OFA Shell'!BP$27:BP$195,MATCH(Outputs!$A161,'FY 23 OFA Shell'!$I$27:$I$195,0))</f>
        <v>7222220.1246000007</v>
      </c>
      <c r="AD161" s="143">
        <f>INDEX('FY 23 OFA Shell'!BQ$27:BQ$195,MATCH(Outputs!$A161,'FY 23 OFA Shell'!$I$27:$I$195,0))</f>
        <v>6931054</v>
      </c>
      <c r="AE161" s="129">
        <f t="shared" si="89"/>
        <v>0</v>
      </c>
      <c r="AF161" s="129">
        <f t="shared" si="90"/>
        <v>0</v>
      </c>
      <c r="AG161" s="129">
        <f t="shared" si="91"/>
        <v>0</v>
      </c>
      <c r="AH161" s="129">
        <f t="shared" si="92"/>
        <v>0</v>
      </c>
      <c r="AI161" s="129">
        <f t="shared" si="93"/>
        <v>0</v>
      </c>
      <c r="AJ161" s="129">
        <f t="shared" si="94"/>
        <v>0</v>
      </c>
      <c r="AK161" s="129">
        <f t="shared" si="95"/>
        <v>0</v>
      </c>
      <c r="AL161" s="129">
        <f t="shared" si="96"/>
        <v>0</v>
      </c>
      <c r="AM161" s="129">
        <f t="shared" si="97"/>
        <v>0</v>
      </c>
      <c r="AN161" s="127">
        <f t="shared" si="98"/>
        <v>0</v>
      </c>
      <c r="AO161" s="127">
        <f t="shared" si="99"/>
        <v>0</v>
      </c>
      <c r="AP161" s="127">
        <f t="shared" si="100"/>
        <v>0</v>
      </c>
      <c r="AQ161" s="127">
        <f t="shared" si="101"/>
        <v>0</v>
      </c>
      <c r="AR161" s="127">
        <f t="shared" si="102"/>
        <v>0</v>
      </c>
      <c r="AS161" s="127">
        <f t="shared" si="103"/>
        <v>0</v>
      </c>
      <c r="AT161" s="127">
        <f t="shared" si="104"/>
        <v>0</v>
      </c>
      <c r="AU161" s="127">
        <f t="shared" si="105"/>
        <v>0</v>
      </c>
      <c r="AV161" s="127">
        <f t="shared" si="106"/>
        <v>0</v>
      </c>
    </row>
    <row r="162" spans="1:48" x14ac:dyDescent="0.15">
      <c r="A162" s="29" t="s">
        <v>155</v>
      </c>
      <c r="B162" s="30">
        <f>IF(Data!D157=1, MAX(Data!AA157, Inputs!$E$25) + INDEX(Inputs!$D$38:$D$42, MATCH( Data!AD157, Inputs!$B$38:$B$42, 0), 0), MAX(Data!AA157, Inputs!$E$26) +  INDEX(Inputs!$D$38:$D$42, MATCH( Data!AD157, Inputs!$B$38:$B$42, 0), 0))</f>
        <v>0.574604</v>
      </c>
      <c r="C162" s="141">
        <f>(100*Data!R157)</f>
        <v>0</v>
      </c>
      <c r="D162" s="141">
        <f>ROUND(Data!Q157*C162, 0)</f>
        <v>0</v>
      </c>
      <c r="E162" s="141">
        <f>(100*Data!T157)</f>
        <v>0</v>
      </c>
      <c r="F162" s="141">
        <f>E162*Data!S157</f>
        <v>0</v>
      </c>
      <c r="G162" s="142">
        <f>ROUND(Inputs!$E$21*Data!W157*B162, 0)</f>
        <v>32883299</v>
      </c>
      <c r="H162" s="143">
        <f>IF(G162=0, 0,IF(Inputs!$E$30="Yes", IF(Data!D157=1, MAX(Outputs!D162+Outputs!F162+Outputs!G162, Data!AE157), Outputs!D162+Outputs!F162+Outputs!G162), Outputs!D162+Outputs!F162+Outputs!G162))</f>
        <v>32883299</v>
      </c>
      <c r="I162" s="143">
        <f>INDEX('FY 22 OFA Shell'!$AQ$27:$AQ$195,MATCH(Outputs!A162,'FY 22 OFA Shell'!$I$27:$I$195,0))</f>
        <v>32883299</v>
      </c>
      <c r="J162" s="129">
        <f>H162-Data!AT157</f>
        <v>5029642.7355999984</v>
      </c>
      <c r="K162" s="127">
        <f>((H162)/(Data!AT157)) - 1</f>
        <v>0.18057387826776727</v>
      </c>
      <c r="L162" s="127">
        <f t="shared" si="88"/>
        <v>0</v>
      </c>
      <c r="M162" s="143">
        <f>(IF(Inputs!$E$30="Yes",INDEX(Data!AT:AT,MATCH(Outputs!A162,Data!A:A,0)),INDEX(Data!AS:AS,MATCH(Outputs!A162,Data!A:A,0))))</f>
        <v>27853656.264400002</v>
      </c>
      <c r="N162" s="143">
        <f>IF(Inputs!$E$30="Yes",INDEX(Data!BN:BN,MATCH(Outputs!$A162,Data!$A:$A,0)),INDEX(Data!BE:BE,MATCH(Outputs!$A162,Data!$A:$A,0)))</f>
        <v>28749142.528800003</v>
      </c>
      <c r="O162" s="143">
        <f>IF(Inputs!$E$30="Yes",INDEX(Data!BO:BO,MATCH(Outputs!$A162,Data!$A:$A,0)),INDEX(Data!BF:BF,MATCH(Outputs!$A162,Data!$A:$A,0)))</f>
        <v>29644628.793200005</v>
      </c>
      <c r="P162" s="143">
        <f>IF(Inputs!$E$30="Yes",INDEX(Data!BP:BP,MATCH(Outputs!$A162,Data!$A:$A,0)),INDEX(Data!BG:BG,MATCH(Outputs!$A162,Data!$A:$A,0)))</f>
        <v>30540115.057600006</v>
      </c>
      <c r="Q162" s="143">
        <f>IF(Inputs!$E$30="Yes",INDEX(Data!BQ:BQ,MATCH(Outputs!$A162,Data!$A:$A,0)),INDEX(Data!BH:BH,MATCH(Outputs!$A162,Data!$A:$A,0)))</f>
        <v>31435601.322000008</v>
      </c>
      <c r="R162" s="143">
        <f>IF(Inputs!$E$30="Yes",INDEX(Data!BR:BR,MATCH(Outputs!$A162,Data!$A:$A,0)),INDEX(Data!BI:BI,MATCH(Outputs!$A162,Data!$A:$A,0)))</f>
        <v>32331087.58640001</v>
      </c>
      <c r="S162" s="143">
        <f>IF(Inputs!$E$30="Yes",INDEX(Data!BS:BS,MATCH(Outputs!$A162,Data!$A:$A,0)),INDEX(Data!BJ:BJ,MATCH(Outputs!$A162,Data!$A:$A,0)))</f>
        <v>32883299</v>
      </c>
      <c r="T162" s="143">
        <f>IF(Inputs!$E$30="Yes",INDEX(Data!BT:BT,MATCH(Outputs!$A162,Data!$A:$A,0)),INDEX(Data!BK:BK,MATCH(Outputs!$A162,Data!$A:$A,0)))</f>
        <v>32883299</v>
      </c>
      <c r="U162" s="143">
        <f>IF(Inputs!$E$30="Yes",INDEX(Data!BU:BU,MATCH(Outputs!$A162,Data!$A:$A,0)),INDEX(Data!BL:BL,MATCH(Outputs!$A162,Data!$A:$A,0)))</f>
        <v>32883299</v>
      </c>
      <c r="V162" s="143">
        <f>INDEX('FY 22 OFA Shell'!$AX$27:$AX$195,MATCH(Outputs!A162,'FY 22 OFA Shell'!$I$27:$I$195,0))</f>
        <v>27853656.264400002</v>
      </c>
      <c r="W162" s="143">
        <f>INDEX('FY 23 OFA Shell'!$AX$27:$AX$195,MATCH(Outputs!A162,'FY 23 OFA Shell'!$I$27:$I$195,0))</f>
        <v>28749142.528800003</v>
      </c>
      <c r="X162" s="143">
        <f>INDEX('FY 23 OFA Shell'!BK$27:BK$195,MATCH(Outputs!$A162,'FY 23 OFA Shell'!$I$27:$I$195,0))</f>
        <v>29644628.793200005</v>
      </c>
      <c r="Y162" s="143">
        <f>INDEX('FY 23 OFA Shell'!BL$27:BL$195,MATCH(Outputs!$A162,'FY 23 OFA Shell'!$I$27:$I$195,0))</f>
        <v>30540115.057600006</v>
      </c>
      <c r="Z162" s="143">
        <f>INDEX('FY 23 OFA Shell'!BM$27:BM$195,MATCH(Outputs!$A162,'FY 23 OFA Shell'!$I$27:$I$195,0))</f>
        <v>31435601.322000008</v>
      </c>
      <c r="AA162" s="143">
        <f>INDEX('FY 23 OFA Shell'!BN$27:BN$195,MATCH(Outputs!$A162,'FY 23 OFA Shell'!$I$27:$I$195,0))</f>
        <v>32331087.58640001</v>
      </c>
      <c r="AB162" s="143">
        <f>INDEX('FY 23 OFA Shell'!BO$27:BO$195,MATCH(Outputs!$A162,'FY 23 OFA Shell'!$I$27:$I$195,0))</f>
        <v>32883299</v>
      </c>
      <c r="AC162" s="143">
        <f>INDEX('FY 23 OFA Shell'!BP$27:BP$195,MATCH(Outputs!$A162,'FY 23 OFA Shell'!$I$27:$I$195,0))</f>
        <v>32883299</v>
      </c>
      <c r="AD162" s="143">
        <f>INDEX('FY 23 OFA Shell'!BQ$27:BQ$195,MATCH(Outputs!$A162,'FY 23 OFA Shell'!$I$27:$I$195,0))</f>
        <v>32883299</v>
      </c>
      <c r="AE162" s="129">
        <f t="shared" si="89"/>
        <v>0</v>
      </c>
      <c r="AF162" s="129">
        <f t="shared" si="90"/>
        <v>0</v>
      </c>
      <c r="AG162" s="129">
        <f t="shared" si="91"/>
        <v>0</v>
      </c>
      <c r="AH162" s="129">
        <f t="shared" si="92"/>
        <v>0</v>
      </c>
      <c r="AI162" s="129">
        <f t="shared" si="93"/>
        <v>0</v>
      </c>
      <c r="AJ162" s="129">
        <f t="shared" si="94"/>
        <v>0</v>
      </c>
      <c r="AK162" s="129">
        <f t="shared" si="95"/>
        <v>0</v>
      </c>
      <c r="AL162" s="129">
        <f t="shared" si="96"/>
        <v>0</v>
      </c>
      <c r="AM162" s="129">
        <f t="shared" si="97"/>
        <v>0</v>
      </c>
      <c r="AN162" s="127">
        <f t="shared" si="98"/>
        <v>0</v>
      </c>
      <c r="AO162" s="127">
        <f t="shared" si="99"/>
        <v>0</v>
      </c>
      <c r="AP162" s="127">
        <f t="shared" si="100"/>
        <v>0</v>
      </c>
      <c r="AQ162" s="127">
        <f t="shared" si="101"/>
        <v>0</v>
      </c>
      <c r="AR162" s="127">
        <f t="shared" si="102"/>
        <v>0</v>
      </c>
      <c r="AS162" s="127">
        <f t="shared" si="103"/>
        <v>0</v>
      </c>
      <c r="AT162" s="127">
        <f t="shared" si="104"/>
        <v>0</v>
      </c>
      <c r="AU162" s="127">
        <f t="shared" si="105"/>
        <v>0</v>
      </c>
      <c r="AV162" s="127">
        <f t="shared" si="106"/>
        <v>0</v>
      </c>
    </row>
    <row r="163" spans="1:48" x14ac:dyDescent="0.15">
      <c r="A163" s="29" t="s">
        <v>156</v>
      </c>
      <c r="B163" s="30">
        <f>IF(Data!D158=1, MAX(Data!AA158, Inputs!$E$25) + INDEX(Inputs!$D$38:$D$42, MATCH( Data!AD158, Inputs!$B$38:$B$42, 0), 0), MAX(Data!AA158, Inputs!$E$26) +  INDEX(Inputs!$D$38:$D$42, MATCH( Data!AD158, Inputs!$B$38:$B$42, 0), 0))</f>
        <v>0.01</v>
      </c>
      <c r="C163" s="141">
        <f>(100*Data!R158)</f>
        <v>0</v>
      </c>
      <c r="D163" s="141">
        <f>ROUND(Data!Q158*C163, 0)</f>
        <v>0</v>
      </c>
      <c r="E163" s="141">
        <f>(100*Data!T158)</f>
        <v>0</v>
      </c>
      <c r="F163" s="141">
        <f>E163*Data!S158</f>
        <v>0</v>
      </c>
      <c r="G163" s="142">
        <f>ROUND(Inputs!$E$21*Data!W158*B163, 0)</f>
        <v>806636</v>
      </c>
      <c r="H163" s="143">
        <f>IF(G163=0, 0,IF(Inputs!$E$30="Yes", IF(Data!D158=1, MAX(Outputs!D163+Outputs!F163+Outputs!G163, Data!AE158), Outputs!D163+Outputs!F163+Outputs!G163), Outputs!D163+Outputs!F163+Outputs!G163))</f>
        <v>806636</v>
      </c>
      <c r="I163" s="143">
        <f>INDEX('FY 22 OFA Shell'!$AQ$27:$AQ$195,MATCH(Outputs!A163,'FY 22 OFA Shell'!$I$27:$I$195,0))</f>
        <v>806636</v>
      </c>
      <c r="J163" s="129">
        <f>H163-Data!AT158</f>
        <v>-1516905</v>
      </c>
      <c r="K163" s="127">
        <f>((H163)/(Data!AT158)) - 1</f>
        <v>-0.65284193392756995</v>
      </c>
      <c r="L163" s="127">
        <f t="shared" si="88"/>
        <v>0</v>
      </c>
      <c r="M163" s="143">
        <f>(IF(Inputs!$E$30="Yes",INDEX(Data!AT:AT,MATCH(Outputs!A163,Data!A:A,0)),INDEX(Data!AS:AS,MATCH(Outputs!A163,Data!A:A,0))))</f>
        <v>2323541</v>
      </c>
      <c r="N163" s="143">
        <f>IF(Inputs!$E$30="Yes",INDEX(Data!BN:BN,MATCH(Outputs!$A163,Data!$A:$A,0)),INDEX(Data!BE:BE,MATCH(Outputs!$A163,Data!$A:$A,0)))</f>
        <v>2323541</v>
      </c>
      <c r="O163" s="143">
        <f>IF(Inputs!$E$30="Yes",INDEX(Data!BO:BO,MATCH(Outputs!$A163,Data!$A:$A,0)),INDEX(Data!BF:BF,MATCH(Outputs!$A163,Data!$A:$A,0)))</f>
        <v>2105980.9755000002</v>
      </c>
      <c r="P163" s="143">
        <f>IF(Inputs!$E$30="Yes",INDEX(Data!BP:BP,MATCH(Outputs!$A163,Data!$A:$A,0)),INDEX(Data!BG:BG,MATCH(Outputs!$A163,Data!$A:$A,0)))</f>
        <v>1888420.9510000001</v>
      </c>
      <c r="Q163" s="143">
        <f>IF(Inputs!$E$30="Yes",INDEX(Data!BQ:BQ,MATCH(Outputs!$A163,Data!$A:$A,0)),INDEX(Data!BH:BH,MATCH(Outputs!$A163,Data!$A:$A,0)))</f>
        <v>1670860.9265000001</v>
      </c>
      <c r="R163" s="143">
        <f>IF(Inputs!$E$30="Yes",INDEX(Data!BR:BR,MATCH(Outputs!$A163,Data!$A:$A,0)),INDEX(Data!BI:BI,MATCH(Outputs!$A163,Data!$A:$A,0)))</f>
        <v>1453300.902</v>
      </c>
      <c r="S163" s="143">
        <f>IF(Inputs!$E$30="Yes",INDEX(Data!BS:BS,MATCH(Outputs!$A163,Data!$A:$A,0)),INDEX(Data!BJ:BJ,MATCH(Outputs!$A163,Data!$A:$A,0)))</f>
        <v>1235740.8774999999</v>
      </c>
      <c r="T163" s="143">
        <f>IF(Inputs!$E$30="Yes",INDEX(Data!BT:BT,MATCH(Outputs!$A163,Data!$A:$A,0)),INDEX(Data!BK:BK,MATCH(Outputs!$A163,Data!$A:$A,0)))</f>
        <v>1018180.8529999999</v>
      </c>
      <c r="U163" s="143">
        <f>IF(Inputs!$E$30="Yes",INDEX(Data!BU:BU,MATCH(Outputs!$A163,Data!$A:$A,0)),INDEX(Data!BL:BL,MATCH(Outputs!$A163,Data!$A:$A,0)))</f>
        <v>806636</v>
      </c>
      <c r="V163" s="143">
        <f>INDEX('FY 22 OFA Shell'!$AX$27:$AX$195,MATCH(Outputs!A163,'FY 22 OFA Shell'!$I$27:$I$195,0))</f>
        <v>2323541</v>
      </c>
      <c r="W163" s="143">
        <f>INDEX('FY 23 OFA Shell'!$AX$27:$AX$195,MATCH(Outputs!A163,'FY 23 OFA Shell'!$I$27:$I$195,0))</f>
        <v>2323541</v>
      </c>
      <c r="X163" s="143">
        <f>INDEX('FY 23 OFA Shell'!BK$27:BK$195,MATCH(Outputs!$A163,'FY 23 OFA Shell'!$I$27:$I$195,0))</f>
        <v>2105980.9755000002</v>
      </c>
      <c r="Y163" s="143">
        <f>INDEX('FY 23 OFA Shell'!BL$27:BL$195,MATCH(Outputs!$A163,'FY 23 OFA Shell'!$I$27:$I$195,0))</f>
        <v>1888420.9510000001</v>
      </c>
      <c r="Z163" s="143">
        <f>INDEX('FY 23 OFA Shell'!BM$27:BM$195,MATCH(Outputs!$A163,'FY 23 OFA Shell'!$I$27:$I$195,0))</f>
        <v>1670860.9265000001</v>
      </c>
      <c r="AA163" s="143">
        <f>INDEX('FY 23 OFA Shell'!BN$27:BN$195,MATCH(Outputs!$A163,'FY 23 OFA Shell'!$I$27:$I$195,0))</f>
        <v>1453300.902</v>
      </c>
      <c r="AB163" s="143">
        <f>INDEX('FY 23 OFA Shell'!BO$27:BO$195,MATCH(Outputs!$A163,'FY 23 OFA Shell'!$I$27:$I$195,0))</f>
        <v>1235740.8774999999</v>
      </c>
      <c r="AC163" s="143">
        <f>INDEX('FY 23 OFA Shell'!BP$27:BP$195,MATCH(Outputs!$A163,'FY 23 OFA Shell'!$I$27:$I$195,0))</f>
        <v>1018180.8529999999</v>
      </c>
      <c r="AD163" s="143">
        <f>INDEX('FY 23 OFA Shell'!BQ$27:BQ$195,MATCH(Outputs!$A163,'FY 23 OFA Shell'!$I$27:$I$195,0))</f>
        <v>806636</v>
      </c>
      <c r="AE163" s="129">
        <f t="shared" si="89"/>
        <v>0</v>
      </c>
      <c r="AF163" s="129">
        <f t="shared" si="90"/>
        <v>0</v>
      </c>
      <c r="AG163" s="129">
        <f t="shared" si="91"/>
        <v>0</v>
      </c>
      <c r="AH163" s="129">
        <f t="shared" si="92"/>
        <v>0</v>
      </c>
      <c r="AI163" s="129">
        <f t="shared" si="93"/>
        <v>0</v>
      </c>
      <c r="AJ163" s="129">
        <f t="shared" si="94"/>
        <v>0</v>
      </c>
      <c r="AK163" s="129">
        <f t="shared" si="95"/>
        <v>0</v>
      </c>
      <c r="AL163" s="129">
        <f t="shared" si="96"/>
        <v>0</v>
      </c>
      <c r="AM163" s="129">
        <f t="shared" si="97"/>
        <v>0</v>
      </c>
      <c r="AN163" s="127">
        <f t="shared" si="98"/>
        <v>0</v>
      </c>
      <c r="AO163" s="127">
        <f t="shared" si="99"/>
        <v>0</v>
      </c>
      <c r="AP163" s="127">
        <f t="shared" si="100"/>
        <v>0</v>
      </c>
      <c r="AQ163" s="127">
        <f t="shared" si="101"/>
        <v>0</v>
      </c>
      <c r="AR163" s="127">
        <f t="shared" si="102"/>
        <v>0</v>
      </c>
      <c r="AS163" s="127">
        <f t="shared" si="103"/>
        <v>0</v>
      </c>
      <c r="AT163" s="127">
        <f t="shared" si="104"/>
        <v>0</v>
      </c>
      <c r="AU163" s="127">
        <f t="shared" si="105"/>
        <v>0</v>
      </c>
      <c r="AV163" s="127">
        <f t="shared" si="106"/>
        <v>0</v>
      </c>
    </row>
    <row r="164" spans="1:48" x14ac:dyDescent="0.15">
      <c r="A164" s="29" t="s">
        <v>157</v>
      </c>
      <c r="B164" s="30">
        <f>IF(Data!D159=1, MAX(Data!AA159, Inputs!$E$25) + INDEX(Inputs!$D$38:$D$42, MATCH( Data!AD159, Inputs!$B$38:$B$42, 0), 0), MAX(Data!AA159, Inputs!$E$26) +  INDEX(Inputs!$D$38:$D$42, MATCH( Data!AD159, Inputs!$B$38:$B$42, 0), 0))</f>
        <v>0.221803</v>
      </c>
      <c r="C164" s="141">
        <f>(100*Data!R159)</f>
        <v>0</v>
      </c>
      <c r="D164" s="141">
        <f>ROUND(Data!Q159*C164, 0)</f>
        <v>0</v>
      </c>
      <c r="E164" s="141">
        <f>(100*Data!T159)</f>
        <v>400</v>
      </c>
      <c r="F164" s="141">
        <f>E164*Data!S159</f>
        <v>13600</v>
      </c>
      <c r="G164" s="142">
        <f>ROUND(Inputs!$E$21*Data!W159*B164, 0)</f>
        <v>208925</v>
      </c>
      <c r="H164" s="143">
        <f>IF(G164=0, 0,IF(Inputs!$E$30="Yes", IF(Data!D159=1, MAX(Outputs!D164+Outputs!F164+Outputs!G164, Data!AE159), Outputs!D164+Outputs!F164+Outputs!G164), Outputs!D164+Outputs!F164+Outputs!G164))</f>
        <v>222525</v>
      </c>
      <c r="I164" s="143">
        <f>INDEX('FY 22 OFA Shell'!$AQ$27:$AQ$195,MATCH(Outputs!A164,'FY 22 OFA Shell'!$I$27:$I$195,0))</f>
        <v>222525</v>
      </c>
      <c r="J164" s="129">
        <f>H164-Data!AT159</f>
        <v>10797</v>
      </c>
      <c r="K164" s="127">
        <f>((H164)/(Data!AT159)) - 1</f>
        <v>5.0994672409884423E-2</v>
      </c>
      <c r="L164" s="127">
        <f t="shared" si="88"/>
        <v>0</v>
      </c>
      <c r="M164" s="143">
        <f>(IF(Inputs!$E$30="Yes",INDEX(Data!AT:AT,MATCH(Outputs!A164,Data!A:A,0)),INDEX(Data!AS:AS,MATCH(Outputs!A164,Data!A:A,0))))</f>
        <v>211728</v>
      </c>
      <c r="N164" s="143">
        <f>IF(Inputs!$E$30="Yes",INDEX(Data!BN:BN,MATCH(Outputs!$A164,Data!$A:$A,0)),INDEX(Data!BE:BE,MATCH(Outputs!$A164,Data!$A:$A,0)))</f>
        <v>211728</v>
      </c>
      <c r="O164" s="143">
        <f>IF(Inputs!$E$30="Yes",INDEX(Data!BO:BO,MATCH(Outputs!$A164,Data!$A:$A,0)),INDEX(Data!BF:BF,MATCH(Outputs!$A164,Data!$A:$A,0)))</f>
        <v>210508.40470000001</v>
      </c>
      <c r="P164" s="143">
        <f>IF(Inputs!$E$30="Yes",INDEX(Data!BP:BP,MATCH(Outputs!$A164,Data!$A:$A,0)),INDEX(Data!BG:BG,MATCH(Outputs!$A164,Data!$A:$A,0)))</f>
        <v>209288.80940000003</v>
      </c>
      <c r="Q164" s="143">
        <f>IF(Inputs!$E$30="Yes",INDEX(Data!BQ:BQ,MATCH(Outputs!$A164,Data!$A:$A,0)),INDEX(Data!BH:BH,MATCH(Outputs!$A164,Data!$A:$A,0)))</f>
        <v>208069.21410000004</v>
      </c>
      <c r="R164" s="143">
        <f>IF(Inputs!$E$30="Yes",INDEX(Data!BR:BR,MATCH(Outputs!$A164,Data!$A:$A,0)),INDEX(Data!BI:BI,MATCH(Outputs!$A164,Data!$A:$A,0)))</f>
        <v>206849.61880000005</v>
      </c>
      <c r="S164" s="143">
        <f>IF(Inputs!$E$30="Yes",INDEX(Data!BS:BS,MATCH(Outputs!$A164,Data!$A:$A,0)),INDEX(Data!BJ:BJ,MATCH(Outputs!$A164,Data!$A:$A,0)))</f>
        <v>205630.02350000007</v>
      </c>
      <c r="T164" s="143">
        <f>IF(Inputs!$E$30="Yes",INDEX(Data!BT:BT,MATCH(Outputs!$A164,Data!$A:$A,0)),INDEX(Data!BK:BK,MATCH(Outputs!$A164,Data!$A:$A,0)))</f>
        <v>204410.42820000008</v>
      </c>
      <c r="U164" s="143">
        <f>IF(Inputs!$E$30="Yes",INDEX(Data!BU:BU,MATCH(Outputs!$A164,Data!$A:$A,0)),INDEX(Data!BL:BL,MATCH(Outputs!$A164,Data!$A:$A,0)))</f>
        <v>222525</v>
      </c>
      <c r="V164" s="143">
        <f>INDEX('FY 22 OFA Shell'!$AX$27:$AX$195,MATCH(Outputs!A164,'FY 22 OFA Shell'!$I$27:$I$195,0))</f>
        <v>211728</v>
      </c>
      <c r="W164" s="143">
        <f>INDEX('FY 23 OFA Shell'!$AX$27:$AX$195,MATCH(Outputs!A164,'FY 23 OFA Shell'!$I$27:$I$195,0))</f>
        <v>211728</v>
      </c>
      <c r="X164" s="143">
        <f>INDEX('FY 23 OFA Shell'!BK$27:BK$195,MATCH(Outputs!$A164,'FY 23 OFA Shell'!$I$27:$I$195,0))</f>
        <v>210508.40470000001</v>
      </c>
      <c r="Y164" s="143">
        <f>INDEX('FY 23 OFA Shell'!BL$27:BL$195,MATCH(Outputs!$A164,'FY 23 OFA Shell'!$I$27:$I$195,0))</f>
        <v>209288.80940000003</v>
      </c>
      <c r="Z164" s="143">
        <f>INDEX('FY 23 OFA Shell'!BM$27:BM$195,MATCH(Outputs!$A164,'FY 23 OFA Shell'!$I$27:$I$195,0))</f>
        <v>208069.21410000004</v>
      </c>
      <c r="AA164" s="143">
        <f>INDEX('FY 23 OFA Shell'!BN$27:BN$195,MATCH(Outputs!$A164,'FY 23 OFA Shell'!$I$27:$I$195,0))</f>
        <v>206849.61880000005</v>
      </c>
      <c r="AB164" s="143">
        <f>INDEX('FY 23 OFA Shell'!BO$27:BO$195,MATCH(Outputs!$A164,'FY 23 OFA Shell'!$I$27:$I$195,0))</f>
        <v>205630.02350000007</v>
      </c>
      <c r="AC164" s="143">
        <f>INDEX('FY 23 OFA Shell'!BP$27:BP$195,MATCH(Outputs!$A164,'FY 23 OFA Shell'!$I$27:$I$195,0))</f>
        <v>204410.42820000008</v>
      </c>
      <c r="AD164" s="143">
        <f>INDEX('FY 23 OFA Shell'!BQ$27:BQ$195,MATCH(Outputs!$A164,'FY 23 OFA Shell'!$I$27:$I$195,0))</f>
        <v>222525</v>
      </c>
      <c r="AE164" s="129">
        <f t="shared" si="89"/>
        <v>0</v>
      </c>
      <c r="AF164" s="129">
        <f t="shared" si="90"/>
        <v>0</v>
      </c>
      <c r="AG164" s="129">
        <f t="shared" si="91"/>
        <v>0</v>
      </c>
      <c r="AH164" s="129">
        <f t="shared" si="92"/>
        <v>0</v>
      </c>
      <c r="AI164" s="129">
        <f t="shared" si="93"/>
        <v>0</v>
      </c>
      <c r="AJ164" s="129">
        <f t="shared" si="94"/>
        <v>0</v>
      </c>
      <c r="AK164" s="129">
        <f t="shared" si="95"/>
        <v>0</v>
      </c>
      <c r="AL164" s="129">
        <f t="shared" si="96"/>
        <v>0</v>
      </c>
      <c r="AM164" s="129">
        <f t="shared" si="97"/>
        <v>0</v>
      </c>
      <c r="AN164" s="127">
        <f t="shared" si="98"/>
        <v>0</v>
      </c>
      <c r="AO164" s="127">
        <f t="shared" si="99"/>
        <v>0</v>
      </c>
      <c r="AP164" s="127">
        <f t="shared" si="100"/>
        <v>0</v>
      </c>
      <c r="AQ164" s="127">
        <f t="shared" si="101"/>
        <v>0</v>
      </c>
      <c r="AR164" s="127">
        <f t="shared" si="102"/>
        <v>0</v>
      </c>
      <c r="AS164" s="127">
        <f t="shared" si="103"/>
        <v>0</v>
      </c>
      <c r="AT164" s="127">
        <f t="shared" si="104"/>
        <v>0</v>
      </c>
      <c r="AU164" s="127">
        <f t="shared" si="105"/>
        <v>0</v>
      </c>
      <c r="AV164" s="127">
        <f t="shared" si="106"/>
        <v>0</v>
      </c>
    </row>
    <row r="165" spans="1:48" x14ac:dyDescent="0.15">
      <c r="A165" s="29" t="s">
        <v>158</v>
      </c>
      <c r="B165" s="30">
        <f>IF(Data!D160=1, MAX(Data!AA160, Inputs!$E$25) + INDEX(Inputs!$D$38:$D$42, MATCH( Data!AD160, Inputs!$B$38:$B$42, 0), 0), MAX(Data!AA160, Inputs!$E$26) +  INDEX(Inputs!$D$38:$D$42, MATCH( Data!AD160, Inputs!$B$38:$B$42, 0), 0))</f>
        <v>0.52666299999999999</v>
      </c>
      <c r="C165" s="141">
        <f>(100*Data!R160)</f>
        <v>0</v>
      </c>
      <c r="D165" s="141">
        <f>ROUND(Data!Q160*C165, 0)</f>
        <v>0</v>
      </c>
      <c r="E165" s="141">
        <f>(100*Data!T160)</f>
        <v>0</v>
      </c>
      <c r="F165" s="141">
        <f>E165*Data!S160</f>
        <v>0</v>
      </c>
      <c r="G165" s="142">
        <f>ROUND(Inputs!$E$21*Data!W160*B165, 0)</f>
        <v>23215494</v>
      </c>
      <c r="H165" s="143">
        <f>IF(G165=0, 0,IF(Inputs!$E$30="Yes", IF(Data!D160=1, MAX(Outputs!D165+Outputs!F165+Outputs!G165, Data!AE160), Outputs!D165+Outputs!F165+Outputs!G165), Outputs!D165+Outputs!F165+Outputs!G165))</f>
        <v>23215494</v>
      </c>
      <c r="I165" s="143">
        <f>INDEX('FY 22 OFA Shell'!$AQ$27:$AQ$195,MATCH(Outputs!A165,'FY 22 OFA Shell'!$I$27:$I$195,0))</f>
        <v>23215494</v>
      </c>
      <c r="J165" s="129">
        <f>H165-Data!AT160</f>
        <v>2622708.1774000004</v>
      </c>
      <c r="K165" s="127">
        <f>((H165)/(Data!AT160)) - 1</f>
        <v>0.12736053295526695</v>
      </c>
      <c r="L165" s="127">
        <f t="shared" si="88"/>
        <v>0</v>
      </c>
      <c r="M165" s="143">
        <f>(IF(Inputs!$E$30="Yes",INDEX(Data!AT:AT,MATCH(Outputs!A165,Data!A:A,0)),INDEX(Data!AS:AS,MATCH(Outputs!A165,Data!A:A,0))))</f>
        <v>20592785.8226</v>
      </c>
      <c r="N165" s="143">
        <f>IF(Inputs!$E$30="Yes",INDEX(Data!BN:BN,MATCH(Outputs!$A165,Data!$A:$A,0)),INDEX(Data!BE:BE,MATCH(Outputs!$A165,Data!$A:$A,0)))</f>
        <v>21015482.645199999</v>
      </c>
      <c r="O165" s="143">
        <f>IF(Inputs!$E$30="Yes",INDEX(Data!BO:BO,MATCH(Outputs!$A165,Data!$A:$A,0)),INDEX(Data!BF:BF,MATCH(Outputs!$A165,Data!$A:$A,0)))</f>
        <v>21438179.467799999</v>
      </c>
      <c r="P165" s="143">
        <f>IF(Inputs!$E$30="Yes",INDEX(Data!BP:BP,MATCH(Outputs!$A165,Data!$A:$A,0)),INDEX(Data!BG:BG,MATCH(Outputs!$A165,Data!$A:$A,0)))</f>
        <v>21860876.290399998</v>
      </c>
      <c r="Q165" s="143">
        <f>IF(Inputs!$E$30="Yes",INDEX(Data!BQ:BQ,MATCH(Outputs!$A165,Data!$A:$A,0)),INDEX(Data!BH:BH,MATCH(Outputs!$A165,Data!$A:$A,0)))</f>
        <v>22283573.112999998</v>
      </c>
      <c r="R165" s="143">
        <f>IF(Inputs!$E$30="Yes",INDEX(Data!BR:BR,MATCH(Outputs!$A165,Data!$A:$A,0)),INDEX(Data!BI:BI,MATCH(Outputs!$A165,Data!$A:$A,0)))</f>
        <v>22706269.935599998</v>
      </c>
      <c r="S165" s="143">
        <f>IF(Inputs!$E$30="Yes",INDEX(Data!BS:BS,MATCH(Outputs!$A165,Data!$A:$A,0)),INDEX(Data!BJ:BJ,MATCH(Outputs!$A165,Data!$A:$A,0)))</f>
        <v>23215494</v>
      </c>
      <c r="T165" s="143">
        <f>IF(Inputs!$E$30="Yes",INDEX(Data!BT:BT,MATCH(Outputs!$A165,Data!$A:$A,0)),INDEX(Data!BK:BK,MATCH(Outputs!$A165,Data!$A:$A,0)))</f>
        <v>23215494</v>
      </c>
      <c r="U165" s="143">
        <f>IF(Inputs!$E$30="Yes",INDEX(Data!BU:BU,MATCH(Outputs!$A165,Data!$A:$A,0)),INDEX(Data!BL:BL,MATCH(Outputs!$A165,Data!$A:$A,0)))</f>
        <v>23215494</v>
      </c>
      <c r="V165" s="143">
        <f>INDEX('FY 22 OFA Shell'!$AX$27:$AX$195,MATCH(Outputs!A165,'FY 22 OFA Shell'!$I$27:$I$195,0))</f>
        <v>20592785.8226</v>
      </c>
      <c r="W165" s="143">
        <f>INDEX('FY 23 OFA Shell'!$AX$27:$AX$195,MATCH(Outputs!A165,'FY 23 OFA Shell'!$I$27:$I$195,0))</f>
        <v>21015482.645199999</v>
      </c>
      <c r="X165" s="143">
        <f>INDEX('FY 23 OFA Shell'!BK$27:BK$195,MATCH(Outputs!$A165,'FY 23 OFA Shell'!$I$27:$I$195,0))</f>
        <v>21438179.467799999</v>
      </c>
      <c r="Y165" s="143">
        <f>INDEX('FY 23 OFA Shell'!BL$27:BL$195,MATCH(Outputs!$A165,'FY 23 OFA Shell'!$I$27:$I$195,0))</f>
        <v>21860876.290399998</v>
      </c>
      <c r="Z165" s="143">
        <f>INDEX('FY 23 OFA Shell'!BM$27:BM$195,MATCH(Outputs!$A165,'FY 23 OFA Shell'!$I$27:$I$195,0))</f>
        <v>22283573.112999998</v>
      </c>
      <c r="AA165" s="143">
        <f>INDEX('FY 23 OFA Shell'!BN$27:BN$195,MATCH(Outputs!$A165,'FY 23 OFA Shell'!$I$27:$I$195,0))</f>
        <v>22706269.935599998</v>
      </c>
      <c r="AB165" s="143">
        <f>INDEX('FY 23 OFA Shell'!BO$27:BO$195,MATCH(Outputs!$A165,'FY 23 OFA Shell'!$I$27:$I$195,0))</f>
        <v>23215494</v>
      </c>
      <c r="AC165" s="143">
        <f>INDEX('FY 23 OFA Shell'!BP$27:BP$195,MATCH(Outputs!$A165,'FY 23 OFA Shell'!$I$27:$I$195,0))</f>
        <v>23215494</v>
      </c>
      <c r="AD165" s="143">
        <f>INDEX('FY 23 OFA Shell'!BQ$27:BQ$195,MATCH(Outputs!$A165,'FY 23 OFA Shell'!$I$27:$I$195,0))</f>
        <v>23215494</v>
      </c>
      <c r="AE165" s="129">
        <f t="shared" si="89"/>
        <v>0</v>
      </c>
      <c r="AF165" s="129">
        <f t="shared" si="90"/>
        <v>0</v>
      </c>
      <c r="AG165" s="129">
        <f t="shared" si="91"/>
        <v>0</v>
      </c>
      <c r="AH165" s="129">
        <f t="shared" si="92"/>
        <v>0</v>
      </c>
      <c r="AI165" s="129">
        <f t="shared" si="93"/>
        <v>0</v>
      </c>
      <c r="AJ165" s="129">
        <f t="shared" si="94"/>
        <v>0</v>
      </c>
      <c r="AK165" s="129">
        <f t="shared" si="95"/>
        <v>0</v>
      </c>
      <c r="AL165" s="129">
        <f t="shared" si="96"/>
        <v>0</v>
      </c>
      <c r="AM165" s="129">
        <f t="shared" si="97"/>
        <v>0</v>
      </c>
      <c r="AN165" s="127">
        <f t="shared" si="98"/>
        <v>0</v>
      </c>
      <c r="AO165" s="127">
        <f t="shared" si="99"/>
        <v>0</v>
      </c>
      <c r="AP165" s="127">
        <f t="shared" si="100"/>
        <v>0</v>
      </c>
      <c r="AQ165" s="127">
        <f t="shared" si="101"/>
        <v>0</v>
      </c>
      <c r="AR165" s="127">
        <f t="shared" si="102"/>
        <v>0</v>
      </c>
      <c r="AS165" s="127">
        <f t="shared" si="103"/>
        <v>0</v>
      </c>
      <c r="AT165" s="127">
        <f t="shared" si="104"/>
        <v>0</v>
      </c>
      <c r="AU165" s="127">
        <f t="shared" si="105"/>
        <v>0</v>
      </c>
      <c r="AV165" s="127">
        <f t="shared" si="106"/>
        <v>0</v>
      </c>
    </row>
    <row r="166" spans="1:48" x14ac:dyDescent="0.15">
      <c r="A166" s="29" t="s">
        <v>159</v>
      </c>
      <c r="B166" s="30">
        <f>IF(Data!D161=1, MAX(Data!AA161, Inputs!$E$25) + INDEX(Inputs!$D$38:$D$42, MATCH( Data!AD161, Inputs!$B$38:$B$42, 0), 0), MAX(Data!AA161, Inputs!$E$26) +  INDEX(Inputs!$D$38:$D$42, MATCH( Data!AD161, Inputs!$B$38:$B$42, 0), 0))</f>
        <v>0.36616500000000002</v>
      </c>
      <c r="C166" s="141">
        <f>(100*Data!R161)</f>
        <v>0</v>
      </c>
      <c r="D166" s="141">
        <f>ROUND(Data!Q161*C166, 0)</f>
        <v>0</v>
      </c>
      <c r="E166" s="141">
        <f>(100*Data!T161)</f>
        <v>400</v>
      </c>
      <c r="F166" s="141">
        <f>E166*Data!S161</f>
        <v>20800</v>
      </c>
      <c r="G166" s="142">
        <f>ROUND(Inputs!$E$21*Data!W161*B166, 0)</f>
        <v>1446254</v>
      </c>
      <c r="H166" s="143">
        <f>IF(G166=0, 0,IF(Inputs!$E$30="Yes", IF(Data!D161=1, MAX(Outputs!D166+Outputs!F166+Outputs!G166, Data!AE161), Outputs!D166+Outputs!F166+Outputs!G166), Outputs!D166+Outputs!F166+Outputs!G166))</f>
        <v>1467054</v>
      </c>
      <c r="I166" s="143">
        <f>INDEX('FY 22 OFA Shell'!$AQ$27:$AQ$195,MATCH(Outputs!A166,'FY 22 OFA Shell'!$I$27:$I$195,0))</f>
        <v>1467054</v>
      </c>
      <c r="J166" s="129">
        <f>H166-Data!AT161</f>
        <v>-650189</v>
      </c>
      <c r="K166" s="127">
        <f>((H166)/(Data!AT161)) - 1</f>
        <v>-0.30709228935932242</v>
      </c>
      <c r="L166" s="127">
        <f t="shared" si="88"/>
        <v>0</v>
      </c>
      <c r="M166" s="143">
        <f>(IF(Inputs!$E$30="Yes",INDEX(Data!AT:AT,MATCH(Outputs!A166,Data!A:A,0)),INDEX(Data!AS:AS,MATCH(Outputs!A166,Data!A:A,0))))</f>
        <v>2117243</v>
      </c>
      <c r="N166" s="143">
        <f>IF(Inputs!$E$30="Yes",INDEX(Data!BN:BN,MATCH(Outputs!$A166,Data!$A:$A,0)),INDEX(Data!BE:BE,MATCH(Outputs!$A166,Data!$A:$A,0)))</f>
        <v>2117243</v>
      </c>
      <c r="O166" s="143">
        <f>IF(Inputs!$E$30="Yes",INDEX(Data!BO:BO,MATCH(Outputs!$A166,Data!$A:$A,0)),INDEX(Data!BF:BF,MATCH(Outputs!$A166,Data!$A:$A,0)))</f>
        <v>2030980.2689</v>
      </c>
      <c r="P166" s="143">
        <f>IF(Inputs!$E$30="Yes",INDEX(Data!BP:BP,MATCH(Outputs!$A166,Data!$A:$A,0)),INDEX(Data!BG:BG,MATCH(Outputs!$A166,Data!$A:$A,0)))</f>
        <v>1944717.5378</v>
      </c>
      <c r="Q166" s="143">
        <f>IF(Inputs!$E$30="Yes",INDEX(Data!BQ:BQ,MATCH(Outputs!$A166,Data!$A:$A,0)),INDEX(Data!BH:BH,MATCH(Outputs!$A166,Data!$A:$A,0)))</f>
        <v>1858454.8067000001</v>
      </c>
      <c r="R166" s="143">
        <f>IF(Inputs!$E$30="Yes",INDEX(Data!BR:BR,MATCH(Outputs!$A166,Data!$A:$A,0)),INDEX(Data!BI:BI,MATCH(Outputs!$A166,Data!$A:$A,0)))</f>
        <v>1772192.0756000001</v>
      </c>
      <c r="S166" s="143">
        <f>IF(Inputs!$E$30="Yes",INDEX(Data!BS:BS,MATCH(Outputs!$A166,Data!$A:$A,0)),INDEX(Data!BJ:BJ,MATCH(Outputs!$A166,Data!$A:$A,0)))</f>
        <v>1685929.3445000001</v>
      </c>
      <c r="T166" s="143">
        <f>IF(Inputs!$E$30="Yes",INDEX(Data!BT:BT,MATCH(Outputs!$A166,Data!$A:$A,0)),INDEX(Data!BK:BK,MATCH(Outputs!$A166,Data!$A:$A,0)))</f>
        <v>1599666.6134000001</v>
      </c>
      <c r="U166" s="143">
        <f>IF(Inputs!$E$30="Yes",INDEX(Data!BU:BU,MATCH(Outputs!$A166,Data!$A:$A,0)),INDEX(Data!BL:BL,MATCH(Outputs!$A166,Data!$A:$A,0)))</f>
        <v>1467054</v>
      </c>
      <c r="V166" s="143">
        <f>INDEX('FY 22 OFA Shell'!$AX$27:$AX$195,MATCH(Outputs!A166,'FY 22 OFA Shell'!$I$27:$I$195,0))</f>
        <v>2117243</v>
      </c>
      <c r="W166" s="143">
        <f>INDEX('FY 23 OFA Shell'!$AX$27:$AX$195,MATCH(Outputs!A166,'FY 23 OFA Shell'!$I$27:$I$195,0))</f>
        <v>2117243</v>
      </c>
      <c r="X166" s="143">
        <f>INDEX('FY 23 OFA Shell'!BK$27:BK$195,MATCH(Outputs!$A166,'FY 23 OFA Shell'!$I$27:$I$195,0))</f>
        <v>2030980.2689</v>
      </c>
      <c r="Y166" s="143">
        <f>INDEX('FY 23 OFA Shell'!BL$27:BL$195,MATCH(Outputs!$A166,'FY 23 OFA Shell'!$I$27:$I$195,0))</f>
        <v>1944717.5378</v>
      </c>
      <c r="Z166" s="143">
        <f>INDEX('FY 23 OFA Shell'!BM$27:BM$195,MATCH(Outputs!$A166,'FY 23 OFA Shell'!$I$27:$I$195,0))</f>
        <v>1858454.8067000001</v>
      </c>
      <c r="AA166" s="143">
        <f>INDEX('FY 23 OFA Shell'!BN$27:BN$195,MATCH(Outputs!$A166,'FY 23 OFA Shell'!$I$27:$I$195,0))</f>
        <v>1772192.0756000001</v>
      </c>
      <c r="AB166" s="143">
        <f>INDEX('FY 23 OFA Shell'!BO$27:BO$195,MATCH(Outputs!$A166,'FY 23 OFA Shell'!$I$27:$I$195,0))</f>
        <v>1685929.3445000001</v>
      </c>
      <c r="AC166" s="143">
        <f>INDEX('FY 23 OFA Shell'!BP$27:BP$195,MATCH(Outputs!$A166,'FY 23 OFA Shell'!$I$27:$I$195,0))</f>
        <v>1599666.6134000001</v>
      </c>
      <c r="AD166" s="143">
        <f>INDEX('FY 23 OFA Shell'!BQ$27:BQ$195,MATCH(Outputs!$A166,'FY 23 OFA Shell'!$I$27:$I$195,0))</f>
        <v>1467054</v>
      </c>
      <c r="AE166" s="129">
        <f t="shared" si="89"/>
        <v>0</v>
      </c>
      <c r="AF166" s="129">
        <f t="shared" si="90"/>
        <v>0</v>
      </c>
      <c r="AG166" s="129">
        <f t="shared" si="91"/>
        <v>0</v>
      </c>
      <c r="AH166" s="129">
        <f t="shared" si="92"/>
        <v>0</v>
      </c>
      <c r="AI166" s="129">
        <f t="shared" si="93"/>
        <v>0</v>
      </c>
      <c r="AJ166" s="129">
        <f t="shared" si="94"/>
        <v>0</v>
      </c>
      <c r="AK166" s="129">
        <f t="shared" si="95"/>
        <v>0</v>
      </c>
      <c r="AL166" s="129">
        <f t="shared" si="96"/>
        <v>0</v>
      </c>
      <c r="AM166" s="129">
        <f t="shared" si="97"/>
        <v>0</v>
      </c>
      <c r="AN166" s="127">
        <f t="shared" si="98"/>
        <v>0</v>
      </c>
      <c r="AO166" s="127">
        <f t="shared" si="99"/>
        <v>0</v>
      </c>
      <c r="AP166" s="127">
        <f t="shared" si="100"/>
        <v>0</v>
      </c>
      <c r="AQ166" s="127">
        <f t="shared" si="101"/>
        <v>0</v>
      </c>
      <c r="AR166" s="127">
        <f t="shared" si="102"/>
        <v>0</v>
      </c>
      <c r="AS166" s="127">
        <f t="shared" si="103"/>
        <v>0</v>
      </c>
      <c r="AT166" s="127">
        <f t="shared" si="104"/>
        <v>0</v>
      </c>
      <c r="AU166" s="127">
        <f t="shared" si="105"/>
        <v>0</v>
      </c>
      <c r="AV166" s="127">
        <f t="shared" si="106"/>
        <v>0</v>
      </c>
    </row>
    <row r="167" spans="1:48" x14ac:dyDescent="0.15">
      <c r="A167" s="29" t="s">
        <v>160</v>
      </c>
      <c r="B167" s="30">
        <f>IF(Data!D162=1, MAX(Data!AA162, Inputs!$E$25) + INDEX(Inputs!$D$38:$D$42, MATCH( Data!AD162, Inputs!$B$38:$B$42, 0), 0), MAX(Data!AA162, Inputs!$E$26) +  INDEX(Inputs!$D$38:$D$42, MATCH( Data!AD162, Inputs!$B$38:$B$42, 0), 0))</f>
        <v>0.28702</v>
      </c>
      <c r="C167" s="141">
        <f>(100*Data!R162)</f>
        <v>0</v>
      </c>
      <c r="D167" s="141">
        <f>ROUND(Data!Q162*C167, 0)</f>
        <v>0</v>
      </c>
      <c r="E167" s="141">
        <f>(100*Data!T162)</f>
        <v>0</v>
      </c>
      <c r="F167" s="141">
        <f>E167*Data!S162</f>
        <v>0</v>
      </c>
      <c r="G167" s="142">
        <f>ROUND(Inputs!$E$21*Data!W162*B167, 0)</f>
        <v>19973365</v>
      </c>
      <c r="H167" s="143">
        <f>IF(G167=0, 0,IF(Inputs!$E$30="Yes", IF(Data!D162=1, MAX(Outputs!D167+Outputs!F167+Outputs!G167, Data!AE162), Outputs!D167+Outputs!F167+Outputs!G167), Outputs!D167+Outputs!F167+Outputs!G167))</f>
        <v>19973365</v>
      </c>
      <c r="I167" s="143">
        <f>INDEX('FY 22 OFA Shell'!$AQ$27:$AQ$195,MATCH(Outputs!A167,'FY 22 OFA Shell'!$I$27:$I$195,0))</f>
        <v>19973365</v>
      </c>
      <c r="J167" s="129">
        <f>H167-Data!AT162</f>
        <v>-882205</v>
      </c>
      <c r="K167" s="127">
        <f>((H167)/(Data!AT162)) - 1</f>
        <v>-4.230068993559033E-2</v>
      </c>
      <c r="L167" s="127">
        <f t="shared" si="88"/>
        <v>0</v>
      </c>
      <c r="M167" s="143">
        <f>(IF(Inputs!$E$30="Yes",INDEX(Data!AT:AT,MATCH(Outputs!A167,Data!A:A,0)),INDEX(Data!AS:AS,MATCH(Outputs!A167,Data!A:A,0))))</f>
        <v>20855570</v>
      </c>
      <c r="N167" s="143">
        <f>IF(Inputs!$E$30="Yes",INDEX(Data!BN:BN,MATCH(Outputs!$A167,Data!$A:$A,0)),INDEX(Data!BE:BE,MATCH(Outputs!$A167,Data!$A:$A,0)))</f>
        <v>20855570</v>
      </c>
      <c r="O167" s="143">
        <f>IF(Inputs!$E$30="Yes",INDEX(Data!BO:BO,MATCH(Outputs!$A167,Data!$A:$A,0)),INDEX(Data!BF:BF,MATCH(Outputs!$A167,Data!$A:$A,0)))</f>
        <v>20744934.521899998</v>
      </c>
      <c r="P167" s="143">
        <f>IF(Inputs!$E$30="Yes",INDEX(Data!BP:BP,MATCH(Outputs!$A167,Data!$A:$A,0)),INDEX(Data!BG:BG,MATCH(Outputs!$A167,Data!$A:$A,0)))</f>
        <v>20634299.043799996</v>
      </c>
      <c r="Q167" s="143">
        <f>IF(Inputs!$E$30="Yes",INDEX(Data!BQ:BQ,MATCH(Outputs!$A167,Data!$A:$A,0)),INDEX(Data!BH:BH,MATCH(Outputs!$A167,Data!$A:$A,0)))</f>
        <v>20523663.565699995</v>
      </c>
      <c r="R167" s="143">
        <f>IF(Inputs!$E$30="Yes",INDEX(Data!BR:BR,MATCH(Outputs!$A167,Data!$A:$A,0)),INDEX(Data!BI:BI,MATCH(Outputs!$A167,Data!$A:$A,0)))</f>
        <v>20413028.087599993</v>
      </c>
      <c r="S167" s="143">
        <f>IF(Inputs!$E$30="Yes",INDEX(Data!BS:BS,MATCH(Outputs!$A167,Data!$A:$A,0)),INDEX(Data!BJ:BJ,MATCH(Outputs!$A167,Data!$A:$A,0)))</f>
        <v>20302392.609499991</v>
      </c>
      <c r="T167" s="143">
        <f>IF(Inputs!$E$30="Yes",INDEX(Data!BT:BT,MATCH(Outputs!$A167,Data!$A:$A,0)),INDEX(Data!BK:BK,MATCH(Outputs!$A167,Data!$A:$A,0)))</f>
        <v>20191757.131399989</v>
      </c>
      <c r="U167" s="143">
        <f>IF(Inputs!$E$30="Yes",INDEX(Data!BU:BU,MATCH(Outputs!$A167,Data!$A:$A,0)),INDEX(Data!BL:BL,MATCH(Outputs!$A167,Data!$A:$A,0)))</f>
        <v>19973365</v>
      </c>
      <c r="V167" s="143">
        <f>INDEX('FY 22 OFA Shell'!$AX$27:$AX$195,MATCH(Outputs!A167,'FY 22 OFA Shell'!$I$27:$I$195,0))</f>
        <v>20855570</v>
      </c>
      <c r="W167" s="143">
        <f>INDEX('FY 23 OFA Shell'!$AX$27:$AX$195,MATCH(Outputs!A167,'FY 23 OFA Shell'!$I$27:$I$195,0))</f>
        <v>20855570</v>
      </c>
      <c r="X167" s="143">
        <f>INDEX('FY 23 OFA Shell'!BK$27:BK$195,MATCH(Outputs!$A167,'FY 23 OFA Shell'!$I$27:$I$195,0))</f>
        <v>20744934.521899998</v>
      </c>
      <c r="Y167" s="143">
        <f>INDEX('FY 23 OFA Shell'!BL$27:BL$195,MATCH(Outputs!$A167,'FY 23 OFA Shell'!$I$27:$I$195,0))</f>
        <v>20634299.043799996</v>
      </c>
      <c r="Z167" s="143">
        <f>INDEX('FY 23 OFA Shell'!BM$27:BM$195,MATCH(Outputs!$A167,'FY 23 OFA Shell'!$I$27:$I$195,0))</f>
        <v>20523663.565699995</v>
      </c>
      <c r="AA167" s="143">
        <f>INDEX('FY 23 OFA Shell'!BN$27:BN$195,MATCH(Outputs!$A167,'FY 23 OFA Shell'!$I$27:$I$195,0))</f>
        <v>20413028.087599993</v>
      </c>
      <c r="AB167" s="143">
        <f>INDEX('FY 23 OFA Shell'!BO$27:BO$195,MATCH(Outputs!$A167,'FY 23 OFA Shell'!$I$27:$I$195,0))</f>
        <v>20302392.609499991</v>
      </c>
      <c r="AC167" s="143">
        <f>INDEX('FY 23 OFA Shell'!BP$27:BP$195,MATCH(Outputs!$A167,'FY 23 OFA Shell'!$I$27:$I$195,0))</f>
        <v>20191757.131399989</v>
      </c>
      <c r="AD167" s="143">
        <f>INDEX('FY 23 OFA Shell'!BQ$27:BQ$195,MATCH(Outputs!$A167,'FY 23 OFA Shell'!$I$27:$I$195,0))</f>
        <v>19973365</v>
      </c>
      <c r="AE167" s="129">
        <f t="shared" si="89"/>
        <v>0</v>
      </c>
      <c r="AF167" s="129">
        <f t="shared" si="90"/>
        <v>0</v>
      </c>
      <c r="AG167" s="129">
        <f t="shared" si="91"/>
        <v>0</v>
      </c>
      <c r="AH167" s="129">
        <f t="shared" si="92"/>
        <v>0</v>
      </c>
      <c r="AI167" s="129">
        <f t="shared" si="93"/>
        <v>0</v>
      </c>
      <c r="AJ167" s="129">
        <f t="shared" si="94"/>
        <v>0</v>
      </c>
      <c r="AK167" s="129">
        <f t="shared" si="95"/>
        <v>0</v>
      </c>
      <c r="AL167" s="129">
        <f t="shared" si="96"/>
        <v>0</v>
      </c>
      <c r="AM167" s="129">
        <f t="shared" si="97"/>
        <v>0</v>
      </c>
      <c r="AN167" s="127">
        <f t="shared" si="98"/>
        <v>0</v>
      </c>
      <c r="AO167" s="127">
        <f t="shared" si="99"/>
        <v>0</v>
      </c>
      <c r="AP167" s="127">
        <f t="shared" si="100"/>
        <v>0</v>
      </c>
      <c r="AQ167" s="127">
        <f t="shared" si="101"/>
        <v>0</v>
      </c>
      <c r="AR167" s="127">
        <f t="shared" si="102"/>
        <v>0</v>
      </c>
      <c r="AS167" s="127">
        <f t="shared" si="103"/>
        <v>0</v>
      </c>
      <c r="AT167" s="127">
        <f t="shared" si="104"/>
        <v>0</v>
      </c>
      <c r="AU167" s="127">
        <f t="shared" si="105"/>
        <v>0</v>
      </c>
      <c r="AV167" s="127">
        <f t="shared" si="106"/>
        <v>0</v>
      </c>
    </row>
    <row r="168" spans="1:48" x14ac:dyDescent="0.15">
      <c r="A168" s="29" t="s">
        <v>161</v>
      </c>
      <c r="B168" s="30">
        <f>IF(Data!D163=1, MAX(Data!AA163, Inputs!$E$25) + INDEX(Inputs!$D$38:$D$42, MATCH( Data!AD163, Inputs!$B$38:$B$42, 0), 0), MAX(Data!AA163, Inputs!$E$26) +  INDEX(Inputs!$D$38:$D$42, MATCH( Data!AD163, Inputs!$B$38:$B$42, 0), 0))</f>
        <v>0.01</v>
      </c>
      <c r="C168" s="141">
        <f>(100*Data!R163)</f>
        <v>1300</v>
      </c>
      <c r="D168" s="141">
        <f>ROUND(Data!Q163*C168, 0)</f>
        <v>157300</v>
      </c>
      <c r="E168" s="141">
        <f>(100*Data!T163)</f>
        <v>0</v>
      </c>
      <c r="F168" s="141">
        <f>E168*Data!S163</f>
        <v>0</v>
      </c>
      <c r="G168" s="142">
        <f>ROUND(Inputs!$E$21*Data!W163*B168, 0)</f>
        <v>14692</v>
      </c>
      <c r="H168" s="143">
        <f>IF(G168=0, 0,IF(Inputs!$E$30="Yes", IF(Data!D163=1, MAX(Outputs!D168+Outputs!F168+Outputs!G168, Data!AE163), Outputs!D168+Outputs!F168+Outputs!G168), Outputs!D168+Outputs!F168+Outputs!G168))</f>
        <v>171992</v>
      </c>
      <c r="I168" s="143">
        <f>INDEX('FY 22 OFA Shell'!$AQ$27:$AQ$195,MATCH(Outputs!A168,'FY 22 OFA Shell'!$I$27:$I$195,0))</f>
        <v>171992</v>
      </c>
      <c r="J168" s="129">
        <f>H168-Data!AT163</f>
        <v>125082.3058</v>
      </c>
      <c r="K168" s="127">
        <f>((H168)/(Data!AT163)) - 1</f>
        <v>2.6664489703708196</v>
      </c>
      <c r="L168" s="127">
        <f t="shared" si="88"/>
        <v>0</v>
      </c>
      <c r="M168" s="143">
        <f>(IF(Inputs!$E$30="Yes",INDEX(Data!AT:AT,MATCH(Outputs!A168,Data!A:A,0)),INDEX(Data!AS:AS,MATCH(Outputs!A168,Data!A:A,0))))</f>
        <v>46909.694199999998</v>
      </c>
      <c r="N168" s="143">
        <f>IF(Inputs!$E$30="Yes",INDEX(Data!BN:BN,MATCH(Outputs!$A168,Data!$A:$A,0)),INDEX(Data!BE:BE,MATCH(Outputs!$A168,Data!$A:$A,0)))</f>
        <v>61704.388399999996</v>
      </c>
      <c r="O168" s="143">
        <f>IF(Inputs!$E$30="Yes",INDEX(Data!BO:BO,MATCH(Outputs!$A168,Data!$A:$A,0)),INDEX(Data!BF:BF,MATCH(Outputs!$A168,Data!$A:$A,0)))</f>
        <v>76499.082599999994</v>
      </c>
      <c r="P168" s="143">
        <f>IF(Inputs!$E$30="Yes",INDEX(Data!BP:BP,MATCH(Outputs!$A168,Data!$A:$A,0)),INDEX(Data!BG:BG,MATCH(Outputs!$A168,Data!$A:$A,0)))</f>
        <v>91293.776799999992</v>
      </c>
      <c r="Q168" s="143">
        <f>IF(Inputs!$E$30="Yes",INDEX(Data!BQ:BQ,MATCH(Outputs!$A168,Data!$A:$A,0)),INDEX(Data!BH:BH,MATCH(Outputs!$A168,Data!$A:$A,0)))</f>
        <v>106088.47099999999</v>
      </c>
      <c r="R168" s="143">
        <f>IF(Inputs!$E$30="Yes",INDEX(Data!BR:BR,MATCH(Outputs!$A168,Data!$A:$A,0)),INDEX(Data!BI:BI,MATCH(Outputs!$A168,Data!$A:$A,0)))</f>
        <v>120883.16519999999</v>
      </c>
      <c r="S168" s="143">
        <f>IF(Inputs!$E$30="Yes",INDEX(Data!BS:BS,MATCH(Outputs!$A168,Data!$A:$A,0)),INDEX(Data!BJ:BJ,MATCH(Outputs!$A168,Data!$A:$A,0)))</f>
        <v>171992</v>
      </c>
      <c r="T168" s="143">
        <f>IF(Inputs!$E$30="Yes",INDEX(Data!BT:BT,MATCH(Outputs!$A168,Data!$A:$A,0)),INDEX(Data!BK:BK,MATCH(Outputs!$A168,Data!$A:$A,0)))</f>
        <v>171992</v>
      </c>
      <c r="U168" s="143">
        <f>IF(Inputs!$E$30="Yes",INDEX(Data!BU:BU,MATCH(Outputs!$A168,Data!$A:$A,0)),INDEX(Data!BL:BL,MATCH(Outputs!$A168,Data!$A:$A,0)))</f>
        <v>171992</v>
      </c>
      <c r="V168" s="143">
        <f>INDEX('FY 22 OFA Shell'!$AX$27:$AX$195,MATCH(Outputs!A168,'FY 22 OFA Shell'!$I$27:$I$195,0))</f>
        <v>46909.694199999998</v>
      </c>
      <c r="W168" s="143">
        <f>INDEX('FY 23 OFA Shell'!$AX$27:$AX$195,MATCH(Outputs!A168,'FY 23 OFA Shell'!$I$27:$I$195,0))</f>
        <v>61704.388399999996</v>
      </c>
      <c r="X168" s="143">
        <f>INDEX('FY 23 OFA Shell'!BK$27:BK$195,MATCH(Outputs!$A168,'FY 23 OFA Shell'!$I$27:$I$195,0))</f>
        <v>76499.082599999994</v>
      </c>
      <c r="Y168" s="143">
        <f>INDEX('FY 23 OFA Shell'!BL$27:BL$195,MATCH(Outputs!$A168,'FY 23 OFA Shell'!$I$27:$I$195,0))</f>
        <v>91293.776799999992</v>
      </c>
      <c r="Z168" s="143">
        <f>INDEX('FY 23 OFA Shell'!BM$27:BM$195,MATCH(Outputs!$A168,'FY 23 OFA Shell'!$I$27:$I$195,0))</f>
        <v>106088.47099999999</v>
      </c>
      <c r="AA168" s="143">
        <f>INDEX('FY 23 OFA Shell'!BN$27:BN$195,MATCH(Outputs!$A168,'FY 23 OFA Shell'!$I$27:$I$195,0))</f>
        <v>120883.16519999999</v>
      </c>
      <c r="AB168" s="143">
        <f>INDEX('FY 23 OFA Shell'!BO$27:BO$195,MATCH(Outputs!$A168,'FY 23 OFA Shell'!$I$27:$I$195,0))</f>
        <v>171992</v>
      </c>
      <c r="AC168" s="143">
        <f>INDEX('FY 23 OFA Shell'!BP$27:BP$195,MATCH(Outputs!$A168,'FY 23 OFA Shell'!$I$27:$I$195,0))</f>
        <v>171992</v>
      </c>
      <c r="AD168" s="143">
        <f>INDEX('FY 23 OFA Shell'!BQ$27:BQ$195,MATCH(Outputs!$A168,'FY 23 OFA Shell'!$I$27:$I$195,0))</f>
        <v>171992</v>
      </c>
      <c r="AE168" s="129">
        <f t="shared" si="89"/>
        <v>0</v>
      </c>
      <c r="AF168" s="129">
        <f t="shared" si="90"/>
        <v>0</v>
      </c>
      <c r="AG168" s="129">
        <f t="shared" si="91"/>
        <v>0</v>
      </c>
      <c r="AH168" s="129">
        <f t="shared" si="92"/>
        <v>0</v>
      </c>
      <c r="AI168" s="129">
        <f t="shared" si="93"/>
        <v>0</v>
      </c>
      <c r="AJ168" s="129">
        <f t="shared" si="94"/>
        <v>0</v>
      </c>
      <c r="AK168" s="129">
        <f t="shared" si="95"/>
        <v>0</v>
      </c>
      <c r="AL168" s="129">
        <f t="shared" si="96"/>
        <v>0</v>
      </c>
      <c r="AM168" s="129">
        <f t="shared" si="97"/>
        <v>0</v>
      </c>
      <c r="AN168" s="127">
        <f t="shared" si="98"/>
        <v>0</v>
      </c>
      <c r="AO168" s="127">
        <f t="shared" si="99"/>
        <v>0</v>
      </c>
      <c r="AP168" s="127">
        <f t="shared" si="100"/>
        <v>0</v>
      </c>
      <c r="AQ168" s="127">
        <f t="shared" si="101"/>
        <v>0</v>
      </c>
      <c r="AR168" s="127">
        <f t="shared" si="102"/>
        <v>0</v>
      </c>
      <c r="AS168" s="127">
        <f t="shared" si="103"/>
        <v>0</v>
      </c>
      <c r="AT168" s="127">
        <f t="shared" si="104"/>
        <v>0</v>
      </c>
      <c r="AU168" s="127">
        <f t="shared" si="105"/>
        <v>0</v>
      </c>
      <c r="AV168" s="127">
        <f t="shared" si="106"/>
        <v>0</v>
      </c>
    </row>
    <row r="169" spans="1:48" x14ac:dyDescent="0.15">
      <c r="A169" s="29" t="s">
        <v>162</v>
      </c>
      <c r="B169" s="30">
        <f>IF(Data!D164=1, MAX(Data!AA164, Inputs!$E$25) + INDEX(Inputs!$D$38:$D$42, MATCH( Data!AD164, Inputs!$B$38:$B$42, 0), 0), MAX(Data!AA164, Inputs!$E$26) +  INDEX(Inputs!$D$38:$D$42, MATCH( Data!AD164, Inputs!$B$38:$B$42, 0), 0))</f>
        <v>0.01</v>
      </c>
      <c r="C169" s="141">
        <f>(100*Data!R164)</f>
        <v>1300</v>
      </c>
      <c r="D169" s="141">
        <f>ROUND(Data!Q164*C169, 0)</f>
        <v>334100</v>
      </c>
      <c r="E169" s="141">
        <f>(100*Data!T164)</f>
        <v>0</v>
      </c>
      <c r="F169" s="141">
        <f>E169*Data!S164</f>
        <v>0</v>
      </c>
      <c r="G169" s="142">
        <f>ROUND(Inputs!$E$21*Data!W164*B169, 0)</f>
        <v>32299</v>
      </c>
      <c r="H169" s="143">
        <f>IF(G169=0, 0,IF(Inputs!$E$30="Yes", IF(Data!D164=1, MAX(Outputs!D169+Outputs!F169+Outputs!G169, Data!AE164), Outputs!D169+Outputs!F169+Outputs!G169), Outputs!D169+Outputs!F169+Outputs!G169))</f>
        <v>366399</v>
      </c>
      <c r="I169" s="143">
        <f>INDEX('FY 22 OFA Shell'!$AQ$27:$AQ$195,MATCH(Outputs!A169,'FY 22 OFA Shell'!$I$27:$I$195,0))</f>
        <v>366399</v>
      </c>
      <c r="J169" s="129">
        <f>H169-Data!AT164</f>
        <v>279732.73019999999</v>
      </c>
      <c r="K169" s="127">
        <f>((H169)/(Data!AT164)) - 1</f>
        <v>3.2277001288452816</v>
      </c>
      <c r="L169" s="127">
        <f t="shared" si="88"/>
        <v>0</v>
      </c>
      <c r="M169" s="143">
        <f>(IF(Inputs!$E$30="Yes",INDEX(Data!AT:AT,MATCH(Outputs!A169,Data!A:A,0)),INDEX(Data!AS:AS,MATCH(Outputs!A169,Data!A:A,0))))</f>
        <v>86666.269800000009</v>
      </c>
      <c r="N169" s="143">
        <f>IF(Inputs!$E$30="Yes",INDEX(Data!BN:BN,MATCH(Outputs!$A169,Data!$A:$A,0)),INDEX(Data!BE:BE,MATCH(Outputs!$A169,Data!$A:$A,0)))</f>
        <v>120325.53960000002</v>
      </c>
      <c r="O169" s="143">
        <f>IF(Inputs!$E$30="Yes",INDEX(Data!BO:BO,MATCH(Outputs!$A169,Data!$A:$A,0)),INDEX(Data!BF:BF,MATCH(Outputs!$A169,Data!$A:$A,0)))</f>
        <v>153984.80940000003</v>
      </c>
      <c r="P169" s="143">
        <f>IF(Inputs!$E$30="Yes",INDEX(Data!BP:BP,MATCH(Outputs!$A169,Data!$A:$A,0)),INDEX(Data!BG:BG,MATCH(Outputs!$A169,Data!$A:$A,0)))</f>
        <v>187644.07920000004</v>
      </c>
      <c r="Q169" s="143">
        <f>IF(Inputs!$E$30="Yes",INDEX(Data!BQ:BQ,MATCH(Outputs!$A169,Data!$A:$A,0)),INDEX(Data!BH:BH,MATCH(Outputs!$A169,Data!$A:$A,0)))</f>
        <v>221303.34900000005</v>
      </c>
      <c r="R169" s="143">
        <f>IF(Inputs!$E$30="Yes",INDEX(Data!BR:BR,MATCH(Outputs!$A169,Data!$A:$A,0)),INDEX(Data!BI:BI,MATCH(Outputs!$A169,Data!$A:$A,0)))</f>
        <v>254962.61880000005</v>
      </c>
      <c r="S169" s="143">
        <f>IF(Inputs!$E$30="Yes",INDEX(Data!BS:BS,MATCH(Outputs!$A169,Data!$A:$A,0)),INDEX(Data!BJ:BJ,MATCH(Outputs!$A169,Data!$A:$A,0)))</f>
        <v>366399</v>
      </c>
      <c r="T169" s="143">
        <f>IF(Inputs!$E$30="Yes",INDEX(Data!BT:BT,MATCH(Outputs!$A169,Data!$A:$A,0)),INDEX(Data!BK:BK,MATCH(Outputs!$A169,Data!$A:$A,0)))</f>
        <v>366399</v>
      </c>
      <c r="U169" s="143">
        <f>IF(Inputs!$E$30="Yes",INDEX(Data!BU:BU,MATCH(Outputs!$A169,Data!$A:$A,0)),INDEX(Data!BL:BL,MATCH(Outputs!$A169,Data!$A:$A,0)))</f>
        <v>366399</v>
      </c>
      <c r="V169" s="143">
        <f>INDEX('FY 22 OFA Shell'!$AX$27:$AX$195,MATCH(Outputs!A169,'FY 22 OFA Shell'!$I$27:$I$195,0))</f>
        <v>86666.269800000009</v>
      </c>
      <c r="W169" s="143">
        <f>INDEX('FY 23 OFA Shell'!$AX$27:$AX$195,MATCH(Outputs!A169,'FY 23 OFA Shell'!$I$27:$I$195,0))</f>
        <v>120325.53960000002</v>
      </c>
      <c r="X169" s="143">
        <f>INDEX('FY 23 OFA Shell'!BK$27:BK$195,MATCH(Outputs!$A169,'FY 23 OFA Shell'!$I$27:$I$195,0))</f>
        <v>153984.80940000003</v>
      </c>
      <c r="Y169" s="143">
        <f>INDEX('FY 23 OFA Shell'!BL$27:BL$195,MATCH(Outputs!$A169,'FY 23 OFA Shell'!$I$27:$I$195,0))</f>
        <v>187644.07920000004</v>
      </c>
      <c r="Z169" s="143">
        <f>INDEX('FY 23 OFA Shell'!BM$27:BM$195,MATCH(Outputs!$A169,'FY 23 OFA Shell'!$I$27:$I$195,0))</f>
        <v>221303.34900000005</v>
      </c>
      <c r="AA169" s="143">
        <f>INDEX('FY 23 OFA Shell'!BN$27:BN$195,MATCH(Outputs!$A169,'FY 23 OFA Shell'!$I$27:$I$195,0))</f>
        <v>254962.61880000005</v>
      </c>
      <c r="AB169" s="143">
        <f>INDEX('FY 23 OFA Shell'!BO$27:BO$195,MATCH(Outputs!$A169,'FY 23 OFA Shell'!$I$27:$I$195,0))</f>
        <v>366399</v>
      </c>
      <c r="AC169" s="143">
        <f>INDEX('FY 23 OFA Shell'!BP$27:BP$195,MATCH(Outputs!$A169,'FY 23 OFA Shell'!$I$27:$I$195,0))</f>
        <v>366399</v>
      </c>
      <c r="AD169" s="143">
        <f>INDEX('FY 23 OFA Shell'!BQ$27:BQ$195,MATCH(Outputs!$A169,'FY 23 OFA Shell'!$I$27:$I$195,0))</f>
        <v>366399</v>
      </c>
      <c r="AE169" s="129">
        <f t="shared" si="89"/>
        <v>0</v>
      </c>
      <c r="AF169" s="129">
        <f t="shared" si="90"/>
        <v>0</v>
      </c>
      <c r="AG169" s="129">
        <f t="shared" si="91"/>
        <v>0</v>
      </c>
      <c r="AH169" s="129">
        <f t="shared" si="92"/>
        <v>0</v>
      </c>
      <c r="AI169" s="129">
        <f t="shared" si="93"/>
        <v>0</v>
      </c>
      <c r="AJ169" s="129">
        <f t="shared" si="94"/>
        <v>0</v>
      </c>
      <c r="AK169" s="129">
        <f t="shared" si="95"/>
        <v>0</v>
      </c>
      <c r="AL169" s="129">
        <f t="shared" si="96"/>
        <v>0</v>
      </c>
      <c r="AM169" s="129">
        <f t="shared" si="97"/>
        <v>0</v>
      </c>
      <c r="AN169" s="127">
        <f t="shared" si="98"/>
        <v>0</v>
      </c>
      <c r="AO169" s="127">
        <f t="shared" si="99"/>
        <v>0</v>
      </c>
      <c r="AP169" s="127">
        <f t="shared" si="100"/>
        <v>0</v>
      </c>
      <c r="AQ169" s="127">
        <f t="shared" si="101"/>
        <v>0</v>
      </c>
      <c r="AR169" s="127">
        <f t="shared" si="102"/>
        <v>0</v>
      </c>
      <c r="AS169" s="127">
        <f t="shared" si="103"/>
        <v>0</v>
      </c>
      <c r="AT169" s="127">
        <f t="shared" si="104"/>
        <v>0</v>
      </c>
      <c r="AU169" s="127">
        <f t="shared" si="105"/>
        <v>0</v>
      </c>
      <c r="AV169" s="127">
        <f t="shared" si="106"/>
        <v>0</v>
      </c>
    </row>
    <row r="170" spans="1:48" x14ac:dyDescent="0.15">
      <c r="A170" s="29" t="s">
        <v>163</v>
      </c>
      <c r="B170" s="30">
        <f>IF(Data!D165=1, MAX(Data!AA165, Inputs!$E$25) + INDEX(Inputs!$D$38:$D$42, MATCH( Data!AD165, Inputs!$B$38:$B$42, 0), 0), MAX(Data!AA165, Inputs!$E$26) +  INDEX(Inputs!$D$38:$D$42, MATCH( Data!AD165, Inputs!$B$38:$B$42, 0), 0))</f>
        <v>0.74331199999999997</v>
      </c>
      <c r="C170" s="141">
        <f>(100*Data!R165)</f>
        <v>0</v>
      </c>
      <c r="D170" s="141">
        <f>ROUND(Data!Q165*C170, 0)</f>
        <v>0</v>
      </c>
      <c r="E170" s="141">
        <f>(100*Data!T165)</f>
        <v>0</v>
      </c>
      <c r="F170" s="141">
        <f>E170*Data!S165</f>
        <v>0</v>
      </c>
      <c r="G170" s="142">
        <f>ROUND(Inputs!$E$21*Data!W165*B170, 0)</f>
        <v>200512747</v>
      </c>
      <c r="H170" s="143">
        <f>IF(G170=0, 0,IF(Inputs!$E$30="Yes", IF(Data!D165=1, MAX(Outputs!D170+Outputs!F170+Outputs!G170, Data!AE165), Outputs!D170+Outputs!F170+Outputs!G170), Outputs!D170+Outputs!F170+Outputs!G170))</f>
        <v>200512747</v>
      </c>
      <c r="I170" s="143">
        <f>INDEX('FY 22 OFA Shell'!$AQ$27:$AQ$195,MATCH(Outputs!A170,'FY 22 OFA Shell'!$I$27:$I$195,0))</f>
        <v>200512747</v>
      </c>
      <c r="J170" s="129">
        <f>H170-Data!AT165</f>
        <v>43289953.805400014</v>
      </c>
      <c r="K170" s="127">
        <f>((H170)/(Data!AT165)) - 1</f>
        <v>0.27534146242916924</v>
      </c>
      <c r="L170" s="127">
        <f t="shared" si="88"/>
        <v>0</v>
      </c>
      <c r="M170" s="143">
        <f>(IF(Inputs!$E$30="Yes",INDEX(Data!AT:AT,MATCH(Outputs!A170,Data!A:A,0)),INDEX(Data!AS:AS,MATCH(Outputs!A170,Data!A:A,0))))</f>
        <v>157222793.19459999</v>
      </c>
      <c r="N170" s="143">
        <f>IF(Inputs!$E$30="Yes",INDEX(Data!BN:BN,MATCH(Outputs!$A170,Data!$A:$A,0)),INDEX(Data!BE:BE,MATCH(Outputs!$A170,Data!$A:$A,0)))</f>
        <v>164355045.38919997</v>
      </c>
      <c r="O170" s="143">
        <f>IF(Inputs!$E$30="Yes",INDEX(Data!BO:BO,MATCH(Outputs!$A170,Data!$A:$A,0)),INDEX(Data!BF:BF,MATCH(Outputs!$A170,Data!$A:$A,0)))</f>
        <v>171487297.58379996</v>
      </c>
      <c r="P170" s="143">
        <f>IF(Inputs!$E$30="Yes",INDEX(Data!BP:BP,MATCH(Outputs!$A170,Data!$A:$A,0)),INDEX(Data!BG:BG,MATCH(Outputs!$A170,Data!$A:$A,0)))</f>
        <v>178619549.77839994</v>
      </c>
      <c r="Q170" s="143">
        <f>IF(Inputs!$E$30="Yes",INDEX(Data!BQ:BQ,MATCH(Outputs!$A170,Data!$A:$A,0)),INDEX(Data!BH:BH,MATCH(Outputs!$A170,Data!$A:$A,0)))</f>
        <v>185751801.97299993</v>
      </c>
      <c r="R170" s="143">
        <f>IF(Inputs!$E$30="Yes",INDEX(Data!BR:BR,MATCH(Outputs!$A170,Data!$A:$A,0)),INDEX(Data!BI:BI,MATCH(Outputs!$A170,Data!$A:$A,0)))</f>
        <v>192884054.16759992</v>
      </c>
      <c r="S170" s="143">
        <f>IF(Inputs!$E$30="Yes",INDEX(Data!BS:BS,MATCH(Outputs!$A170,Data!$A:$A,0)),INDEX(Data!BJ:BJ,MATCH(Outputs!$A170,Data!$A:$A,0)))</f>
        <v>200512747</v>
      </c>
      <c r="T170" s="143">
        <f>IF(Inputs!$E$30="Yes",INDEX(Data!BT:BT,MATCH(Outputs!$A170,Data!$A:$A,0)),INDEX(Data!BK:BK,MATCH(Outputs!$A170,Data!$A:$A,0)))</f>
        <v>200512747</v>
      </c>
      <c r="U170" s="143">
        <f>IF(Inputs!$E$30="Yes",INDEX(Data!BU:BU,MATCH(Outputs!$A170,Data!$A:$A,0)),INDEX(Data!BL:BL,MATCH(Outputs!$A170,Data!$A:$A,0)))</f>
        <v>200512747</v>
      </c>
      <c r="V170" s="143">
        <f>INDEX('FY 22 OFA Shell'!$AX$27:$AX$195,MATCH(Outputs!A170,'FY 22 OFA Shell'!$I$27:$I$195,0))</f>
        <v>157222793.19459999</v>
      </c>
      <c r="W170" s="143">
        <f>INDEX('FY 23 OFA Shell'!$AX$27:$AX$195,MATCH(Outputs!A170,'FY 23 OFA Shell'!$I$27:$I$195,0))</f>
        <v>164355045.38919997</v>
      </c>
      <c r="X170" s="143">
        <f>INDEX('FY 23 OFA Shell'!BK$27:BK$195,MATCH(Outputs!$A170,'FY 23 OFA Shell'!$I$27:$I$195,0))</f>
        <v>171487297.58379996</v>
      </c>
      <c r="Y170" s="143">
        <f>INDEX('FY 23 OFA Shell'!BL$27:BL$195,MATCH(Outputs!$A170,'FY 23 OFA Shell'!$I$27:$I$195,0))</f>
        <v>178619549.77839994</v>
      </c>
      <c r="Z170" s="143">
        <f>INDEX('FY 23 OFA Shell'!BM$27:BM$195,MATCH(Outputs!$A170,'FY 23 OFA Shell'!$I$27:$I$195,0))</f>
        <v>185751801.97299993</v>
      </c>
      <c r="AA170" s="143">
        <f>INDEX('FY 23 OFA Shell'!BN$27:BN$195,MATCH(Outputs!$A170,'FY 23 OFA Shell'!$I$27:$I$195,0))</f>
        <v>192884054.16759992</v>
      </c>
      <c r="AB170" s="143">
        <f>INDEX('FY 23 OFA Shell'!BO$27:BO$195,MATCH(Outputs!$A170,'FY 23 OFA Shell'!$I$27:$I$195,0))</f>
        <v>200512747</v>
      </c>
      <c r="AC170" s="143">
        <f>INDEX('FY 23 OFA Shell'!BP$27:BP$195,MATCH(Outputs!$A170,'FY 23 OFA Shell'!$I$27:$I$195,0))</f>
        <v>200512747</v>
      </c>
      <c r="AD170" s="143">
        <f>INDEX('FY 23 OFA Shell'!BQ$27:BQ$195,MATCH(Outputs!$A170,'FY 23 OFA Shell'!$I$27:$I$195,0))</f>
        <v>200512747</v>
      </c>
      <c r="AE170" s="129">
        <f t="shared" si="89"/>
        <v>0</v>
      </c>
      <c r="AF170" s="129">
        <f t="shared" si="90"/>
        <v>0</v>
      </c>
      <c r="AG170" s="129">
        <f t="shared" si="91"/>
        <v>0</v>
      </c>
      <c r="AH170" s="129">
        <f t="shared" si="92"/>
        <v>0</v>
      </c>
      <c r="AI170" s="129">
        <f t="shared" si="93"/>
        <v>0</v>
      </c>
      <c r="AJ170" s="129">
        <f t="shared" si="94"/>
        <v>0</v>
      </c>
      <c r="AK170" s="129">
        <f t="shared" si="95"/>
        <v>0</v>
      </c>
      <c r="AL170" s="129">
        <f t="shared" si="96"/>
        <v>0</v>
      </c>
      <c r="AM170" s="129">
        <f t="shared" si="97"/>
        <v>0</v>
      </c>
      <c r="AN170" s="127">
        <f t="shared" si="98"/>
        <v>0</v>
      </c>
      <c r="AO170" s="127">
        <f t="shared" si="99"/>
        <v>0</v>
      </c>
      <c r="AP170" s="127">
        <f t="shared" si="100"/>
        <v>0</v>
      </c>
      <c r="AQ170" s="127">
        <f t="shared" si="101"/>
        <v>0</v>
      </c>
      <c r="AR170" s="127">
        <f t="shared" si="102"/>
        <v>0</v>
      </c>
      <c r="AS170" s="127">
        <f t="shared" si="103"/>
        <v>0</v>
      </c>
      <c r="AT170" s="127">
        <f t="shared" si="104"/>
        <v>0</v>
      </c>
      <c r="AU170" s="127">
        <f t="shared" si="105"/>
        <v>0</v>
      </c>
      <c r="AV170" s="127">
        <f t="shared" si="106"/>
        <v>0</v>
      </c>
    </row>
    <row r="171" spans="1:48" x14ac:dyDescent="0.15">
      <c r="A171" s="29" t="s">
        <v>164</v>
      </c>
      <c r="B171" s="30">
        <f>IF(Data!D166=1, MAX(Data!AA166, Inputs!$E$25) + INDEX(Inputs!$D$38:$D$42, MATCH( Data!AD166, Inputs!$B$38:$B$42, 0), 0), MAX(Data!AA166, Inputs!$E$26) +  INDEX(Inputs!$D$38:$D$42, MATCH( Data!AD166, Inputs!$B$38:$B$42, 0), 0))</f>
        <v>0.01</v>
      </c>
      <c r="C171" s="141">
        <f>(100*Data!R166)</f>
        <v>0</v>
      </c>
      <c r="D171" s="141">
        <f>ROUND(Data!Q166*C171, 0)</f>
        <v>0</v>
      </c>
      <c r="E171" s="141">
        <f>(100*Data!T166)</f>
        <v>0</v>
      </c>
      <c r="F171" s="141">
        <f>E171*Data!S166</f>
        <v>0</v>
      </c>
      <c r="G171" s="142">
        <f>ROUND(Inputs!$E$21*Data!W166*B171, 0)</f>
        <v>319883</v>
      </c>
      <c r="H171" s="143">
        <f>IF(G171=0, 0,IF(Inputs!$E$30="Yes", IF(Data!D166=1, MAX(Outputs!D171+Outputs!F171+Outputs!G171, Data!AE166), Outputs!D171+Outputs!F171+Outputs!G171), Outputs!D171+Outputs!F171+Outputs!G171))</f>
        <v>319883</v>
      </c>
      <c r="I171" s="143">
        <f>INDEX('FY 22 OFA Shell'!$AQ$27:$AQ$195,MATCH(Outputs!A171,'FY 22 OFA Shell'!$I$27:$I$195,0))</f>
        <v>319883</v>
      </c>
      <c r="J171" s="129">
        <f>H171-Data!AT166</f>
        <v>-6561</v>
      </c>
      <c r="K171" s="127">
        <f>((H171)/(Data!AT166)) - 1</f>
        <v>-2.0098393598902087E-2</v>
      </c>
      <c r="L171" s="127">
        <f t="shared" si="88"/>
        <v>0</v>
      </c>
      <c r="M171" s="143">
        <f>(IF(Inputs!$E$30="Yes",INDEX(Data!AT:AT,MATCH(Outputs!A171,Data!A:A,0)),INDEX(Data!AS:AS,MATCH(Outputs!A171,Data!A:A,0))))</f>
        <v>326444</v>
      </c>
      <c r="N171" s="143">
        <f>IF(Inputs!$E$30="Yes",INDEX(Data!BN:BN,MATCH(Outputs!$A171,Data!$A:$A,0)),INDEX(Data!BE:BE,MATCH(Outputs!$A171,Data!$A:$A,0)))</f>
        <v>326444</v>
      </c>
      <c r="O171" s="143">
        <f>IF(Inputs!$E$30="Yes",INDEX(Data!BO:BO,MATCH(Outputs!$A171,Data!$A:$A,0)),INDEX(Data!BF:BF,MATCH(Outputs!$A171,Data!$A:$A,0)))</f>
        <v>326327.7132</v>
      </c>
      <c r="P171" s="143">
        <f>IF(Inputs!$E$30="Yes",INDEX(Data!BP:BP,MATCH(Outputs!$A171,Data!$A:$A,0)),INDEX(Data!BG:BG,MATCH(Outputs!$A171,Data!$A:$A,0)))</f>
        <v>326211.4264</v>
      </c>
      <c r="Q171" s="143">
        <f>IF(Inputs!$E$30="Yes",INDEX(Data!BQ:BQ,MATCH(Outputs!$A171,Data!$A:$A,0)),INDEX(Data!BH:BH,MATCH(Outputs!$A171,Data!$A:$A,0)))</f>
        <v>326095.13959999999</v>
      </c>
      <c r="R171" s="143">
        <f>IF(Inputs!$E$30="Yes",INDEX(Data!BR:BR,MATCH(Outputs!$A171,Data!$A:$A,0)),INDEX(Data!BI:BI,MATCH(Outputs!$A171,Data!$A:$A,0)))</f>
        <v>325978.85279999999</v>
      </c>
      <c r="S171" s="143">
        <f>IF(Inputs!$E$30="Yes",INDEX(Data!BS:BS,MATCH(Outputs!$A171,Data!$A:$A,0)),INDEX(Data!BJ:BJ,MATCH(Outputs!$A171,Data!$A:$A,0)))</f>
        <v>325862.56599999999</v>
      </c>
      <c r="T171" s="143">
        <f>IF(Inputs!$E$30="Yes",INDEX(Data!BT:BT,MATCH(Outputs!$A171,Data!$A:$A,0)),INDEX(Data!BK:BK,MATCH(Outputs!$A171,Data!$A:$A,0)))</f>
        <v>325746.27919999999</v>
      </c>
      <c r="U171" s="143">
        <f>IF(Inputs!$E$30="Yes",INDEX(Data!BU:BU,MATCH(Outputs!$A171,Data!$A:$A,0)),INDEX(Data!BL:BL,MATCH(Outputs!$A171,Data!$A:$A,0)))</f>
        <v>319883</v>
      </c>
      <c r="V171" s="143">
        <f>INDEX('FY 22 OFA Shell'!$AX$27:$AX$195,MATCH(Outputs!A171,'FY 22 OFA Shell'!$I$27:$I$195,0))</f>
        <v>326444</v>
      </c>
      <c r="W171" s="143">
        <f>INDEX('FY 23 OFA Shell'!$AX$27:$AX$195,MATCH(Outputs!A171,'FY 23 OFA Shell'!$I$27:$I$195,0))</f>
        <v>326444</v>
      </c>
      <c r="X171" s="143">
        <f>INDEX('FY 23 OFA Shell'!BK$27:BK$195,MATCH(Outputs!$A171,'FY 23 OFA Shell'!$I$27:$I$195,0))</f>
        <v>326327.7132</v>
      </c>
      <c r="Y171" s="143">
        <f>INDEX('FY 23 OFA Shell'!BL$27:BL$195,MATCH(Outputs!$A171,'FY 23 OFA Shell'!$I$27:$I$195,0))</f>
        <v>326211.4264</v>
      </c>
      <c r="Z171" s="143">
        <f>INDEX('FY 23 OFA Shell'!BM$27:BM$195,MATCH(Outputs!$A171,'FY 23 OFA Shell'!$I$27:$I$195,0))</f>
        <v>326095.13959999999</v>
      </c>
      <c r="AA171" s="143">
        <f>INDEX('FY 23 OFA Shell'!BN$27:BN$195,MATCH(Outputs!$A171,'FY 23 OFA Shell'!$I$27:$I$195,0))</f>
        <v>325978.85279999999</v>
      </c>
      <c r="AB171" s="143">
        <f>INDEX('FY 23 OFA Shell'!BO$27:BO$195,MATCH(Outputs!$A171,'FY 23 OFA Shell'!$I$27:$I$195,0))</f>
        <v>325862.56599999999</v>
      </c>
      <c r="AC171" s="143">
        <f>INDEX('FY 23 OFA Shell'!BP$27:BP$195,MATCH(Outputs!$A171,'FY 23 OFA Shell'!$I$27:$I$195,0))</f>
        <v>325746.27919999999</v>
      </c>
      <c r="AD171" s="143">
        <f>INDEX('FY 23 OFA Shell'!BQ$27:BQ$195,MATCH(Outputs!$A171,'FY 23 OFA Shell'!$I$27:$I$195,0))</f>
        <v>319883</v>
      </c>
      <c r="AE171" s="129">
        <f t="shared" si="89"/>
        <v>0</v>
      </c>
      <c r="AF171" s="129">
        <f t="shared" si="90"/>
        <v>0</v>
      </c>
      <c r="AG171" s="129">
        <f t="shared" si="91"/>
        <v>0</v>
      </c>
      <c r="AH171" s="129">
        <f t="shared" si="92"/>
        <v>0</v>
      </c>
      <c r="AI171" s="129">
        <f t="shared" si="93"/>
        <v>0</v>
      </c>
      <c r="AJ171" s="129">
        <f t="shared" si="94"/>
        <v>0</v>
      </c>
      <c r="AK171" s="129">
        <f t="shared" si="95"/>
        <v>0</v>
      </c>
      <c r="AL171" s="129">
        <f t="shared" si="96"/>
        <v>0</v>
      </c>
      <c r="AM171" s="129">
        <f t="shared" si="97"/>
        <v>0</v>
      </c>
      <c r="AN171" s="127">
        <f t="shared" si="98"/>
        <v>0</v>
      </c>
      <c r="AO171" s="127">
        <f t="shared" si="99"/>
        <v>0</v>
      </c>
      <c r="AP171" s="127">
        <f t="shared" si="100"/>
        <v>0</v>
      </c>
      <c r="AQ171" s="127">
        <f t="shared" si="101"/>
        <v>0</v>
      </c>
      <c r="AR171" s="127">
        <f t="shared" si="102"/>
        <v>0</v>
      </c>
      <c r="AS171" s="127">
        <f t="shared" si="103"/>
        <v>0</v>
      </c>
      <c r="AT171" s="127">
        <f t="shared" si="104"/>
        <v>0</v>
      </c>
      <c r="AU171" s="127">
        <f t="shared" si="105"/>
        <v>0</v>
      </c>
      <c r="AV171" s="127">
        <f t="shared" si="106"/>
        <v>0</v>
      </c>
    </row>
    <row r="172" spans="1:48" x14ac:dyDescent="0.15">
      <c r="A172" s="29" t="s">
        <v>165</v>
      </c>
      <c r="B172" s="30">
        <f>IF(Data!D167=1, MAX(Data!AA167, Inputs!$E$25) + INDEX(Inputs!$D$38:$D$42, MATCH( Data!AD167, Inputs!$B$38:$B$42, 0), 0), MAX(Data!AA167, Inputs!$E$26) +  INDEX(Inputs!$D$38:$D$42, MATCH( Data!AD167, Inputs!$B$38:$B$42, 0), 0))</f>
        <v>0.364589</v>
      </c>
      <c r="C172" s="141">
        <f>(100*Data!R167)</f>
        <v>0</v>
      </c>
      <c r="D172" s="141">
        <f>ROUND(Data!Q167*C172, 0)</f>
        <v>0</v>
      </c>
      <c r="E172" s="141">
        <f>(100*Data!T167)</f>
        <v>0</v>
      </c>
      <c r="F172" s="141">
        <f>E172*Data!S167</f>
        <v>0</v>
      </c>
      <c r="G172" s="142">
        <f>ROUND(Inputs!$E$21*Data!W167*B172, 0)</f>
        <v>12682769</v>
      </c>
      <c r="H172" s="143">
        <f>IF(G172=0, 0,IF(Inputs!$E$30="Yes", IF(Data!D167=1, MAX(Outputs!D172+Outputs!F172+Outputs!G172, Data!AE167), Outputs!D172+Outputs!F172+Outputs!G172), Outputs!D172+Outputs!F172+Outputs!G172))</f>
        <v>12682769</v>
      </c>
      <c r="I172" s="143">
        <f>INDEX('FY 22 OFA Shell'!$AQ$27:$AQ$195,MATCH(Outputs!A172,'FY 22 OFA Shell'!$I$27:$I$195,0))</f>
        <v>12682769</v>
      </c>
      <c r="J172" s="129">
        <f>H172-Data!AT167</f>
        <v>803488.27960000001</v>
      </c>
      <c r="K172" s="127">
        <f>((H172)/(Data!AT167)) - 1</f>
        <v>6.7637788727409109E-2</v>
      </c>
      <c r="L172" s="127">
        <f t="shared" si="88"/>
        <v>0</v>
      </c>
      <c r="M172" s="143">
        <f>(IF(Inputs!$E$30="Yes",INDEX(Data!AT:AT,MATCH(Outputs!A172,Data!A:A,0)),INDEX(Data!AS:AS,MATCH(Outputs!A172,Data!A:A,0))))</f>
        <v>11879280.7204</v>
      </c>
      <c r="N172" s="143">
        <f>IF(Inputs!$E$30="Yes",INDEX(Data!BN:BN,MATCH(Outputs!$A172,Data!$A:$A,0)),INDEX(Data!BE:BE,MATCH(Outputs!$A172,Data!$A:$A,0)))</f>
        <v>11978375.4408</v>
      </c>
      <c r="O172" s="143">
        <f>IF(Inputs!$E$30="Yes",INDEX(Data!BO:BO,MATCH(Outputs!$A172,Data!$A:$A,0)),INDEX(Data!BF:BF,MATCH(Outputs!$A172,Data!$A:$A,0)))</f>
        <v>12077470.1612</v>
      </c>
      <c r="P172" s="143">
        <f>IF(Inputs!$E$30="Yes",INDEX(Data!BP:BP,MATCH(Outputs!$A172,Data!$A:$A,0)),INDEX(Data!BG:BG,MATCH(Outputs!$A172,Data!$A:$A,0)))</f>
        <v>12176564.8816</v>
      </c>
      <c r="Q172" s="143">
        <f>IF(Inputs!$E$30="Yes",INDEX(Data!BQ:BQ,MATCH(Outputs!$A172,Data!$A:$A,0)),INDEX(Data!BH:BH,MATCH(Outputs!$A172,Data!$A:$A,0)))</f>
        <v>12275659.602</v>
      </c>
      <c r="R172" s="143">
        <f>IF(Inputs!$E$30="Yes",INDEX(Data!BR:BR,MATCH(Outputs!$A172,Data!$A:$A,0)),INDEX(Data!BI:BI,MATCH(Outputs!$A172,Data!$A:$A,0)))</f>
        <v>12374754.3224</v>
      </c>
      <c r="S172" s="143">
        <f>IF(Inputs!$E$30="Yes",INDEX(Data!BS:BS,MATCH(Outputs!$A172,Data!$A:$A,0)),INDEX(Data!BJ:BJ,MATCH(Outputs!$A172,Data!$A:$A,0)))</f>
        <v>12682769</v>
      </c>
      <c r="T172" s="143">
        <f>IF(Inputs!$E$30="Yes",INDEX(Data!BT:BT,MATCH(Outputs!$A172,Data!$A:$A,0)),INDEX(Data!BK:BK,MATCH(Outputs!$A172,Data!$A:$A,0)))</f>
        <v>12682769</v>
      </c>
      <c r="U172" s="143">
        <f>IF(Inputs!$E$30="Yes",INDEX(Data!BU:BU,MATCH(Outputs!$A172,Data!$A:$A,0)),INDEX(Data!BL:BL,MATCH(Outputs!$A172,Data!$A:$A,0)))</f>
        <v>12682769</v>
      </c>
      <c r="V172" s="143">
        <f>INDEX('FY 22 OFA Shell'!$AX$27:$AX$195,MATCH(Outputs!A172,'FY 22 OFA Shell'!$I$27:$I$195,0))</f>
        <v>11879280.7204</v>
      </c>
      <c r="W172" s="143">
        <f>INDEX('FY 23 OFA Shell'!$AX$27:$AX$195,MATCH(Outputs!A172,'FY 23 OFA Shell'!$I$27:$I$195,0))</f>
        <v>11978375.4408</v>
      </c>
      <c r="X172" s="143">
        <f>INDEX('FY 23 OFA Shell'!BK$27:BK$195,MATCH(Outputs!$A172,'FY 23 OFA Shell'!$I$27:$I$195,0))</f>
        <v>12077470.1612</v>
      </c>
      <c r="Y172" s="143">
        <f>INDEX('FY 23 OFA Shell'!BL$27:BL$195,MATCH(Outputs!$A172,'FY 23 OFA Shell'!$I$27:$I$195,0))</f>
        <v>12176564.8816</v>
      </c>
      <c r="Z172" s="143">
        <f>INDEX('FY 23 OFA Shell'!BM$27:BM$195,MATCH(Outputs!$A172,'FY 23 OFA Shell'!$I$27:$I$195,0))</f>
        <v>12275659.602</v>
      </c>
      <c r="AA172" s="143">
        <f>INDEX('FY 23 OFA Shell'!BN$27:BN$195,MATCH(Outputs!$A172,'FY 23 OFA Shell'!$I$27:$I$195,0))</f>
        <v>12374754.3224</v>
      </c>
      <c r="AB172" s="143">
        <f>INDEX('FY 23 OFA Shell'!BO$27:BO$195,MATCH(Outputs!$A172,'FY 23 OFA Shell'!$I$27:$I$195,0))</f>
        <v>12682769</v>
      </c>
      <c r="AC172" s="143">
        <f>INDEX('FY 23 OFA Shell'!BP$27:BP$195,MATCH(Outputs!$A172,'FY 23 OFA Shell'!$I$27:$I$195,0))</f>
        <v>12682769</v>
      </c>
      <c r="AD172" s="143">
        <f>INDEX('FY 23 OFA Shell'!BQ$27:BQ$195,MATCH(Outputs!$A172,'FY 23 OFA Shell'!$I$27:$I$195,0))</f>
        <v>12682769</v>
      </c>
      <c r="AE172" s="129">
        <f t="shared" si="89"/>
        <v>0</v>
      </c>
      <c r="AF172" s="129">
        <f t="shared" si="90"/>
        <v>0</v>
      </c>
      <c r="AG172" s="129">
        <f t="shared" si="91"/>
        <v>0</v>
      </c>
      <c r="AH172" s="129">
        <f t="shared" si="92"/>
        <v>0</v>
      </c>
      <c r="AI172" s="129">
        <f t="shared" si="93"/>
        <v>0</v>
      </c>
      <c r="AJ172" s="129">
        <f t="shared" si="94"/>
        <v>0</v>
      </c>
      <c r="AK172" s="129">
        <f t="shared" si="95"/>
        <v>0</v>
      </c>
      <c r="AL172" s="129">
        <f t="shared" si="96"/>
        <v>0</v>
      </c>
      <c r="AM172" s="129">
        <f t="shared" si="97"/>
        <v>0</v>
      </c>
      <c r="AN172" s="127">
        <f t="shared" si="98"/>
        <v>0</v>
      </c>
      <c r="AO172" s="127">
        <f t="shared" si="99"/>
        <v>0</v>
      </c>
      <c r="AP172" s="127">
        <f t="shared" si="100"/>
        <v>0</v>
      </c>
      <c r="AQ172" s="127">
        <f t="shared" si="101"/>
        <v>0</v>
      </c>
      <c r="AR172" s="127">
        <f t="shared" si="102"/>
        <v>0</v>
      </c>
      <c r="AS172" s="127">
        <f t="shared" si="103"/>
        <v>0</v>
      </c>
      <c r="AT172" s="127">
        <f t="shared" si="104"/>
        <v>0</v>
      </c>
      <c r="AU172" s="127">
        <f t="shared" si="105"/>
        <v>0</v>
      </c>
      <c r="AV172" s="127">
        <f t="shared" si="106"/>
        <v>0</v>
      </c>
    </row>
    <row r="173" spans="1:48" x14ac:dyDescent="0.15">
      <c r="A173" s="29" t="s">
        <v>166</v>
      </c>
      <c r="B173" s="30">
        <f>IF(Data!D168=1, MAX(Data!AA168, Inputs!$E$25) + INDEX(Inputs!$D$38:$D$42, MATCH( Data!AD168, Inputs!$B$38:$B$42, 0), 0), MAX(Data!AA168, Inputs!$E$26) +  INDEX(Inputs!$D$38:$D$42, MATCH( Data!AD168, Inputs!$B$38:$B$42, 0), 0))</f>
        <v>0.01</v>
      </c>
      <c r="C173" s="141">
        <f>(100*Data!R168)</f>
        <v>0</v>
      </c>
      <c r="D173" s="141">
        <f>ROUND(Data!Q168*C173, 0)</f>
        <v>0</v>
      </c>
      <c r="E173" s="141">
        <f>(100*Data!T168)</f>
        <v>0</v>
      </c>
      <c r="F173" s="141">
        <f>E173*Data!S168</f>
        <v>0</v>
      </c>
      <c r="G173" s="142">
        <f>ROUND(Inputs!$E$21*Data!W168*B173, 0)</f>
        <v>86299</v>
      </c>
      <c r="H173" s="143">
        <f>IF(G173=0, 0,IF(Inputs!$E$30="Yes", IF(Data!D168=1, MAX(Outputs!D173+Outputs!F173+Outputs!G173, Data!AE168), Outputs!D173+Outputs!F173+Outputs!G173), Outputs!D173+Outputs!F173+Outputs!G173))</f>
        <v>86299</v>
      </c>
      <c r="I173" s="143">
        <f>INDEX('FY 22 OFA Shell'!$AQ$27:$AQ$195,MATCH(Outputs!A173,'FY 22 OFA Shell'!$I$27:$I$195,0))</f>
        <v>86299</v>
      </c>
      <c r="J173" s="129">
        <f>H173-Data!AT168</f>
        <v>9624.4204000000027</v>
      </c>
      <c r="K173" s="127">
        <f>((H173)/(Data!AT168)) - 1</f>
        <v>0.12552296276300678</v>
      </c>
      <c r="L173" s="127">
        <f t="shared" si="88"/>
        <v>0</v>
      </c>
      <c r="M173" s="143">
        <f>(IF(Inputs!$E$30="Yes",INDEX(Data!AT:AT,MATCH(Outputs!A173,Data!A:A,0)),INDEX(Data!AS:AS,MATCH(Outputs!A173,Data!A:A,0))))</f>
        <v>76674.579599999997</v>
      </c>
      <c r="N173" s="143">
        <f>IF(Inputs!$E$30="Yes",INDEX(Data!BN:BN,MATCH(Outputs!$A173,Data!$A:$A,0)),INDEX(Data!BE:BE,MATCH(Outputs!$A173,Data!$A:$A,0)))</f>
        <v>78370.159199999995</v>
      </c>
      <c r="O173" s="143">
        <f>IF(Inputs!$E$30="Yes",INDEX(Data!BO:BO,MATCH(Outputs!$A173,Data!$A:$A,0)),INDEX(Data!BF:BF,MATCH(Outputs!$A173,Data!$A:$A,0)))</f>
        <v>80065.738799999992</v>
      </c>
      <c r="P173" s="143">
        <f>IF(Inputs!$E$30="Yes",INDEX(Data!BP:BP,MATCH(Outputs!$A173,Data!$A:$A,0)),INDEX(Data!BG:BG,MATCH(Outputs!$A173,Data!$A:$A,0)))</f>
        <v>81761.318399999989</v>
      </c>
      <c r="Q173" s="143">
        <f>IF(Inputs!$E$30="Yes",INDEX(Data!BQ:BQ,MATCH(Outputs!$A173,Data!$A:$A,0)),INDEX(Data!BH:BH,MATCH(Outputs!$A173,Data!$A:$A,0)))</f>
        <v>83456.897999999986</v>
      </c>
      <c r="R173" s="143">
        <f>IF(Inputs!$E$30="Yes",INDEX(Data!BR:BR,MATCH(Outputs!$A173,Data!$A:$A,0)),INDEX(Data!BI:BI,MATCH(Outputs!$A173,Data!$A:$A,0)))</f>
        <v>85152.477599999984</v>
      </c>
      <c r="S173" s="143">
        <f>IF(Inputs!$E$30="Yes",INDEX(Data!BS:BS,MATCH(Outputs!$A173,Data!$A:$A,0)),INDEX(Data!BJ:BJ,MATCH(Outputs!$A173,Data!$A:$A,0)))</f>
        <v>86299</v>
      </c>
      <c r="T173" s="143">
        <f>IF(Inputs!$E$30="Yes",INDEX(Data!BT:BT,MATCH(Outputs!$A173,Data!$A:$A,0)),INDEX(Data!BK:BK,MATCH(Outputs!$A173,Data!$A:$A,0)))</f>
        <v>86299</v>
      </c>
      <c r="U173" s="143">
        <f>IF(Inputs!$E$30="Yes",INDEX(Data!BU:BU,MATCH(Outputs!$A173,Data!$A:$A,0)),INDEX(Data!BL:BL,MATCH(Outputs!$A173,Data!$A:$A,0)))</f>
        <v>86299</v>
      </c>
      <c r="V173" s="143">
        <f>INDEX('FY 22 OFA Shell'!$AX$27:$AX$195,MATCH(Outputs!A173,'FY 22 OFA Shell'!$I$27:$I$195,0))</f>
        <v>76674.579599999997</v>
      </c>
      <c r="W173" s="143">
        <f>INDEX('FY 23 OFA Shell'!$AX$27:$AX$195,MATCH(Outputs!A173,'FY 23 OFA Shell'!$I$27:$I$195,0))</f>
        <v>78370.159199999995</v>
      </c>
      <c r="X173" s="143">
        <f>INDEX('FY 23 OFA Shell'!BK$27:BK$195,MATCH(Outputs!$A173,'FY 23 OFA Shell'!$I$27:$I$195,0))</f>
        <v>80065.738799999992</v>
      </c>
      <c r="Y173" s="143">
        <f>INDEX('FY 23 OFA Shell'!BL$27:BL$195,MATCH(Outputs!$A173,'FY 23 OFA Shell'!$I$27:$I$195,0))</f>
        <v>81761.318399999989</v>
      </c>
      <c r="Z173" s="143">
        <f>INDEX('FY 23 OFA Shell'!BM$27:BM$195,MATCH(Outputs!$A173,'FY 23 OFA Shell'!$I$27:$I$195,0))</f>
        <v>83456.897999999986</v>
      </c>
      <c r="AA173" s="143">
        <f>INDEX('FY 23 OFA Shell'!BN$27:BN$195,MATCH(Outputs!$A173,'FY 23 OFA Shell'!$I$27:$I$195,0))</f>
        <v>85152.477599999984</v>
      </c>
      <c r="AB173" s="143">
        <f>INDEX('FY 23 OFA Shell'!BO$27:BO$195,MATCH(Outputs!$A173,'FY 23 OFA Shell'!$I$27:$I$195,0))</f>
        <v>86299</v>
      </c>
      <c r="AC173" s="143">
        <f>INDEX('FY 23 OFA Shell'!BP$27:BP$195,MATCH(Outputs!$A173,'FY 23 OFA Shell'!$I$27:$I$195,0))</f>
        <v>86299</v>
      </c>
      <c r="AD173" s="143">
        <f>INDEX('FY 23 OFA Shell'!BQ$27:BQ$195,MATCH(Outputs!$A173,'FY 23 OFA Shell'!$I$27:$I$195,0))</f>
        <v>86299</v>
      </c>
      <c r="AE173" s="129">
        <f t="shared" si="89"/>
        <v>0</v>
      </c>
      <c r="AF173" s="129">
        <f t="shared" si="90"/>
        <v>0</v>
      </c>
      <c r="AG173" s="129">
        <f t="shared" si="91"/>
        <v>0</v>
      </c>
      <c r="AH173" s="129">
        <f t="shared" si="92"/>
        <v>0</v>
      </c>
      <c r="AI173" s="129">
        <f t="shared" si="93"/>
        <v>0</v>
      </c>
      <c r="AJ173" s="129">
        <f t="shared" si="94"/>
        <v>0</v>
      </c>
      <c r="AK173" s="129">
        <f t="shared" si="95"/>
        <v>0</v>
      </c>
      <c r="AL173" s="129">
        <f t="shared" si="96"/>
        <v>0</v>
      </c>
      <c r="AM173" s="129">
        <f t="shared" si="97"/>
        <v>0</v>
      </c>
      <c r="AN173" s="127">
        <f t="shared" si="98"/>
        <v>0</v>
      </c>
      <c r="AO173" s="127">
        <f t="shared" si="99"/>
        <v>0</v>
      </c>
      <c r="AP173" s="127">
        <f t="shared" si="100"/>
        <v>0</v>
      </c>
      <c r="AQ173" s="127">
        <f t="shared" si="101"/>
        <v>0</v>
      </c>
      <c r="AR173" s="127">
        <f t="shared" si="102"/>
        <v>0</v>
      </c>
      <c r="AS173" s="127">
        <f t="shared" si="103"/>
        <v>0</v>
      </c>
      <c r="AT173" s="127">
        <f t="shared" si="104"/>
        <v>0</v>
      </c>
      <c r="AU173" s="127">
        <f t="shared" si="105"/>
        <v>0</v>
      </c>
      <c r="AV173" s="127">
        <f t="shared" si="106"/>
        <v>0</v>
      </c>
    </row>
    <row r="174" spans="1:48" x14ac:dyDescent="0.15">
      <c r="A174" s="29" t="s">
        <v>167</v>
      </c>
      <c r="B174" s="30">
        <f>IF(Data!D169=1, MAX(Data!AA169, Inputs!$E$25) + INDEX(Inputs!$D$38:$D$42, MATCH( Data!AD169, Inputs!$B$38:$B$42, 0), 0), MAX(Data!AA169, Inputs!$E$26) +  INDEX(Inputs!$D$38:$D$42, MATCH( Data!AD169, Inputs!$B$38:$B$42, 0), 0))</f>
        <v>0.20776700000000001</v>
      </c>
      <c r="C174" s="141">
        <f>(100*Data!R169)</f>
        <v>0</v>
      </c>
      <c r="D174" s="141">
        <f>ROUND(Data!Q169*C174, 0)</f>
        <v>0</v>
      </c>
      <c r="E174" s="141">
        <f>(100*Data!T169)</f>
        <v>0</v>
      </c>
      <c r="F174" s="141">
        <f>E174*Data!S169</f>
        <v>0</v>
      </c>
      <c r="G174" s="142">
        <f>ROUND(Inputs!$E$21*Data!W169*B174, 0)</f>
        <v>24387821</v>
      </c>
      <c r="H174" s="143">
        <f>IF(G174=0, 0,IF(Inputs!$E$30="Yes", IF(Data!D169=1, MAX(Outputs!D174+Outputs!F174+Outputs!G174, Data!AE169), Outputs!D174+Outputs!F174+Outputs!G174), Outputs!D174+Outputs!F174+Outputs!G174))</f>
        <v>24387821</v>
      </c>
      <c r="I174" s="143">
        <f>INDEX('FY 22 OFA Shell'!$AQ$27:$AQ$195,MATCH(Outputs!A174,'FY 22 OFA Shell'!$I$27:$I$195,0))</f>
        <v>24387821</v>
      </c>
      <c r="J174" s="129">
        <f>H174-Data!AT169</f>
        <v>2142061.4046000019</v>
      </c>
      <c r="K174" s="127">
        <f>((H174)/(Data!AT169)) - 1</f>
        <v>9.6290773772586213E-2</v>
      </c>
      <c r="L174" s="127">
        <f t="shared" si="88"/>
        <v>0</v>
      </c>
      <c r="M174" s="143">
        <f>(IF(Inputs!$E$30="Yes",INDEX(Data!AT:AT,MATCH(Outputs!A174,Data!A:A,0)),INDEX(Data!AS:AS,MATCH(Outputs!A174,Data!A:A,0))))</f>
        <v>22245759.595399998</v>
      </c>
      <c r="N174" s="143">
        <f>IF(Inputs!$E$30="Yes",INDEX(Data!BN:BN,MATCH(Outputs!$A174,Data!$A:$A,0)),INDEX(Data!BE:BE,MATCH(Outputs!$A174,Data!$A:$A,0)))</f>
        <v>22611021.190799996</v>
      </c>
      <c r="O174" s="143">
        <f>IF(Inputs!$E$30="Yes",INDEX(Data!BO:BO,MATCH(Outputs!$A174,Data!$A:$A,0)),INDEX(Data!BF:BF,MATCH(Outputs!$A174,Data!$A:$A,0)))</f>
        <v>22976282.786199994</v>
      </c>
      <c r="P174" s="143">
        <f>IF(Inputs!$E$30="Yes",INDEX(Data!BP:BP,MATCH(Outputs!$A174,Data!$A:$A,0)),INDEX(Data!BG:BG,MATCH(Outputs!$A174,Data!$A:$A,0)))</f>
        <v>23341544.381599993</v>
      </c>
      <c r="Q174" s="143">
        <f>IF(Inputs!$E$30="Yes",INDEX(Data!BQ:BQ,MATCH(Outputs!$A174,Data!$A:$A,0)),INDEX(Data!BH:BH,MATCH(Outputs!$A174,Data!$A:$A,0)))</f>
        <v>23706805.976999991</v>
      </c>
      <c r="R174" s="143">
        <f>IF(Inputs!$E$30="Yes",INDEX(Data!BR:BR,MATCH(Outputs!$A174,Data!$A:$A,0)),INDEX(Data!BI:BI,MATCH(Outputs!$A174,Data!$A:$A,0)))</f>
        <v>24072067.572399989</v>
      </c>
      <c r="S174" s="143">
        <f>IF(Inputs!$E$30="Yes",INDEX(Data!BS:BS,MATCH(Outputs!$A174,Data!$A:$A,0)),INDEX(Data!BJ:BJ,MATCH(Outputs!$A174,Data!$A:$A,0)))</f>
        <v>24387821</v>
      </c>
      <c r="T174" s="143">
        <f>IF(Inputs!$E$30="Yes",INDEX(Data!BT:BT,MATCH(Outputs!$A174,Data!$A:$A,0)),INDEX(Data!BK:BK,MATCH(Outputs!$A174,Data!$A:$A,0)))</f>
        <v>24387821</v>
      </c>
      <c r="U174" s="143">
        <f>IF(Inputs!$E$30="Yes",INDEX(Data!BU:BU,MATCH(Outputs!$A174,Data!$A:$A,0)),INDEX(Data!BL:BL,MATCH(Outputs!$A174,Data!$A:$A,0)))</f>
        <v>24387821</v>
      </c>
      <c r="V174" s="143">
        <f>INDEX('FY 22 OFA Shell'!$AX$27:$AX$195,MATCH(Outputs!A174,'FY 22 OFA Shell'!$I$27:$I$195,0))</f>
        <v>22245759.595399998</v>
      </c>
      <c r="W174" s="143">
        <f>INDEX('FY 23 OFA Shell'!$AX$27:$AX$195,MATCH(Outputs!A174,'FY 23 OFA Shell'!$I$27:$I$195,0))</f>
        <v>22611021.190799996</v>
      </c>
      <c r="X174" s="143">
        <f>INDEX('FY 23 OFA Shell'!BK$27:BK$195,MATCH(Outputs!$A174,'FY 23 OFA Shell'!$I$27:$I$195,0))</f>
        <v>22976282.786199994</v>
      </c>
      <c r="Y174" s="143">
        <f>INDEX('FY 23 OFA Shell'!BL$27:BL$195,MATCH(Outputs!$A174,'FY 23 OFA Shell'!$I$27:$I$195,0))</f>
        <v>23341544.381599993</v>
      </c>
      <c r="Z174" s="143">
        <f>INDEX('FY 23 OFA Shell'!BM$27:BM$195,MATCH(Outputs!$A174,'FY 23 OFA Shell'!$I$27:$I$195,0))</f>
        <v>23706805.976999991</v>
      </c>
      <c r="AA174" s="143">
        <f>INDEX('FY 23 OFA Shell'!BN$27:BN$195,MATCH(Outputs!$A174,'FY 23 OFA Shell'!$I$27:$I$195,0))</f>
        <v>24072067.572399989</v>
      </c>
      <c r="AB174" s="143">
        <f>INDEX('FY 23 OFA Shell'!BO$27:BO$195,MATCH(Outputs!$A174,'FY 23 OFA Shell'!$I$27:$I$195,0))</f>
        <v>24387821</v>
      </c>
      <c r="AC174" s="143">
        <f>INDEX('FY 23 OFA Shell'!BP$27:BP$195,MATCH(Outputs!$A174,'FY 23 OFA Shell'!$I$27:$I$195,0))</f>
        <v>24387821</v>
      </c>
      <c r="AD174" s="143">
        <f>INDEX('FY 23 OFA Shell'!BQ$27:BQ$195,MATCH(Outputs!$A174,'FY 23 OFA Shell'!$I$27:$I$195,0))</f>
        <v>24387821</v>
      </c>
      <c r="AE174" s="129">
        <f t="shared" si="89"/>
        <v>0</v>
      </c>
      <c r="AF174" s="129">
        <f t="shared" si="90"/>
        <v>0</v>
      </c>
      <c r="AG174" s="129">
        <f t="shared" si="91"/>
        <v>0</v>
      </c>
      <c r="AH174" s="129">
        <f t="shared" si="92"/>
        <v>0</v>
      </c>
      <c r="AI174" s="129">
        <f t="shared" si="93"/>
        <v>0</v>
      </c>
      <c r="AJ174" s="129">
        <f t="shared" si="94"/>
        <v>0</v>
      </c>
      <c r="AK174" s="129">
        <f t="shared" si="95"/>
        <v>0</v>
      </c>
      <c r="AL174" s="129">
        <f t="shared" si="96"/>
        <v>0</v>
      </c>
      <c r="AM174" s="129">
        <f t="shared" si="97"/>
        <v>0</v>
      </c>
      <c r="AN174" s="127">
        <f t="shared" si="98"/>
        <v>0</v>
      </c>
      <c r="AO174" s="127">
        <f t="shared" si="99"/>
        <v>0</v>
      </c>
      <c r="AP174" s="127">
        <f t="shared" si="100"/>
        <v>0</v>
      </c>
      <c r="AQ174" s="127">
        <f t="shared" si="101"/>
        <v>0</v>
      </c>
      <c r="AR174" s="127">
        <f t="shared" si="102"/>
        <v>0</v>
      </c>
      <c r="AS174" s="127">
        <f t="shared" si="103"/>
        <v>0</v>
      </c>
      <c r="AT174" s="127">
        <f t="shared" si="104"/>
        <v>0</v>
      </c>
      <c r="AU174" s="127">
        <f t="shared" si="105"/>
        <v>0</v>
      </c>
      <c r="AV174" s="127">
        <f t="shared" si="106"/>
        <v>0</v>
      </c>
    </row>
    <row r="175" spans="1:48" x14ac:dyDescent="0.15">
      <c r="A175" s="29" t="s">
        <v>168</v>
      </c>
      <c r="B175" s="30">
        <f>IF(Data!D170=1, MAX(Data!AA170, Inputs!$E$25) + INDEX(Inputs!$D$38:$D$42, MATCH( Data!AD170, Inputs!$B$38:$B$42, 0), 0), MAX(Data!AA170, Inputs!$E$26) +  INDEX(Inputs!$D$38:$D$42, MATCH( Data!AD170, Inputs!$B$38:$B$42, 0), 0))</f>
        <v>0.61777100000000007</v>
      </c>
      <c r="C175" s="141">
        <f>(100*Data!R170)</f>
        <v>0</v>
      </c>
      <c r="D175" s="141">
        <f>ROUND(Data!Q170*C175, 0)</f>
        <v>0</v>
      </c>
      <c r="E175" s="141">
        <f>(100*Data!T170)</f>
        <v>0</v>
      </c>
      <c r="F175" s="141">
        <f>E175*Data!S170</f>
        <v>0</v>
      </c>
      <c r="G175" s="142">
        <f>ROUND(Inputs!$E$21*Data!W170*B175, 0)</f>
        <v>58096013</v>
      </c>
      <c r="H175" s="143">
        <f>IF(G175=0, 0,IF(Inputs!$E$30="Yes", IF(Data!D170=1, MAX(Outputs!D175+Outputs!F175+Outputs!G175, Data!AE170), Outputs!D175+Outputs!F175+Outputs!G175), Outputs!D175+Outputs!F175+Outputs!G175))</f>
        <v>58096013</v>
      </c>
      <c r="I175" s="143">
        <f>INDEX('FY 22 OFA Shell'!$AQ$27:$AQ$195,MATCH(Outputs!A175,'FY 22 OFA Shell'!$I$27:$I$195,0))</f>
        <v>58096013</v>
      </c>
      <c r="J175" s="129">
        <f>H175-Data!AT170</f>
        <v>7756509.9284000024</v>
      </c>
      <c r="K175" s="127">
        <f>((H175)/(Data!AT170)) - 1</f>
        <v>0.15408395902056471</v>
      </c>
      <c r="L175" s="127">
        <f t="shared" si="88"/>
        <v>0</v>
      </c>
      <c r="M175" s="143">
        <f>(IF(Inputs!$E$30="Yes",INDEX(Data!AT:AT,MATCH(Outputs!A175,Data!A:A,0)),INDEX(Data!AS:AS,MATCH(Outputs!A175,Data!A:A,0))))</f>
        <v>50339503.071599998</v>
      </c>
      <c r="N175" s="143">
        <f>IF(Inputs!$E$30="Yes",INDEX(Data!BN:BN,MATCH(Outputs!$A175,Data!$A:$A,0)),INDEX(Data!BE:BE,MATCH(Outputs!$A175,Data!$A:$A,0)))</f>
        <v>51720562.143199995</v>
      </c>
      <c r="O175" s="143">
        <f>IF(Inputs!$E$30="Yes",INDEX(Data!BO:BO,MATCH(Outputs!$A175,Data!$A:$A,0)),INDEX(Data!BF:BF,MATCH(Outputs!$A175,Data!$A:$A,0)))</f>
        <v>53101621.214799993</v>
      </c>
      <c r="P175" s="143">
        <f>IF(Inputs!$E$30="Yes",INDEX(Data!BP:BP,MATCH(Outputs!$A175,Data!$A:$A,0)),INDEX(Data!BG:BG,MATCH(Outputs!$A175,Data!$A:$A,0)))</f>
        <v>54482680.28639999</v>
      </c>
      <c r="Q175" s="143">
        <f>IF(Inputs!$E$30="Yes",INDEX(Data!BQ:BQ,MATCH(Outputs!$A175,Data!$A:$A,0)),INDEX(Data!BH:BH,MATCH(Outputs!$A175,Data!$A:$A,0)))</f>
        <v>55863739.357999988</v>
      </c>
      <c r="R175" s="143">
        <f>IF(Inputs!$E$30="Yes",INDEX(Data!BR:BR,MATCH(Outputs!$A175,Data!$A:$A,0)),INDEX(Data!BI:BI,MATCH(Outputs!$A175,Data!$A:$A,0)))</f>
        <v>57244798.429599985</v>
      </c>
      <c r="S175" s="143">
        <f>IF(Inputs!$E$30="Yes",INDEX(Data!BS:BS,MATCH(Outputs!$A175,Data!$A:$A,0)),INDEX(Data!BJ:BJ,MATCH(Outputs!$A175,Data!$A:$A,0)))</f>
        <v>58096013</v>
      </c>
      <c r="T175" s="143">
        <f>IF(Inputs!$E$30="Yes",INDEX(Data!BT:BT,MATCH(Outputs!$A175,Data!$A:$A,0)),INDEX(Data!BK:BK,MATCH(Outputs!$A175,Data!$A:$A,0)))</f>
        <v>58096013</v>
      </c>
      <c r="U175" s="143">
        <f>IF(Inputs!$E$30="Yes",INDEX(Data!BU:BU,MATCH(Outputs!$A175,Data!$A:$A,0)),INDEX(Data!BL:BL,MATCH(Outputs!$A175,Data!$A:$A,0)))</f>
        <v>58096013</v>
      </c>
      <c r="V175" s="143">
        <f>INDEX('FY 22 OFA Shell'!$AX$27:$AX$195,MATCH(Outputs!A175,'FY 22 OFA Shell'!$I$27:$I$195,0))</f>
        <v>50339503.071599998</v>
      </c>
      <c r="W175" s="143">
        <f>INDEX('FY 23 OFA Shell'!$AX$27:$AX$195,MATCH(Outputs!A175,'FY 23 OFA Shell'!$I$27:$I$195,0))</f>
        <v>51720562.143199995</v>
      </c>
      <c r="X175" s="143">
        <f>INDEX('FY 23 OFA Shell'!BK$27:BK$195,MATCH(Outputs!$A175,'FY 23 OFA Shell'!$I$27:$I$195,0))</f>
        <v>53101621.214799993</v>
      </c>
      <c r="Y175" s="143">
        <f>INDEX('FY 23 OFA Shell'!BL$27:BL$195,MATCH(Outputs!$A175,'FY 23 OFA Shell'!$I$27:$I$195,0))</f>
        <v>54482680.28639999</v>
      </c>
      <c r="Z175" s="143">
        <f>INDEX('FY 23 OFA Shell'!BM$27:BM$195,MATCH(Outputs!$A175,'FY 23 OFA Shell'!$I$27:$I$195,0))</f>
        <v>55863739.357999988</v>
      </c>
      <c r="AA175" s="143">
        <f>INDEX('FY 23 OFA Shell'!BN$27:BN$195,MATCH(Outputs!$A175,'FY 23 OFA Shell'!$I$27:$I$195,0))</f>
        <v>57244798.429599985</v>
      </c>
      <c r="AB175" s="143">
        <f>INDEX('FY 23 OFA Shell'!BO$27:BO$195,MATCH(Outputs!$A175,'FY 23 OFA Shell'!$I$27:$I$195,0))</f>
        <v>58096013</v>
      </c>
      <c r="AC175" s="143">
        <f>INDEX('FY 23 OFA Shell'!BP$27:BP$195,MATCH(Outputs!$A175,'FY 23 OFA Shell'!$I$27:$I$195,0))</f>
        <v>58096013</v>
      </c>
      <c r="AD175" s="143">
        <f>INDEX('FY 23 OFA Shell'!BQ$27:BQ$195,MATCH(Outputs!$A175,'FY 23 OFA Shell'!$I$27:$I$195,0))</f>
        <v>58096013</v>
      </c>
      <c r="AE175" s="129">
        <f t="shared" si="89"/>
        <v>0</v>
      </c>
      <c r="AF175" s="129">
        <f t="shared" si="90"/>
        <v>0</v>
      </c>
      <c r="AG175" s="129">
        <f t="shared" si="91"/>
        <v>0</v>
      </c>
      <c r="AH175" s="129">
        <f t="shared" si="92"/>
        <v>0</v>
      </c>
      <c r="AI175" s="129">
        <f t="shared" si="93"/>
        <v>0</v>
      </c>
      <c r="AJ175" s="129">
        <f t="shared" si="94"/>
        <v>0</v>
      </c>
      <c r="AK175" s="129">
        <f t="shared" si="95"/>
        <v>0</v>
      </c>
      <c r="AL175" s="129">
        <f t="shared" si="96"/>
        <v>0</v>
      </c>
      <c r="AM175" s="129">
        <f t="shared" si="97"/>
        <v>0</v>
      </c>
      <c r="AN175" s="127">
        <f t="shared" si="98"/>
        <v>0</v>
      </c>
      <c r="AO175" s="127">
        <f t="shared" si="99"/>
        <v>0</v>
      </c>
      <c r="AP175" s="127">
        <f t="shared" si="100"/>
        <v>0</v>
      </c>
      <c r="AQ175" s="127">
        <f t="shared" si="101"/>
        <v>0</v>
      </c>
      <c r="AR175" s="127">
        <f t="shared" si="102"/>
        <v>0</v>
      </c>
      <c r="AS175" s="127">
        <f t="shared" si="103"/>
        <v>0</v>
      </c>
      <c r="AT175" s="127">
        <f t="shared" si="104"/>
        <v>0</v>
      </c>
      <c r="AU175" s="127">
        <f t="shared" si="105"/>
        <v>0</v>
      </c>
      <c r="AV175" s="127">
        <f t="shared" si="106"/>
        <v>0</v>
      </c>
    </row>
    <row r="176" spans="1:48" x14ac:dyDescent="0.15">
      <c r="A176" s="29" t="s">
        <v>169</v>
      </c>
      <c r="B176" s="30">
        <f>IF(Data!D171=1, MAX(Data!AA171, Inputs!$E$25) + INDEX(Inputs!$D$38:$D$42, MATCH( Data!AD171, Inputs!$B$38:$B$42, 0), 0), MAX(Data!AA171, Inputs!$E$26) +  INDEX(Inputs!$D$38:$D$42, MATCH( Data!AD171, Inputs!$B$38:$B$42, 0), 0))</f>
        <v>0.01</v>
      </c>
      <c r="C176" s="141">
        <f>(100*Data!R171)</f>
        <v>0</v>
      </c>
      <c r="D176" s="141">
        <f>ROUND(Data!Q171*C176, 0)</f>
        <v>0</v>
      </c>
      <c r="E176" s="141">
        <f>(100*Data!T171)</f>
        <v>0</v>
      </c>
      <c r="F176" s="141">
        <f>E176*Data!S171</f>
        <v>0</v>
      </c>
      <c r="G176" s="142">
        <f>ROUND(Inputs!$E$21*Data!W171*B176, 0)</f>
        <v>261074</v>
      </c>
      <c r="H176" s="143">
        <f>IF(G176=0, 0,IF(Inputs!$E$30="Yes", IF(Data!D171=1, MAX(Outputs!D176+Outputs!F176+Outputs!G176, Data!AE171), Outputs!D176+Outputs!F176+Outputs!G176), Outputs!D176+Outputs!F176+Outputs!G176))</f>
        <v>261074</v>
      </c>
      <c r="I176" s="143">
        <f>INDEX('FY 22 OFA Shell'!$AQ$27:$AQ$195,MATCH(Outputs!A176,'FY 22 OFA Shell'!$I$27:$I$195,0))</f>
        <v>261074</v>
      </c>
      <c r="J176" s="129">
        <f>H176-Data!AT171</f>
        <v>-2718</v>
      </c>
      <c r="K176" s="127">
        <f>((H176)/(Data!AT171)) - 1</f>
        <v>-1.0303572511675907E-2</v>
      </c>
      <c r="L176" s="127">
        <f t="shared" si="88"/>
        <v>0</v>
      </c>
      <c r="M176" s="143">
        <f>(IF(Inputs!$E$30="Yes",INDEX(Data!AT:AT,MATCH(Outputs!A176,Data!A:A,0)),INDEX(Data!AS:AS,MATCH(Outputs!A176,Data!A:A,0))))</f>
        <v>263792</v>
      </c>
      <c r="N176" s="143">
        <f>IF(Inputs!$E$30="Yes",INDEX(Data!BN:BN,MATCH(Outputs!$A176,Data!$A:$A,0)),INDEX(Data!BE:BE,MATCH(Outputs!$A176,Data!$A:$A,0)))</f>
        <v>263792</v>
      </c>
      <c r="O176" s="143">
        <f>IF(Inputs!$E$30="Yes",INDEX(Data!BO:BO,MATCH(Outputs!$A176,Data!$A:$A,0)),INDEX(Data!BF:BF,MATCH(Outputs!$A176,Data!$A:$A,0)))</f>
        <v>263595.66190000001</v>
      </c>
      <c r="P176" s="143">
        <f>IF(Inputs!$E$30="Yes",INDEX(Data!BP:BP,MATCH(Outputs!$A176,Data!$A:$A,0)),INDEX(Data!BG:BG,MATCH(Outputs!$A176,Data!$A:$A,0)))</f>
        <v>263399.32380000001</v>
      </c>
      <c r="Q176" s="143">
        <f>IF(Inputs!$E$30="Yes",INDEX(Data!BQ:BQ,MATCH(Outputs!$A176,Data!$A:$A,0)),INDEX(Data!BH:BH,MATCH(Outputs!$A176,Data!$A:$A,0)))</f>
        <v>263202.98570000002</v>
      </c>
      <c r="R176" s="143">
        <f>IF(Inputs!$E$30="Yes",INDEX(Data!BR:BR,MATCH(Outputs!$A176,Data!$A:$A,0)),INDEX(Data!BI:BI,MATCH(Outputs!$A176,Data!$A:$A,0)))</f>
        <v>263006.64760000003</v>
      </c>
      <c r="S176" s="143">
        <f>IF(Inputs!$E$30="Yes",INDEX(Data!BS:BS,MATCH(Outputs!$A176,Data!$A:$A,0)),INDEX(Data!BJ:BJ,MATCH(Outputs!$A176,Data!$A:$A,0)))</f>
        <v>262810.30950000003</v>
      </c>
      <c r="T176" s="143">
        <f>IF(Inputs!$E$30="Yes",INDEX(Data!BT:BT,MATCH(Outputs!$A176,Data!$A:$A,0)),INDEX(Data!BK:BK,MATCH(Outputs!$A176,Data!$A:$A,0)))</f>
        <v>262613.97140000004</v>
      </c>
      <c r="U176" s="143">
        <f>IF(Inputs!$E$30="Yes",INDEX(Data!BU:BU,MATCH(Outputs!$A176,Data!$A:$A,0)),INDEX(Data!BL:BL,MATCH(Outputs!$A176,Data!$A:$A,0)))</f>
        <v>261074</v>
      </c>
      <c r="V176" s="143">
        <f>INDEX('FY 22 OFA Shell'!$AX$27:$AX$195,MATCH(Outputs!A176,'FY 22 OFA Shell'!$I$27:$I$195,0))</f>
        <v>263792</v>
      </c>
      <c r="W176" s="143">
        <f>INDEX('FY 23 OFA Shell'!$AX$27:$AX$195,MATCH(Outputs!A176,'FY 23 OFA Shell'!$I$27:$I$195,0))</f>
        <v>263792</v>
      </c>
      <c r="X176" s="143">
        <f>INDEX('FY 23 OFA Shell'!BK$27:BK$195,MATCH(Outputs!$A176,'FY 23 OFA Shell'!$I$27:$I$195,0))</f>
        <v>263595.66190000001</v>
      </c>
      <c r="Y176" s="143">
        <f>INDEX('FY 23 OFA Shell'!BL$27:BL$195,MATCH(Outputs!$A176,'FY 23 OFA Shell'!$I$27:$I$195,0))</f>
        <v>263399.32380000001</v>
      </c>
      <c r="Z176" s="143">
        <f>INDEX('FY 23 OFA Shell'!BM$27:BM$195,MATCH(Outputs!$A176,'FY 23 OFA Shell'!$I$27:$I$195,0))</f>
        <v>263202.98570000002</v>
      </c>
      <c r="AA176" s="143">
        <f>INDEX('FY 23 OFA Shell'!BN$27:BN$195,MATCH(Outputs!$A176,'FY 23 OFA Shell'!$I$27:$I$195,0))</f>
        <v>263006.64760000003</v>
      </c>
      <c r="AB176" s="143">
        <f>INDEX('FY 23 OFA Shell'!BO$27:BO$195,MATCH(Outputs!$A176,'FY 23 OFA Shell'!$I$27:$I$195,0))</f>
        <v>262810.30950000003</v>
      </c>
      <c r="AC176" s="143">
        <f>INDEX('FY 23 OFA Shell'!BP$27:BP$195,MATCH(Outputs!$A176,'FY 23 OFA Shell'!$I$27:$I$195,0))</f>
        <v>262613.97140000004</v>
      </c>
      <c r="AD176" s="143">
        <f>INDEX('FY 23 OFA Shell'!BQ$27:BQ$195,MATCH(Outputs!$A176,'FY 23 OFA Shell'!$I$27:$I$195,0))</f>
        <v>261074</v>
      </c>
      <c r="AE176" s="129">
        <f t="shared" si="89"/>
        <v>0</v>
      </c>
      <c r="AF176" s="129">
        <f t="shared" si="90"/>
        <v>0</v>
      </c>
      <c r="AG176" s="129">
        <f t="shared" si="91"/>
        <v>0</v>
      </c>
      <c r="AH176" s="129">
        <f t="shared" si="92"/>
        <v>0</v>
      </c>
      <c r="AI176" s="129">
        <f t="shared" si="93"/>
        <v>0</v>
      </c>
      <c r="AJ176" s="129">
        <f t="shared" si="94"/>
        <v>0</v>
      </c>
      <c r="AK176" s="129">
        <f t="shared" si="95"/>
        <v>0</v>
      </c>
      <c r="AL176" s="129">
        <f t="shared" si="96"/>
        <v>0</v>
      </c>
      <c r="AM176" s="129">
        <f t="shared" si="97"/>
        <v>0</v>
      </c>
      <c r="AN176" s="127">
        <f t="shared" si="98"/>
        <v>0</v>
      </c>
      <c r="AO176" s="127">
        <f t="shared" si="99"/>
        <v>0</v>
      </c>
      <c r="AP176" s="127">
        <f t="shared" si="100"/>
        <v>0</v>
      </c>
      <c r="AQ176" s="127">
        <f t="shared" si="101"/>
        <v>0</v>
      </c>
      <c r="AR176" s="127">
        <f t="shared" si="102"/>
        <v>0</v>
      </c>
      <c r="AS176" s="127">
        <f t="shared" si="103"/>
        <v>0</v>
      </c>
      <c r="AT176" s="127">
        <f t="shared" si="104"/>
        <v>0</v>
      </c>
      <c r="AU176" s="127">
        <f t="shared" si="105"/>
        <v>0</v>
      </c>
      <c r="AV176" s="127">
        <f t="shared" si="106"/>
        <v>0</v>
      </c>
    </row>
    <row r="177" spans="1:48" x14ac:dyDescent="0.15">
      <c r="A177" s="29" t="s">
        <v>170</v>
      </c>
      <c r="B177" s="30">
        <f>IF(Data!D172=1, MAX(Data!AA172, Inputs!$E$25) + INDEX(Inputs!$D$38:$D$42, MATCH( Data!AD172, Inputs!$B$38:$B$42, 0), 0), MAX(Data!AA172, Inputs!$E$26) +  INDEX(Inputs!$D$38:$D$42, MATCH( Data!AD172, Inputs!$B$38:$B$42, 0), 0))</f>
        <v>0.01</v>
      </c>
      <c r="C177" s="141">
        <f>(100*Data!R172)</f>
        <v>0</v>
      </c>
      <c r="D177" s="141">
        <f>ROUND(Data!Q172*C177, 0)</f>
        <v>0</v>
      </c>
      <c r="E177" s="141">
        <f>(100*Data!T172)</f>
        <v>0</v>
      </c>
      <c r="F177" s="141">
        <f>E177*Data!S172</f>
        <v>0</v>
      </c>
      <c r="G177" s="142">
        <f>ROUND(Inputs!$E$21*Data!W172*B177, 0)</f>
        <v>613251</v>
      </c>
      <c r="H177" s="143">
        <f>IF(G177=0, 0,IF(Inputs!$E$30="Yes", IF(Data!D172=1, MAX(Outputs!D177+Outputs!F177+Outputs!G177, Data!AE172), Outputs!D177+Outputs!F177+Outputs!G177), Outputs!D177+Outputs!F177+Outputs!G177))</f>
        <v>613251</v>
      </c>
      <c r="I177" s="143">
        <f>INDEX('FY 22 OFA Shell'!$AQ$27:$AQ$195,MATCH(Outputs!A177,'FY 22 OFA Shell'!$I$27:$I$195,0))</f>
        <v>613251</v>
      </c>
      <c r="J177" s="129">
        <f>H177-Data!AT172</f>
        <v>89755.0478</v>
      </c>
      <c r="K177" s="127">
        <f>((H177)/(Data!AT172)) - 1</f>
        <v>0.17145318396981479</v>
      </c>
      <c r="L177" s="127">
        <f t="shared" si="88"/>
        <v>0</v>
      </c>
      <c r="M177" s="143">
        <f>(IF(Inputs!$E$30="Yes",INDEX(Data!AT:AT,MATCH(Outputs!A177,Data!A:A,0)),INDEX(Data!AS:AS,MATCH(Outputs!A177,Data!A:A,0))))</f>
        <v>523495.9522</v>
      </c>
      <c r="N177" s="143">
        <f>IF(Inputs!$E$30="Yes",INDEX(Data!BN:BN,MATCH(Outputs!$A177,Data!$A:$A,0)),INDEX(Data!BE:BE,MATCH(Outputs!$A177,Data!$A:$A,0)))</f>
        <v>539263.9044</v>
      </c>
      <c r="O177" s="143">
        <f>IF(Inputs!$E$30="Yes",INDEX(Data!BO:BO,MATCH(Outputs!$A177,Data!$A:$A,0)),INDEX(Data!BF:BF,MATCH(Outputs!$A177,Data!$A:$A,0)))</f>
        <v>555031.85660000006</v>
      </c>
      <c r="P177" s="143">
        <f>IF(Inputs!$E$30="Yes",INDEX(Data!BP:BP,MATCH(Outputs!$A177,Data!$A:$A,0)),INDEX(Data!BG:BG,MATCH(Outputs!$A177,Data!$A:$A,0)))</f>
        <v>570799.8088</v>
      </c>
      <c r="Q177" s="143">
        <f>IF(Inputs!$E$30="Yes",INDEX(Data!BQ:BQ,MATCH(Outputs!$A177,Data!$A:$A,0)),INDEX(Data!BH:BH,MATCH(Outputs!$A177,Data!$A:$A,0)))</f>
        <v>586567.76099999994</v>
      </c>
      <c r="R177" s="143">
        <f>IF(Inputs!$E$30="Yes",INDEX(Data!BR:BR,MATCH(Outputs!$A177,Data!$A:$A,0)),INDEX(Data!BI:BI,MATCH(Outputs!$A177,Data!$A:$A,0)))</f>
        <v>602335.71319999988</v>
      </c>
      <c r="S177" s="143">
        <f>IF(Inputs!$E$30="Yes",INDEX(Data!BS:BS,MATCH(Outputs!$A177,Data!$A:$A,0)),INDEX(Data!BJ:BJ,MATCH(Outputs!$A177,Data!$A:$A,0)))</f>
        <v>613251</v>
      </c>
      <c r="T177" s="143">
        <f>IF(Inputs!$E$30="Yes",INDEX(Data!BT:BT,MATCH(Outputs!$A177,Data!$A:$A,0)),INDEX(Data!BK:BK,MATCH(Outputs!$A177,Data!$A:$A,0)))</f>
        <v>613251</v>
      </c>
      <c r="U177" s="143">
        <f>IF(Inputs!$E$30="Yes",INDEX(Data!BU:BU,MATCH(Outputs!$A177,Data!$A:$A,0)),INDEX(Data!BL:BL,MATCH(Outputs!$A177,Data!$A:$A,0)))</f>
        <v>613251</v>
      </c>
      <c r="V177" s="143">
        <f>INDEX('FY 22 OFA Shell'!$AX$27:$AX$195,MATCH(Outputs!A177,'FY 22 OFA Shell'!$I$27:$I$195,0))</f>
        <v>523495.9522</v>
      </c>
      <c r="W177" s="143">
        <f>INDEX('FY 23 OFA Shell'!$AX$27:$AX$195,MATCH(Outputs!A177,'FY 23 OFA Shell'!$I$27:$I$195,0))</f>
        <v>539263.9044</v>
      </c>
      <c r="X177" s="143">
        <f>INDEX('FY 23 OFA Shell'!BK$27:BK$195,MATCH(Outputs!$A177,'FY 23 OFA Shell'!$I$27:$I$195,0))</f>
        <v>555031.85660000006</v>
      </c>
      <c r="Y177" s="143">
        <f>INDEX('FY 23 OFA Shell'!BL$27:BL$195,MATCH(Outputs!$A177,'FY 23 OFA Shell'!$I$27:$I$195,0))</f>
        <v>570799.8088</v>
      </c>
      <c r="Z177" s="143">
        <f>INDEX('FY 23 OFA Shell'!BM$27:BM$195,MATCH(Outputs!$A177,'FY 23 OFA Shell'!$I$27:$I$195,0))</f>
        <v>586567.76099999994</v>
      </c>
      <c r="AA177" s="143">
        <f>INDEX('FY 23 OFA Shell'!BN$27:BN$195,MATCH(Outputs!$A177,'FY 23 OFA Shell'!$I$27:$I$195,0))</f>
        <v>602335.71319999988</v>
      </c>
      <c r="AB177" s="143">
        <f>INDEX('FY 23 OFA Shell'!BO$27:BO$195,MATCH(Outputs!$A177,'FY 23 OFA Shell'!$I$27:$I$195,0))</f>
        <v>613251</v>
      </c>
      <c r="AC177" s="143">
        <f>INDEX('FY 23 OFA Shell'!BP$27:BP$195,MATCH(Outputs!$A177,'FY 23 OFA Shell'!$I$27:$I$195,0))</f>
        <v>613251</v>
      </c>
      <c r="AD177" s="143">
        <f>INDEX('FY 23 OFA Shell'!BQ$27:BQ$195,MATCH(Outputs!$A177,'FY 23 OFA Shell'!$I$27:$I$195,0))</f>
        <v>613251</v>
      </c>
      <c r="AE177" s="129">
        <f t="shared" si="89"/>
        <v>0</v>
      </c>
      <c r="AF177" s="129">
        <f t="shared" si="90"/>
        <v>0</v>
      </c>
      <c r="AG177" s="129">
        <f t="shared" si="91"/>
        <v>0</v>
      </c>
      <c r="AH177" s="129">
        <f t="shared" si="92"/>
        <v>0</v>
      </c>
      <c r="AI177" s="129">
        <f t="shared" si="93"/>
        <v>0</v>
      </c>
      <c r="AJ177" s="129">
        <f t="shared" si="94"/>
        <v>0</v>
      </c>
      <c r="AK177" s="129">
        <f t="shared" si="95"/>
        <v>0</v>
      </c>
      <c r="AL177" s="129">
        <f t="shared" si="96"/>
        <v>0</v>
      </c>
      <c r="AM177" s="129">
        <f t="shared" si="97"/>
        <v>0</v>
      </c>
      <c r="AN177" s="127">
        <f t="shared" si="98"/>
        <v>0</v>
      </c>
      <c r="AO177" s="127">
        <f t="shared" si="99"/>
        <v>0</v>
      </c>
      <c r="AP177" s="127">
        <f t="shared" si="100"/>
        <v>0</v>
      </c>
      <c r="AQ177" s="127">
        <f t="shared" si="101"/>
        <v>0</v>
      </c>
      <c r="AR177" s="127">
        <f t="shared" si="102"/>
        <v>0</v>
      </c>
      <c r="AS177" s="127">
        <f t="shared" si="103"/>
        <v>0</v>
      </c>
      <c r="AT177" s="127">
        <f t="shared" si="104"/>
        <v>0</v>
      </c>
      <c r="AU177" s="127">
        <f t="shared" si="105"/>
        <v>0</v>
      </c>
      <c r="AV177" s="127">
        <f t="shared" si="106"/>
        <v>0</v>
      </c>
    </row>
    <row r="178" spans="1:48" x14ac:dyDescent="0.15">
      <c r="A178" s="29" t="s">
        <v>171</v>
      </c>
      <c r="B178" s="30">
        <f>IF(Data!D173=1, MAX(Data!AA173, Inputs!$E$25) + INDEX(Inputs!$D$38:$D$42, MATCH( Data!AD173, Inputs!$B$38:$B$42, 0), 0), MAX(Data!AA173, Inputs!$E$26) +  INDEX(Inputs!$D$38:$D$42, MATCH( Data!AD173, Inputs!$B$38:$B$42, 0), 0))</f>
        <v>0.326849</v>
      </c>
      <c r="C178" s="141">
        <f>(100*Data!R173)</f>
        <v>0</v>
      </c>
      <c r="D178" s="141">
        <f>ROUND(Data!Q173*C178, 0)</f>
        <v>0</v>
      </c>
      <c r="E178" s="141">
        <f>(100*Data!T173)</f>
        <v>0</v>
      </c>
      <c r="F178" s="141">
        <f>E178*Data!S173</f>
        <v>0</v>
      </c>
      <c r="G178" s="142">
        <f>ROUND(Inputs!$E$21*Data!W173*B178, 0)</f>
        <v>15498827</v>
      </c>
      <c r="H178" s="143">
        <f>IF(G178=0, 0,IF(Inputs!$E$30="Yes", IF(Data!D173=1, MAX(Outputs!D178+Outputs!F178+Outputs!G178, Data!AE173), Outputs!D178+Outputs!F178+Outputs!G178), Outputs!D178+Outputs!F178+Outputs!G178))</f>
        <v>15498827</v>
      </c>
      <c r="I178" s="143">
        <f>INDEX('FY 22 OFA Shell'!$AQ$27:$AQ$195,MATCH(Outputs!A178,'FY 22 OFA Shell'!$I$27:$I$195,0))</f>
        <v>15498827</v>
      </c>
      <c r="J178" s="129">
        <f>H178-Data!AT173</f>
        <v>3958062.6649999991</v>
      </c>
      <c r="K178" s="127">
        <f>((H178)/(Data!AT173)) - 1</f>
        <v>0.34296365042272559</v>
      </c>
      <c r="L178" s="127">
        <f t="shared" si="88"/>
        <v>0</v>
      </c>
      <c r="M178" s="143">
        <f>(IF(Inputs!$E$30="Yes",INDEX(Data!AT:AT,MATCH(Outputs!A178,Data!A:A,0)),INDEX(Data!AS:AS,MATCH(Outputs!A178,Data!A:A,0))))</f>
        <v>11540764.335000001</v>
      </c>
      <c r="N178" s="143">
        <f>IF(Inputs!$E$30="Yes",INDEX(Data!BN:BN,MATCH(Outputs!$A178,Data!$A:$A,0)),INDEX(Data!BE:BE,MATCH(Outputs!$A178,Data!$A:$A,0)))</f>
        <v>12196351.670000002</v>
      </c>
      <c r="O178" s="143">
        <f>IF(Inputs!$E$30="Yes",INDEX(Data!BO:BO,MATCH(Outputs!$A178,Data!$A:$A,0)),INDEX(Data!BF:BF,MATCH(Outputs!$A178,Data!$A:$A,0)))</f>
        <v>12851939.005000003</v>
      </c>
      <c r="P178" s="143">
        <f>IF(Inputs!$E$30="Yes",INDEX(Data!BP:BP,MATCH(Outputs!$A178,Data!$A:$A,0)),INDEX(Data!BG:BG,MATCH(Outputs!$A178,Data!$A:$A,0)))</f>
        <v>13507526.340000004</v>
      </c>
      <c r="Q178" s="143">
        <f>IF(Inputs!$E$30="Yes",INDEX(Data!BQ:BQ,MATCH(Outputs!$A178,Data!$A:$A,0)),INDEX(Data!BH:BH,MATCH(Outputs!$A178,Data!$A:$A,0)))</f>
        <v>14163113.675000004</v>
      </c>
      <c r="R178" s="143">
        <f>IF(Inputs!$E$30="Yes",INDEX(Data!BR:BR,MATCH(Outputs!$A178,Data!$A:$A,0)),INDEX(Data!BI:BI,MATCH(Outputs!$A178,Data!$A:$A,0)))</f>
        <v>14818701.010000005</v>
      </c>
      <c r="S178" s="143">
        <f>IF(Inputs!$E$30="Yes",INDEX(Data!BS:BS,MATCH(Outputs!$A178,Data!$A:$A,0)),INDEX(Data!BJ:BJ,MATCH(Outputs!$A178,Data!$A:$A,0)))</f>
        <v>15498827</v>
      </c>
      <c r="T178" s="143">
        <f>IF(Inputs!$E$30="Yes",INDEX(Data!BT:BT,MATCH(Outputs!$A178,Data!$A:$A,0)),INDEX(Data!BK:BK,MATCH(Outputs!$A178,Data!$A:$A,0)))</f>
        <v>15498827</v>
      </c>
      <c r="U178" s="143">
        <f>IF(Inputs!$E$30="Yes",INDEX(Data!BU:BU,MATCH(Outputs!$A178,Data!$A:$A,0)),INDEX(Data!BL:BL,MATCH(Outputs!$A178,Data!$A:$A,0)))</f>
        <v>15498827</v>
      </c>
      <c r="V178" s="143">
        <f>INDEX('FY 22 OFA Shell'!$AX$27:$AX$195,MATCH(Outputs!A178,'FY 22 OFA Shell'!$I$27:$I$195,0))</f>
        <v>11540764.335000001</v>
      </c>
      <c r="W178" s="143">
        <f>INDEX('FY 23 OFA Shell'!$AX$27:$AX$195,MATCH(Outputs!A178,'FY 23 OFA Shell'!$I$27:$I$195,0))</f>
        <v>12196351.670000002</v>
      </c>
      <c r="X178" s="143">
        <f>INDEX('FY 23 OFA Shell'!BK$27:BK$195,MATCH(Outputs!$A178,'FY 23 OFA Shell'!$I$27:$I$195,0))</f>
        <v>12851939.005000003</v>
      </c>
      <c r="Y178" s="143">
        <f>INDEX('FY 23 OFA Shell'!BL$27:BL$195,MATCH(Outputs!$A178,'FY 23 OFA Shell'!$I$27:$I$195,0))</f>
        <v>13507526.340000004</v>
      </c>
      <c r="Z178" s="143">
        <f>INDEX('FY 23 OFA Shell'!BM$27:BM$195,MATCH(Outputs!$A178,'FY 23 OFA Shell'!$I$27:$I$195,0))</f>
        <v>14163113.675000004</v>
      </c>
      <c r="AA178" s="143">
        <f>INDEX('FY 23 OFA Shell'!BN$27:BN$195,MATCH(Outputs!$A178,'FY 23 OFA Shell'!$I$27:$I$195,0))</f>
        <v>14818701.010000005</v>
      </c>
      <c r="AB178" s="143">
        <f>INDEX('FY 23 OFA Shell'!BO$27:BO$195,MATCH(Outputs!$A178,'FY 23 OFA Shell'!$I$27:$I$195,0))</f>
        <v>15498827</v>
      </c>
      <c r="AC178" s="143">
        <f>INDEX('FY 23 OFA Shell'!BP$27:BP$195,MATCH(Outputs!$A178,'FY 23 OFA Shell'!$I$27:$I$195,0))</f>
        <v>15498827</v>
      </c>
      <c r="AD178" s="143">
        <f>INDEX('FY 23 OFA Shell'!BQ$27:BQ$195,MATCH(Outputs!$A178,'FY 23 OFA Shell'!$I$27:$I$195,0))</f>
        <v>15498827</v>
      </c>
      <c r="AE178" s="129">
        <f t="shared" si="89"/>
        <v>0</v>
      </c>
      <c r="AF178" s="129">
        <f t="shared" si="90"/>
        <v>0</v>
      </c>
      <c r="AG178" s="129">
        <f t="shared" si="91"/>
        <v>0</v>
      </c>
      <c r="AH178" s="129">
        <f t="shared" si="92"/>
        <v>0</v>
      </c>
      <c r="AI178" s="129">
        <f t="shared" si="93"/>
        <v>0</v>
      </c>
      <c r="AJ178" s="129">
        <f t="shared" si="94"/>
        <v>0</v>
      </c>
      <c r="AK178" s="129">
        <f t="shared" si="95"/>
        <v>0</v>
      </c>
      <c r="AL178" s="129">
        <f t="shared" si="96"/>
        <v>0</v>
      </c>
      <c r="AM178" s="129">
        <f t="shared" si="97"/>
        <v>0</v>
      </c>
      <c r="AN178" s="127">
        <f t="shared" si="98"/>
        <v>0</v>
      </c>
      <c r="AO178" s="127">
        <f t="shared" si="99"/>
        <v>0</v>
      </c>
      <c r="AP178" s="127">
        <f t="shared" si="100"/>
        <v>0</v>
      </c>
      <c r="AQ178" s="127">
        <f t="shared" si="101"/>
        <v>0</v>
      </c>
      <c r="AR178" s="127">
        <f t="shared" si="102"/>
        <v>0</v>
      </c>
      <c r="AS178" s="127">
        <f t="shared" si="103"/>
        <v>0</v>
      </c>
      <c r="AT178" s="127">
        <f t="shared" si="104"/>
        <v>0</v>
      </c>
      <c r="AU178" s="127">
        <f t="shared" si="105"/>
        <v>0</v>
      </c>
      <c r="AV178" s="127">
        <f t="shared" si="106"/>
        <v>0</v>
      </c>
    </row>
    <row r="179" spans="1:48" x14ac:dyDescent="0.15">
      <c r="A179" s="29" t="s">
        <v>172</v>
      </c>
      <c r="B179" s="30">
        <f>IF(Data!D174=1, MAX(Data!AA174, Inputs!$E$25) + INDEX(Inputs!$D$38:$D$42, MATCH( Data!AD174, Inputs!$B$38:$B$42, 0), 0), MAX(Data!AA174, Inputs!$E$26) +  INDEX(Inputs!$D$38:$D$42, MATCH( Data!AD174, Inputs!$B$38:$B$42, 0), 0))</f>
        <v>0.41932599999999998</v>
      </c>
      <c r="C179" s="141">
        <f>(100*Data!R174)</f>
        <v>400</v>
      </c>
      <c r="D179" s="141">
        <f>ROUND(Data!Q174*C179, 0)</f>
        <v>71600</v>
      </c>
      <c r="E179" s="141">
        <f>(100*Data!T174)</f>
        <v>0</v>
      </c>
      <c r="F179" s="141">
        <f>E179*Data!S174</f>
        <v>0</v>
      </c>
      <c r="G179" s="142">
        <f>ROUND(Inputs!$E$21*Data!W174*B179, 0)</f>
        <v>3168339</v>
      </c>
      <c r="H179" s="143">
        <f>IF(G179=0, 0,IF(Inputs!$E$30="Yes", IF(Data!D174=1, MAX(Outputs!D179+Outputs!F179+Outputs!G179, Data!AE174), Outputs!D179+Outputs!F179+Outputs!G179), Outputs!D179+Outputs!F179+Outputs!G179))</f>
        <v>3239939</v>
      </c>
      <c r="I179" s="143">
        <f>INDEX('FY 22 OFA Shell'!$AQ$27:$AQ$195,MATCH(Outputs!A179,'FY 22 OFA Shell'!$I$27:$I$195,0))</f>
        <v>3239939</v>
      </c>
      <c r="J179" s="129">
        <f>H179-Data!AT174</f>
        <v>-216655</v>
      </c>
      <c r="K179" s="127">
        <f>((H179)/(Data!AT174)) - 1</f>
        <v>-6.2678752552367989E-2</v>
      </c>
      <c r="L179" s="127">
        <f t="shared" si="88"/>
        <v>0</v>
      </c>
      <c r="M179" s="143">
        <f>(IF(Inputs!$E$30="Yes",INDEX(Data!AT:AT,MATCH(Outputs!A179,Data!A:A,0)),INDEX(Data!AS:AS,MATCH(Outputs!A179,Data!A:A,0))))</f>
        <v>3456594</v>
      </c>
      <c r="N179" s="143">
        <f>IF(Inputs!$E$30="Yes",INDEX(Data!BN:BN,MATCH(Outputs!$A179,Data!$A:$A,0)),INDEX(Data!BE:BE,MATCH(Outputs!$A179,Data!$A:$A,0)))</f>
        <v>3456594</v>
      </c>
      <c r="O179" s="143">
        <f>IF(Inputs!$E$30="Yes",INDEX(Data!BO:BO,MATCH(Outputs!$A179,Data!$A:$A,0)),INDEX(Data!BF:BF,MATCH(Outputs!$A179,Data!$A:$A,0)))</f>
        <v>3423505.4073999999</v>
      </c>
      <c r="P179" s="143">
        <f>IF(Inputs!$E$30="Yes",INDEX(Data!BP:BP,MATCH(Outputs!$A179,Data!$A:$A,0)),INDEX(Data!BG:BG,MATCH(Outputs!$A179,Data!$A:$A,0)))</f>
        <v>3390416.8147999998</v>
      </c>
      <c r="Q179" s="143">
        <f>IF(Inputs!$E$30="Yes",INDEX(Data!BQ:BQ,MATCH(Outputs!$A179,Data!$A:$A,0)),INDEX(Data!BH:BH,MATCH(Outputs!$A179,Data!$A:$A,0)))</f>
        <v>3357328.2221999997</v>
      </c>
      <c r="R179" s="143">
        <f>IF(Inputs!$E$30="Yes",INDEX(Data!BR:BR,MATCH(Outputs!$A179,Data!$A:$A,0)),INDEX(Data!BI:BI,MATCH(Outputs!$A179,Data!$A:$A,0)))</f>
        <v>3324239.6295999996</v>
      </c>
      <c r="S179" s="143">
        <f>IF(Inputs!$E$30="Yes",INDEX(Data!BS:BS,MATCH(Outputs!$A179,Data!$A:$A,0)),INDEX(Data!BJ:BJ,MATCH(Outputs!$A179,Data!$A:$A,0)))</f>
        <v>3291151.0369999995</v>
      </c>
      <c r="T179" s="143">
        <f>IF(Inputs!$E$30="Yes",INDEX(Data!BT:BT,MATCH(Outputs!$A179,Data!$A:$A,0)),INDEX(Data!BK:BK,MATCH(Outputs!$A179,Data!$A:$A,0)))</f>
        <v>3258062.4443999995</v>
      </c>
      <c r="U179" s="143">
        <f>IF(Inputs!$E$30="Yes",INDEX(Data!BU:BU,MATCH(Outputs!$A179,Data!$A:$A,0)),INDEX(Data!BL:BL,MATCH(Outputs!$A179,Data!$A:$A,0)))</f>
        <v>3239939</v>
      </c>
      <c r="V179" s="143">
        <f>INDEX('FY 22 OFA Shell'!$AX$27:$AX$195,MATCH(Outputs!A179,'FY 22 OFA Shell'!$I$27:$I$195,0))</f>
        <v>3456594</v>
      </c>
      <c r="W179" s="143">
        <f>INDEX('FY 23 OFA Shell'!$AX$27:$AX$195,MATCH(Outputs!A179,'FY 23 OFA Shell'!$I$27:$I$195,0))</f>
        <v>3456594</v>
      </c>
      <c r="X179" s="143">
        <f>INDEX('FY 23 OFA Shell'!BK$27:BK$195,MATCH(Outputs!$A179,'FY 23 OFA Shell'!$I$27:$I$195,0))</f>
        <v>3423505.4073999999</v>
      </c>
      <c r="Y179" s="143">
        <f>INDEX('FY 23 OFA Shell'!BL$27:BL$195,MATCH(Outputs!$A179,'FY 23 OFA Shell'!$I$27:$I$195,0))</f>
        <v>3390416.8147999998</v>
      </c>
      <c r="Z179" s="143">
        <f>INDEX('FY 23 OFA Shell'!BM$27:BM$195,MATCH(Outputs!$A179,'FY 23 OFA Shell'!$I$27:$I$195,0))</f>
        <v>3357328.2221999997</v>
      </c>
      <c r="AA179" s="143">
        <f>INDEX('FY 23 OFA Shell'!BN$27:BN$195,MATCH(Outputs!$A179,'FY 23 OFA Shell'!$I$27:$I$195,0))</f>
        <v>3324239.6295999996</v>
      </c>
      <c r="AB179" s="143">
        <f>INDEX('FY 23 OFA Shell'!BO$27:BO$195,MATCH(Outputs!$A179,'FY 23 OFA Shell'!$I$27:$I$195,0))</f>
        <v>3291151.0369999995</v>
      </c>
      <c r="AC179" s="143">
        <f>INDEX('FY 23 OFA Shell'!BP$27:BP$195,MATCH(Outputs!$A179,'FY 23 OFA Shell'!$I$27:$I$195,0))</f>
        <v>3258062.4443999995</v>
      </c>
      <c r="AD179" s="143">
        <f>INDEX('FY 23 OFA Shell'!BQ$27:BQ$195,MATCH(Outputs!$A179,'FY 23 OFA Shell'!$I$27:$I$195,0))</f>
        <v>3239939</v>
      </c>
      <c r="AE179" s="129">
        <f t="shared" si="89"/>
        <v>0</v>
      </c>
      <c r="AF179" s="129">
        <f t="shared" si="90"/>
        <v>0</v>
      </c>
      <c r="AG179" s="129">
        <f t="shared" si="91"/>
        <v>0</v>
      </c>
      <c r="AH179" s="129">
        <f t="shared" si="92"/>
        <v>0</v>
      </c>
      <c r="AI179" s="129">
        <f t="shared" si="93"/>
        <v>0</v>
      </c>
      <c r="AJ179" s="129">
        <f t="shared" si="94"/>
        <v>0</v>
      </c>
      <c r="AK179" s="129">
        <f t="shared" si="95"/>
        <v>0</v>
      </c>
      <c r="AL179" s="129">
        <f t="shared" si="96"/>
        <v>0</v>
      </c>
      <c r="AM179" s="129">
        <f t="shared" si="97"/>
        <v>0</v>
      </c>
      <c r="AN179" s="127">
        <f t="shared" si="98"/>
        <v>0</v>
      </c>
      <c r="AO179" s="127">
        <f t="shared" si="99"/>
        <v>0</v>
      </c>
      <c r="AP179" s="127">
        <f t="shared" si="100"/>
        <v>0</v>
      </c>
      <c r="AQ179" s="127">
        <f t="shared" si="101"/>
        <v>0</v>
      </c>
      <c r="AR179" s="127">
        <f t="shared" si="102"/>
        <v>0</v>
      </c>
      <c r="AS179" s="127">
        <f t="shared" si="103"/>
        <v>0</v>
      </c>
      <c r="AT179" s="127">
        <f t="shared" si="104"/>
        <v>0</v>
      </c>
      <c r="AU179" s="127">
        <f t="shared" si="105"/>
        <v>0</v>
      </c>
      <c r="AV179" s="127">
        <f t="shared" si="106"/>
        <v>0</v>
      </c>
    </row>
    <row r="180" spans="1:48" x14ac:dyDescent="0.15">
      <c r="A180" s="29" t="s">
        <v>173</v>
      </c>
      <c r="B180" s="30">
        <f>IF(Data!D175=1, MAX(Data!AA175, Inputs!$E$25) + INDEX(Inputs!$D$38:$D$42, MATCH( Data!AD175, Inputs!$B$38:$B$42, 0), 0), MAX(Data!AA175, Inputs!$E$26) +  INDEX(Inputs!$D$38:$D$42, MATCH( Data!AD175, Inputs!$B$38:$B$42, 0), 0))</f>
        <v>0.01</v>
      </c>
      <c r="C180" s="141">
        <f>(100*Data!R175)</f>
        <v>0</v>
      </c>
      <c r="D180" s="141">
        <f>ROUND(Data!Q175*C180, 0)</f>
        <v>0</v>
      </c>
      <c r="E180" s="141">
        <f>(100*Data!T175)</f>
        <v>0</v>
      </c>
      <c r="F180" s="141">
        <f>E180*Data!S175</f>
        <v>0</v>
      </c>
      <c r="G180" s="142">
        <f>ROUND(Inputs!$E$21*Data!W175*B180, 0)</f>
        <v>429144</v>
      </c>
      <c r="H180" s="143">
        <f>IF(G180=0, 0,IF(Inputs!$E$30="Yes", IF(Data!D175=1, MAX(Outputs!D180+Outputs!F180+Outputs!G180, Data!AE175), Outputs!D180+Outputs!F180+Outputs!G180), Outputs!D180+Outputs!F180+Outputs!G180))</f>
        <v>429144</v>
      </c>
      <c r="I180" s="143">
        <f>INDEX('FY 22 OFA Shell'!$AQ$27:$AQ$195,MATCH(Outputs!A180,'FY 22 OFA Shell'!$I$27:$I$195,0))</f>
        <v>429144</v>
      </c>
      <c r="J180" s="129">
        <f>H180-Data!AT175</f>
        <v>-32652</v>
      </c>
      <c r="K180" s="127">
        <f>((H180)/(Data!AT175)) - 1</f>
        <v>-7.0706545747472926E-2</v>
      </c>
      <c r="L180" s="127">
        <f t="shared" ref="L180:L188" si="107">IFERROR(H180/I180-1, 0)</f>
        <v>0</v>
      </c>
      <c r="M180" s="143">
        <f>(IF(Inputs!$E$30="Yes",INDEX(Data!AT:AT,MATCH(Outputs!A180,Data!A:A,0)),INDEX(Data!AS:AS,MATCH(Outputs!A180,Data!A:A,0))))</f>
        <v>461796</v>
      </c>
      <c r="N180" s="143">
        <f>IF(Inputs!$E$30="Yes",INDEX(Data!BN:BN,MATCH(Outputs!$A180,Data!$A:$A,0)),INDEX(Data!BE:BE,MATCH(Outputs!$A180,Data!$A:$A,0)))</f>
        <v>461796</v>
      </c>
      <c r="O180" s="143">
        <f>IF(Inputs!$E$30="Yes",INDEX(Data!BO:BO,MATCH(Outputs!$A180,Data!$A:$A,0)),INDEX(Data!BF:BF,MATCH(Outputs!$A180,Data!$A:$A,0)))</f>
        <v>458980.70990000002</v>
      </c>
      <c r="P180" s="143">
        <f>IF(Inputs!$E$30="Yes",INDEX(Data!BP:BP,MATCH(Outputs!$A180,Data!$A:$A,0)),INDEX(Data!BG:BG,MATCH(Outputs!$A180,Data!$A:$A,0)))</f>
        <v>456165.41980000003</v>
      </c>
      <c r="Q180" s="143">
        <f>IF(Inputs!$E$30="Yes",INDEX(Data!BQ:BQ,MATCH(Outputs!$A180,Data!$A:$A,0)),INDEX(Data!BH:BH,MATCH(Outputs!$A180,Data!$A:$A,0)))</f>
        <v>453350.12970000005</v>
      </c>
      <c r="R180" s="143">
        <f>IF(Inputs!$E$30="Yes",INDEX(Data!BR:BR,MATCH(Outputs!$A180,Data!$A:$A,0)),INDEX(Data!BI:BI,MATCH(Outputs!$A180,Data!$A:$A,0)))</f>
        <v>450534.83960000006</v>
      </c>
      <c r="S180" s="143">
        <f>IF(Inputs!$E$30="Yes",INDEX(Data!BS:BS,MATCH(Outputs!$A180,Data!$A:$A,0)),INDEX(Data!BJ:BJ,MATCH(Outputs!$A180,Data!$A:$A,0)))</f>
        <v>447719.54950000008</v>
      </c>
      <c r="T180" s="143">
        <f>IF(Inputs!$E$30="Yes",INDEX(Data!BT:BT,MATCH(Outputs!$A180,Data!$A:$A,0)),INDEX(Data!BK:BK,MATCH(Outputs!$A180,Data!$A:$A,0)))</f>
        <v>444904.2594000001</v>
      </c>
      <c r="U180" s="143">
        <f>IF(Inputs!$E$30="Yes",INDEX(Data!BU:BU,MATCH(Outputs!$A180,Data!$A:$A,0)),INDEX(Data!BL:BL,MATCH(Outputs!$A180,Data!$A:$A,0)))</f>
        <v>429144</v>
      </c>
      <c r="V180" s="143">
        <f>INDEX('FY 22 OFA Shell'!$AX$27:$AX$195,MATCH(Outputs!A180,'FY 22 OFA Shell'!$I$27:$I$195,0))</f>
        <v>461796</v>
      </c>
      <c r="W180" s="143">
        <f>INDEX('FY 23 OFA Shell'!$AX$27:$AX$195,MATCH(Outputs!A180,'FY 23 OFA Shell'!$I$27:$I$195,0))</f>
        <v>461796</v>
      </c>
      <c r="X180" s="143">
        <f>INDEX('FY 23 OFA Shell'!BK$27:BK$195,MATCH(Outputs!$A180,'FY 23 OFA Shell'!$I$27:$I$195,0))</f>
        <v>458980.70990000002</v>
      </c>
      <c r="Y180" s="143">
        <f>INDEX('FY 23 OFA Shell'!BL$27:BL$195,MATCH(Outputs!$A180,'FY 23 OFA Shell'!$I$27:$I$195,0))</f>
        <v>456165.41980000003</v>
      </c>
      <c r="Z180" s="143">
        <f>INDEX('FY 23 OFA Shell'!BM$27:BM$195,MATCH(Outputs!$A180,'FY 23 OFA Shell'!$I$27:$I$195,0))</f>
        <v>453350.12970000005</v>
      </c>
      <c r="AA180" s="143">
        <f>INDEX('FY 23 OFA Shell'!BN$27:BN$195,MATCH(Outputs!$A180,'FY 23 OFA Shell'!$I$27:$I$195,0))</f>
        <v>450534.83960000006</v>
      </c>
      <c r="AB180" s="143">
        <f>INDEX('FY 23 OFA Shell'!BO$27:BO$195,MATCH(Outputs!$A180,'FY 23 OFA Shell'!$I$27:$I$195,0))</f>
        <v>447719.54950000008</v>
      </c>
      <c r="AC180" s="143">
        <f>INDEX('FY 23 OFA Shell'!BP$27:BP$195,MATCH(Outputs!$A180,'FY 23 OFA Shell'!$I$27:$I$195,0))</f>
        <v>444904.2594000001</v>
      </c>
      <c r="AD180" s="143">
        <f>INDEX('FY 23 OFA Shell'!BQ$27:BQ$195,MATCH(Outputs!$A180,'FY 23 OFA Shell'!$I$27:$I$195,0))</f>
        <v>429144</v>
      </c>
      <c r="AE180" s="129">
        <f t="shared" si="89"/>
        <v>0</v>
      </c>
      <c r="AF180" s="129">
        <f t="shared" si="90"/>
        <v>0</v>
      </c>
      <c r="AG180" s="129">
        <f t="shared" si="91"/>
        <v>0</v>
      </c>
      <c r="AH180" s="129">
        <f t="shared" si="92"/>
        <v>0</v>
      </c>
      <c r="AI180" s="129">
        <f t="shared" si="93"/>
        <v>0</v>
      </c>
      <c r="AJ180" s="129">
        <f t="shared" si="94"/>
        <v>0</v>
      </c>
      <c r="AK180" s="129">
        <f t="shared" si="95"/>
        <v>0</v>
      </c>
      <c r="AL180" s="129">
        <f t="shared" si="96"/>
        <v>0</v>
      </c>
      <c r="AM180" s="129">
        <f t="shared" si="97"/>
        <v>0</v>
      </c>
      <c r="AN180" s="127">
        <f t="shared" si="98"/>
        <v>0</v>
      </c>
      <c r="AO180" s="127">
        <f t="shared" si="99"/>
        <v>0</v>
      </c>
      <c r="AP180" s="127">
        <f t="shared" si="100"/>
        <v>0</v>
      </c>
      <c r="AQ180" s="127">
        <f t="shared" si="101"/>
        <v>0</v>
      </c>
      <c r="AR180" s="127">
        <f t="shared" si="102"/>
        <v>0</v>
      </c>
      <c r="AS180" s="127">
        <f t="shared" si="103"/>
        <v>0</v>
      </c>
      <c r="AT180" s="127">
        <f t="shared" si="104"/>
        <v>0</v>
      </c>
      <c r="AU180" s="127">
        <f t="shared" si="105"/>
        <v>0</v>
      </c>
      <c r="AV180" s="127">
        <f t="shared" si="106"/>
        <v>0</v>
      </c>
    </row>
    <row r="181" spans="1:48" x14ac:dyDescent="0.15">
      <c r="A181" s="29" t="s">
        <v>174</v>
      </c>
      <c r="B181" s="30">
        <f>IF(Data!D176=1, MAX(Data!AA176, Inputs!$E$25) + INDEX(Inputs!$D$38:$D$42, MATCH( Data!AD176, Inputs!$B$38:$B$42, 0), 0), MAX(Data!AA176, Inputs!$E$26) +  INDEX(Inputs!$D$38:$D$42, MATCH( Data!AD176, Inputs!$B$38:$B$42, 0), 0))</f>
        <v>0.481599</v>
      </c>
      <c r="C181" s="141">
        <f>(100*Data!R176)</f>
        <v>0</v>
      </c>
      <c r="D181" s="141">
        <f>ROUND(Data!Q176*C181, 0)</f>
        <v>0</v>
      </c>
      <c r="E181" s="141">
        <f>(100*Data!T176)</f>
        <v>600</v>
      </c>
      <c r="F181" s="141">
        <f>E181*Data!S176</f>
        <v>257400</v>
      </c>
      <c r="G181" s="142">
        <f>ROUND(Inputs!$E$21*Data!W176*B181, 0)</f>
        <v>6900515</v>
      </c>
      <c r="H181" s="143">
        <f>IF(G181=0, 0,IF(Inputs!$E$30="Yes", IF(Data!D176=1, MAX(Outputs!D181+Outputs!F181+Outputs!G181, Data!AE176), Outputs!D181+Outputs!F181+Outputs!G181), Outputs!D181+Outputs!F181+Outputs!G181))</f>
        <v>8024957</v>
      </c>
      <c r="I181" s="143">
        <f>INDEX('FY 22 OFA Shell'!$AQ$27:$AQ$195,MATCH(Outputs!A181,'FY 22 OFA Shell'!$I$27:$I$195,0))</f>
        <v>8024957</v>
      </c>
      <c r="J181" s="129">
        <f>H181-Data!AT176</f>
        <v>0</v>
      </c>
      <c r="K181" s="127">
        <f>((H181)/(Data!AT176)) - 1</f>
        <v>0</v>
      </c>
      <c r="L181" s="127">
        <f t="shared" si="107"/>
        <v>0</v>
      </c>
      <c r="M181" s="143">
        <f>(IF(Inputs!$E$30="Yes",INDEX(Data!AT:AT,MATCH(Outputs!A181,Data!A:A,0)),INDEX(Data!AS:AS,MATCH(Outputs!A181,Data!A:A,0))))</f>
        <v>8024957</v>
      </c>
      <c r="N181" s="143">
        <f>IF(Inputs!$E$30="Yes",INDEX(Data!BN:BN,MATCH(Outputs!$A181,Data!$A:$A,0)),INDEX(Data!BE:BE,MATCH(Outputs!$A181,Data!$A:$A,0)))</f>
        <v>8024957</v>
      </c>
      <c r="O181" s="143">
        <f>IF(Inputs!$E$30="Yes",INDEX(Data!BO:BO,MATCH(Outputs!$A181,Data!$A:$A,0)),INDEX(Data!BF:BF,MATCH(Outputs!$A181,Data!$A:$A,0)))</f>
        <v>8024957</v>
      </c>
      <c r="P181" s="143">
        <f>IF(Inputs!$E$30="Yes",INDEX(Data!BP:BP,MATCH(Outputs!$A181,Data!$A:$A,0)),INDEX(Data!BG:BG,MATCH(Outputs!$A181,Data!$A:$A,0)))</f>
        <v>8024957</v>
      </c>
      <c r="Q181" s="143">
        <f>IF(Inputs!$E$30="Yes",INDEX(Data!BQ:BQ,MATCH(Outputs!$A181,Data!$A:$A,0)),INDEX(Data!BH:BH,MATCH(Outputs!$A181,Data!$A:$A,0)))</f>
        <v>8024957</v>
      </c>
      <c r="R181" s="143">
        <f>IF(Inputs!$E$30="Yes",INDEX(Data!BR:BR,MATCH(Outputs!$A181,Data!$A:$A,0)),INDEX(Data!BI:BI,MATCH(Outputs!$A181,Data!$A:$A,0)))</f>
        <v>8024957</v>
      </c>
      <c r="S181" s="143">
        <f>IF(Inputs!$E$30="Yes",INDEX(Data!BS:BS,MATCH(Outputs!$A181,Data!$A:$A,0)),INDEX(Data!BJ:BJ,MATCH(Outputs!$A181,Data!$A:$A,0)))</f>
        <v>8024957</v>
      </c>
      <c r="T181" s="143">
        <f>IF(Inputs!$E$30="Yes",INDEX(Data!BT:BT,MATCH(Outputs!$A181,Data!$A:$A,0)),INDEX(Data!BK:BK,MATCH(Outputs!$A181,Data!$A:$A,0)))</f>
        <v>8024957</v>
      </c>
      <c r="U181" s="143">
        <f>IF(Inputs!$E$30="Yes",INDEX(Data!BU:BU,MATCH(Outputs!$A181,Data!$A:$A,0)),INDEX(Data!BL:BL,MATCH(Outputs!$A181,Data!$A:$A,0)))</f>
        <v>8024957</v>
      </c>
      <c r="V181" s="143">
        <f>INDEX('FY 22 OFA Shell'!$AX$27:$AX$195,MATCH(Outputs!A181,'FY 22 OFA Shell'!$I$27:$I$195,0))</f>
        <v>8024957</v>
      </c>
      <c r="W181" s="143">
        <f>INDEX('FY 23 OFA Shell'!$AX$27:$AX$195,MATCH(Outputs!A181,'FY 23 OFA Shell'!$I$27:$I$195,0))</f>
        <v>8024957</v>
      </c>
      <c r="X181" s="143">
        <f>INDEX('FY 23 OFA Shell'!BK$27:BK$195,MATCH(Outputs!$A181,'FY 23 OFA Shell'!$I$27:$I$195,0))</f>
        <v>8024957</v>
      </c>
      <c r="Y181" s="143">
        <f>INDEX('FY 23 OFA Shell'!BL$27:BL$195,MATCH(Outputs!$A181,'FY 23 OFA Shell'!$I$27:$I$195,0))</f>
        <v>8024957</v>
      </c>
      <c r="Z181" s="143">
        <f>INDEX('FY 23 OFA Shell'!BM$27:BM$195,MATCH(Outputs!$A181,'FY 23 OFA Shell'!$I$27:$I$195,0))</f>
        <v>8024957</v>
      </c>
      <c r="AA181" s="143">
        <f>INDEX('FY 23 OFA Shell'!BN$27:BN$195,MATCH(Outputs!$A181,'FY 23 OFA Shell'!$I$27:$I$195,0))</f>
        <v>8024957</v>
      </c>
      <c r="AB181" s="143">
        <f>INDEX('FY 23 OFA Shell'!BO$27:BO$195,MATCH(Outputs!$A181,'FY 23 OFA Shell'!$I$27:$I$195,0))</f>
        <v>8024957</v>
      </c>
      <c r="AC181" s="143">
        <f>INDEX('FY 23 OFA Shell'!BP$27:BP$195,MATCH(Outputs!$A181,'FY 23 OFA Shell'!$I$27:$I$195,0))</f>
        <v>8024957</v>
      </c>
      <c r="AD181" s="143">
        <f>INDEX('FY 23 OFA Shell'!BQ$27:BQ$195,MATCH(Outputs!$A181,'FY 23 OFA Shell'!$I$27:$I$195,0))</f>
        <v>8024957</v>
      </c>
      <c r="AE181" s="129">
        <f t="shared" si="89"/>
        <v>0</v>
      </c>
      <c r="AF181" s="129">
        <f t="shared" si="90"/>
        <v>0</v>
      </c>
      <c r="AG181" s="129">
        <f t="shared" si="91"/>
        <v>0</v>
      </c>
      <c r="AH181" s="129">
        <f t="shared" si="92"/>
        <v>0</v>
      </c>
      <c r="AI181" s="129">
        <f t="shared" si="93"/>
        <v>0</v>
      </c>
      <c r="AJ181" s="129">
        <f t="shared" si="94"/>
        <v>0</v>
      </c>
      <c r="AK181" s="129">
        <f t="shared" si="95"/>
        <v>0</v>
      </c>
      <c r="AL181" s="129">
        <f t="shared" si="96"/>
        <v>0</v>
      </c>
      <c r="AM181" s="129">
        <f t="shared" si="97"/>
        <v>0</v>
      </c>
      <c r="AN181" s="127">
        <f t="shared" si="98"/>
        <v>0</v>
      </c>
      <c r="AO181" s="127">
        <f t="shared" si="99"/>
        <v>0</v>
      </c>
      <c r="AP181" s="127">
        <f t="shared" si="100"/>
        <v>0</v>
      </c>
      <c r="AQ181" s="127">
        <f t="shared" si="101"/>
        <v>0</v>
      </c>
      <c r="AR181" s="127">
        <f t="shared" si="102"/>
        <v>0</v>
      </c>
      <c r="AS181" s="127">
        <f t="shared" si="103"/>
        <v>0</v>
      </c>
      <c r="AT181" s="127">
        <f t="shared" si="104"/>
        <v>0</v>
      </c>
      <c r="AU181" s="127">
        <f t="shared" si="105"/>
        <v>0</v>
      </c>
      <c r="AV181" s="127">
        <f t="shared" si="106"/>
        <v>0</v>
      </c>
    </row>
    <row r="182" spans="1:48" x14ac:dyDescent="0.15">
      <c r="A182" s="29" t="s">
        <v>175</v>
      </c>
      <c r="B182" s="30">
        <f>IF(Data!D177=1, MAX(Data!AA177, Inputs!$E$25) + INDEX(Inputs!$D$38:$D$42, MATCH( Data!AD177, Inputs!$B$38:$B$42, 0), 0), MAX(Data!AA177, Inputs!$E$26) +  INDEX(Inputs!$D$38:$D$42, MATCH( Data!AD177, Inputs!$B$38:$B$42, 0), 0))</f>
        <v>0.74066300000000007</v>
      </c>
      <c r="C182" s="141">
        <f>(100*Data!R177)</f>
        <v>0</v>
      </c>
      <c r="D182" s="141">
        <f>ROUND(Data!Q177*C182, 0)</f>
        <v>0</v>
      </c>
      <c r="E182" s="141">
        <f>(100*Data!T177)</f>
        <v>0</v>
      </c>
      <c r="F182" s="141">
        <f>E182*Data!S177</f>
        <v>0</v>
      </c>
      <c r="G182" s="142">
        <f>ROUND(Inputs!$E$21*Data!W177*B182, 0)</f>
        <v>35746177</v>
      </c>
      <c r="H182" s="143">
        <f>IF(G182=0, 0,IF(Inputs!$E$30="Yes", IF(Data!D177=1, MAX(Outputs!D182+Outputs!F182+Outputs!G182, Data!AE177), Outputs!D182+Outputs!F182+Outputs!G182), Outputs!D182+Outputs!F182+Outputs!G182))</f>
        <v>35746177</v>
      </c>
      <c r="I182" s="143">
        <f>INDEX('FY 22 OFA Shell'!$AQ$27:$AQ$195,MATCH(Outputs!A182,'FY 22 OFA Shell'!$I$27:$I$195,0))</f>
        <v>35746177</v>
      </c>
      <c r="J182" s="129">
        <f>H182-Data!AT177</f>
        <v>5806304.3004000001</v>
      </c>
      <c r="K182" s="127">
        <f>((H182)/(Data!AT177)) - 1</f>
        <v>0.19393216392925994</v>
      </c>
      <c r="L182" s="127">
        <f t="shared" si="107"/>
        <v>0</v>
      </c>
      <c r="M182" s="143">
        <f>(IF(Inputs!$E$30="Yes",INDEX(Data!AT:AT,MATCH(Outputs!A182,Data!A:A,0)),INDEX(Data!AS:AS,MATCH(Outputs!A182,Data!A:A,0))))</f>
        <v>29939872.6996</v>
      </c>
      <c r="N182" s="143">
        <f>IF(Inputs!$E$30="Yes",INDEX(Data!BN:BN,MATCH(Outputs!$A182,Data!$A:$A,0)),INDEX(Data!BE:BE,MATCH(Outputs!$A182,Data!$A:$A,0)))</f>
        <v>30916766.3992</v>
      </c>
      <c r="O182" s="143">
        <f>IF(Inputs!$E$30="Yes",INDEX(Data!BO:BO,MATCH(Outputs!$A182,Data!$A:$A,0)),INDEX(Data!BF:BF,MATCH(Outputs!$A182,Data!$A:$A,0)))</f>
        <v>31893660.0988</v>
      </c>
      <c r="P182" s="143">
        <f>IF(Inputs!$E$30="Yes",INDEX(Data!BP:BP,MATCH(Outputs!$A182,Data!$A:$A,0)),INDEX(Data!BG:BG,MATCH(Outputs!$A182,Data!$A:$A,0)))</f>
        <v>32870553.7984</v>
      </c>
      <c r="Q182" s="143">
        <f>IF(Inputs!$E$30="Yes",INDEX(Data!BQ:BQ,MATCH(Outputs!$A182,Data!$A:$A,0)),INDEX(Data!BH:BH,MATCH(Outputs!$A182,Data!$A:$A,0)))</f>
        <v>33847447.498000003</v>
      </c>
      <c r="R182" s="143">
        <f>IF(Inputs!$E$30="Yes",INDEX(Data!BR:BR,MATCH(Outputs!$A182,Data!$A:$A,0)),INDEX(Data!BI:BI,MATCH(Outputs!$A182,Data!$A:$A,0)))</f>
        <v>34824341.197600007</v>
      </c>
      <c r="S182" s="143">
        <f>IF(Inputs!$E$30="Yes",INDEX(Data!BS:BS,MATCH(Outputs!$A182,Data!$A:$A,0)),INDEX(Data!BJ:BJ,MATCH(Outputs!$A182,Data!$A:$A,0)))</f>
        <v>35746177</v>
      </c>
      <c r="T182" s="143">
        <f>IF(Inputs!$E$30="Yes",INDEX(Data!BT:BT,MATCH(Outputs!$A182,Data!$A:$A,0)),INDEX(Data!BK:BK,MATCH(Outputs!$A182,Data!$A:$A,0)))</f>
        <v>35746177</v>
      </c>
      <c r="U182" s="143">
        <f>IF(Inputs!$E$30="Yes",INDEX(Data!BU:BU,MATCH(Outputs!$A182,Data!$A:$A,0)),INDEX(Data!BL:BL,MATCH(Outputs!$A182,Data!$A:$A,0)))</f>
        <v>35746177</v>
      </c>
      <c r="V182" s="143">
        <f>INDEX('FY 22 OFA Shell'!$AX$27:$AX$195,MATCH(Outputs!A182,'FY 22 OFA Shell'!$I$27:$I$195,0))</f>
        <v>29939872.6996</v>
      </c>
      <c r="W182" s="143">
        <f>INDEX('FY 23 OFA Shell'!$AX$27:$AX$195,MATCH(Outputs!A182,'FY 23 OFA Shell'!$I$27:$I$195,0))</f>
        <v>30916766.3992</v>
      </c>
      <c r="X182" s="143">
        <f>INDEX('FY 23 OFA Shell'!BK$27:BK$195,MATCH(Outputs!$A182,'FY 23 OFA Shell'!$I$27:$I$195,0))</f>
        <v>31893660.0988</v>
      </c>
      <c r="Y182" s="143">
        <f>INDEX('FY 23 OFA Shell'!BL$27:BL$195,MATCH(Outputs!$A182,'FY 23 OFA Shell'!$I$27:$I$195,0))</f>
        <v>32870553.7984</v>
      </c>
      <c r="Z182" s="143">
        <f>INDEX('FY 23 OFA Shell'!BM$27:BM$195,MATCH(Outputs!$A182,'FY 23 OFA Shell'!$I$27:$I$195,0))</f>
        <v>33847447.498000003</v>
      </c>
      <c r="AA182" s="143">
        <f>INDEX('FY 23 OFA Shell'!BN$27:BN$195,MATCH(Outputs!$A182,'FY 23 OFA Shell'!$I$27:$I$195,0))</f>
        <v>34824341.197600007</v>
      </c>
      <c r="AB182" s="143">
        <f>INDEX('FY 23 OFA Shell'!BO$27:BO$195,MATCH(Outputs!$A182,'FY 23 OFA Shell'!$I$27:$I$195,0))</f>
        <v>35746177</v>
      </c>
      <c r="AC182" s="143">
        <f>INDEX('FY 23 OFA Shell'!BP$27:BP$195,MATCH(Outputs!$A182,'FY 23 OFA Shell'!$I$27:$I$195,0))</f>
        <v>35746177</v>
      </c>
      <c r="AD182" s="143">
        <f>INDEX('FY 23 OFA Shell'!BQ$27:BQ$195,MATCH(Outputs!$A182,'FY 23 OFA Shell'!$I$27:$I$195,0))</f>
        <v>35746177</v>
      </c>
      <c r="AE182" s="129">
        <f t="shared" si="89"/>
        <v>0</v>
      </c>
      <c r="AF182" s="129">
        <f t="shared" si="90"/>
        <v>0</v>
      </c>
      <c r="AG182" s="129">
        <f t="shared" si="91"/>
        <v>0</v>
      </c>
      <c r="AH182" s="129">
        <f t="shared" si="92"/>
        <v>0</v>
      </c>
      <c r="AI182" s="129">
        <f t="shared" si="93"/>
        <v>0</v>
      </c>
      <c r="AJ182" s="129">
        <f t="shared" si="94"/>
        <v>0</v>
      </c>
      <c r="AK182" s="129">
        <f t="shared" si="95"/>
        <v>0</v>
      </c>
      <c r="AL182" s="129">
        <f t="shared" si="96"/>
        <v>0</v>
      </c>
      <c r="AM182" s="129">
        <f t="shared" si="97"/>
        <v>0</v>
      </c>
      <c r="AN182" s="127">
        <f t="shared" si="98"/>
        <v>0</v>
      </c>
      <c r="AO182" s="127">
        <f t="shared" si="99"/>
        <v>0</v>
      </c>
      <c r="AP182" s="127">
        <f t="shared" si="100"/>
        <v>0</v>
      </c>
      <c r="AQ182" s="127">
        <f t="shared" si="101"/>
        <v>0</v>
      </c>
      <c r="AR182" s="127">
        <f t="shared" si="102"/>
        <v>0</v>
      </c>
      <c r="AS182" s="127">
        <f t="shared" si="103"/>
        <v>0</v>
      </c>
      <c r="AT182" s="127">
        <f t="shared" si="104"/>
        <v>0</v>
      </c>
      <c r="AU182" s="127">
        <f t="shared" si="105"/>
        <v>0</v>
      </c>
      <c r="AV182" s="127">
        <f t="shared" si="106"/>
        <v>0</v>
      </c>
    </row>
    <row r="183" spans="1:48" x14ac:dyDescent="0.15">
      <c r="A183" s="29" t="s">
        <v>176</v>
      </c>
      <c r="B183" s="30">
        <f>IF(Data!D178=1, MAX(Data!AA178, Inputs!$E$25) + INDEX(Inputs!$D$38:$D$42, MATCH( Data!AD178, Inputs!$B$38:$B$42, 0), 0), MAX(Data!AA178, Inputs!$E$26) +  INDEX(Inputs!$D$38:$D$42, MATCH( Data!AD178, Inputs!$B$38:$B$42, 0), 0))</f>
        <v>0.22514000000000001</v>
      </c>
      <c r="C183" s="141">
        <f>(100*Data!R178)</f>
        <v>0</v>
      </c>
      <c r="D183" s="141">
        <f>ROUND(Data!Q178*C183, 0)</f>
        <v>0</v>
      </c>
      <c r="E183" s="141">
        <f>(100*Data!T178)</f>
        <v>0</v>
      </c>
      <c r="F183" s="141">
        <f>E183*Data!S178</f>
        <v>0</v>
      </c>
      <c r="G183" s="142">
        <f>ROUND(Inputs!$E$21*Data!W178*B183, 0)</f>
        <v>11525777</v>
      </c>
      <c r="H183" s="143">
        <f>IF(G183=0, 0,IF(Inputs!$E$30="Yes", IF(Data!D178=1, MAX(Outputs!D183+Outputs!F183+Outputs!G183, Data!AE178), Outputs!D183+Outputs!F183+Outputs!G183), Outputs!D183+Outputs!F183+Outputs!G183))</f>
        <v>12130392</v>
      </c>
      <c r="I183" s="143">
        <f>INDEX('FY 22 OFA Shell'!$AQ$27:$AQ$195,MATCH(Outputs!A183,'FY 22 OFA Shell'!$I$27:$I$195,0))</f>
        <v>12130392</v>
      </c>
      <c r="J183" s="129">
        <f>H183-Data!AT178</f>
        <v>0</v>
      </c>
      <c r="K183" s="127">
        <f>((H183)/(Data!AT178)) - 1</f>
        <v>0</v>
      </c>
      <c r="L183" s="127">
        <f t="shared" si="107"/>
        <v>0</v>
      </c>
      <c r="M183" s="143">
        <f>(IF(Inputs!$E$30="Yes",INDEX(Data!AT:AT,MATCH(Outputs!A183,Data!A:A,0)),INDEX(Data!AS:AS,MATCH(Outputs!A183,Data!A:A,0))))</f>
        <v>12130392</v>
      </c>
      <c r="N183" s="143">
        <f>IF(Inputs!$E$30="Yes",INDEX(Data!BN:BN,MATCH(Outputs!$A183,Data!$A:$A,0)),INDEX(Data!BE:BE,MATCH(Outputs!$A183,Data!$A:$A,0)))</f>
        <v>12130392</v>
      </c>
      <c r="O183" s="143">
        <f>IF(Inputs!$E$30="Yes",INDEX(Data!BO:BO,MATCH(Outputs!$A183,Data!$A:$A,0)),INDEX(Data!BF:BF,MATCH(Outputs!$A183,Data!$A:$A,0)))</f>
        <v>12130392</v>
      </c>
      <c r="P183" s="143">
        <f>IF(Inputs!$E$30="Yes",INDEX(Data!BP:BP,MATCH(Outputs!$A183,Data!$A:$A,0)),INDEX(Data!BG:BG,MATCH(Outputs!$A183,Data!$A:$A,0)))</f>
        <v>12130392</v>
      </c>
      <c r="Q183" s="143">
        <f>IF(Inputs!$E$30="Yes",INDEX(Data!BQ:BQ,MATCH(Outputs!$A183,Data!$A:$A,0)),INDEX(Data!BH:BH,MATCH(Outputs!$A183,Data!$A:$A,0)))</f>
        <v>12130392</v>
      </c>
      <c r="R183" s="143">
        <f>IF(Inputs!$E$30="Yes",INDEX(Data!BR:BR,MATCH(Outputs!$A183,Data!$A:$A,0)),INDEX(Data!BI:BI,MATCH(Outputs!$A183,Data!$A:$A,0)))</f>
        <v>12130392</v>
      </c>
      <c r="S183" s="143">
        <f>IF(Inputs!$E$30="Yes",INDEX(Data!BS:BS,MATCH(Outputs!$A183,Data!$A:$A,0)),INDEX(Data!BJ:BJ,MATCH(Outputs!$A183,Data!$A:$A,0)))</f>
        <v>12130392</v>
      </c>
      <c r="T183" s="143">
        <f>IF(Inputs!$E$30="Yes",INDEX(Data!BT:BT,MATCH(Outputs!$A183,Data!$A:$A,0)),INDEX(Data!BK:BK,MATCH(Outputs!$A183,Data!$A:$A,0)))</f>
        <v>12130392</v>
      </c>
      <c r="U183" s="143">
        <f>IF(Inputs!$E$30="Yes",INDEX(Data!BU:BU,MATCH(Outputs!$A183,Data!$A:$A,0)),INDEX(Data!BL:BL,MATCH(Outputs!$A183,Data!$A:$A,0)))</f>
        <v>12130392</v>
      </c>
      <c r="V183" s="143">
        <f>INDEX('FY 22 OFA Shell'!$AX$27:$AX$195,MATCH(Outputs!A183,'FY 22 OFA Shell'!$I$27:$I$195,0))</f>
        <v>12130392</v>
      </c>
      <c r="W183" s="143">
        <f>INDEX('FY 23 OFA Shell'!$AX$27:$AX$195,MATCH(Outputs!A183,'FY 23 OFA Shell'!$I$27:$I$195,0))</f>
        <v>12130392</v>
      </c>
      <c r="X183" s="143">
        <f>INDEX('FY 23 OFA Shell'!BK$27:BK$195,MATCH(Outputs!$A183,'FY 23 OFA Shell'!$I$27:$I$195,0))</f>
        <v>12130392</v>
      </c>
      <c r="Y183" s="143">
        <f>INDEX('FY 23 OFA Shell'!BL$27:BL$195,MATCH(Outputs!$A183,'FY 23 OFA Shell'!$I$27:$I$195,0))</f>
        <v>12130392</v>
      </c>
      <c r="Z183" s="143">
        <f>INDEX('FY 23 OFA Shell'!BM$27:BM$195,MATCH(Outputs!$A183,'FY 23 OFA Shell'!$I$27:$I$195,0))</f>
        <v>12130392</v>
      </c>
      <c r="AA183" s="143">
        <f>INDEX('FY 23 OFA Shell'!BN$27:BN$195,MATCH(Outputs!$A183,'FY 23 OFA Shell'!$I$27:$I$195,0))</f>
        <v>12130392</v>
      </c>
      <c r="AB183" s="143">
        <f>INDEX('FY 23 OFA Shell'!BO$27:BO$195,MATCH(Outputs!$A183,'FY 23 OFA Shell'!$I$27:$I$195,0))</f>
        <v>12130392</v>
      </c>
      <c r="AC183" s="143">
        <f>INDEX('FY 23 OFA Shell'!BP$27:BP$195,MATCH(Outputs!$A183,'FY 23 OFA Shell'!$I$27:$I$195,0))</f>
        <v>12130392</v>
      </c>
      <c r="AD183" s="143">
        <f>INDEX('FY 23 OFA Shell'!BQ$27:BQ$195,MATCH(Outputs!$A183,'FY 23 OFA Shell'!$I$27:$I$195,0))</f>
        <v>12130392</v>
      </c>
      <c r="AE183" s="129">
        <f t="shared" si="89"/>
        <v>0</v>
      </c>
      <c r="AF183" s="129">
        <f t="shared" si="90"/>
        <v>0</v>
      </c>
      <c r="AG183" s="129">
        <f t="shared" si="91"/>
        <v>0</v>
      </c>
      <c r="AH183" s="129">
        <f t="shared" si="92"/>
        <v>0</v>
      </c>
      <c r="AI183" s="129">
        <f t="shared" si="93"/>
        <v>0</v>
      </c>
      <c r="AJ183" s="129">
        <f t="shared" si="94"/>
        <v>0</v>
      </c>
      <c r="AK183" s="129">
        <f t="shared" si="95"/>
        <v>0</v>
      </c>
      <c r="AL183" s="129">
        <f t="shared" si="96"/>
        <v>0</v>
      </c>
      <c r="AM183" s="129">
        <f t="shared" si="97"/>
        <v>0</v>
      </c>
      <c r="AN183" s="127">
        <f t="shared" si="98"/>
        <v>0</v>
      </c>
      <c r="AO183" s="127">
        <f t="shared" si="99"/>
        <v>0</v>
      </c>
      <c r="AP183" s="127">
        <f t="shared" si="100"/>
        <v>0</v>
      </c>
      <c r="AQ183" s="127">
        <f t="shared" si="101"/>
        <v>0</v>
      </c>
      <c r="AR183" s="127">
        <f t="shared" si="102"/>
        <v>0</v>
      </c>
      <c r="AS183" s="127">
        <f t="shared" si="103"/>
        <v>0</v>
      </c>
      <c r="AT183" s="127">
        <f t="shared" si="104"/>
        <v>0</v>
      </c>
      <c r="AU183" s="127">
        <f t="shared" si="105"/>
        <v>0</v>
      </c>
      <c r="AV183" s="127">
        <f t="shared" si="106"/>
        <v>0</v>
      </c>
    </row>
    <row r="184" spans="1:48" x14ac:dyDescent="0.15">
      <c r="A184" s="29" t="s">
        <v>177</v>
      </c>
      <c r="B184" s="30">
        <f>IF(Data!D179=1, MAX(Data!AA179, Inputs!$E$25) + INDEX(Inputs!$D$38:$D$42, MATCH( Data!AD179, Inputs!$B$38:$B$42, 0), 0), MAX(Data!AA179, Inputs!$E$26) +  INDEX(Inputs!$D$38:$D$42, MATCH( Data!AD179, Inputs!$B$38:$B$42, 0), 0))</f>
        <v>0.24851899999999999</v>
      </c>
      <c r="C184" s="141">
        <f>(100*Data!R179)</f>
        <v>0</v>
      </c>
      <c r="D184" s="141">
        <f>ROUND(Data!Q179*C184, 0)</f>
        <v>0</v>
      </c>
      <c r="E184" s="141">
        <f>(100*Data!T179)</f>
        <v>0</v>
      </c>
      <c r="F184" s="141">
        <f>E184*Data!S179</f>
        <v>0</v>
      </c>
      <c r="G184" s="142">
        <f>ROUND(Inputs!$E$21*Data!W179*B184, 0)</f>
        <v>5060407</v>
      </c>
      <c r="H184" s="143">
        <f>IF(G184=0, 0,IF(Inputs!$E$30="Yes", IF(Data!D179=1, MAX(Outputs!D184+Outputs!F184+Outputs!G184, Data!AE179), Outputs!D184+Outputs!F184+Outputs!G184), Outputs!D184+Outputs!F184+Outputs!G184))</f>
        <v>5167806</v>
      </c>
      <c r="I184" s="143">
        <f>INDEX('FY 22 OFA Shell'!$AQ$27:$AQ$195,MATCH(Outputs!A184,'FY 22 OFA Shell'!$I$27:$I$195,0))</f>
        <v>5167806</v>
      </c>
      <c r="J184" s="129">
        <f>H184-Data!AT179</f>
        <v>-57493</v>
      </c>
      <c r="K184" s="127">
        <f>((H184)/(Data!AT179)) - 1</f>
        <v>-1.1002815341284777E-2</v>
      </c>
      <c r="L184" s="127">
        <f t="shared" si="107"/>
        <v>0</v>
      </c>
      <c r="M184" s="143">
        <f>(IF(Inputs!$E$30="Yes",INDEX(Data!AT:AT,MATCH(Outputs!A184,Data!A:A,0)),INDEX(Data!AS:AS,MATCH(Outputs!A184,Data!A:A,0))))</f>
        <v>5225299</v>
      </c>
      <c r="N184" s="143">
        <f>IF(Inputs!$E$30="Yes",INDEX(Data!BN:BN,MATCH(Outputs!$A184,Data!$A:$A,0)),INDEX(Data!BE:BE,MATCH(Outputs!$A184,Data!$A:$A,0)))</f>
        <v>5225299</v>
      </c>
      <c r="O184" s="143">
        <f>IF(Inputs!$E$30="Yes",INDEX(Data!BO:BO,MATCH(Outputs!$A184,Data!$A:$A,0)),INDEX(Data!BF:BF,MATCH(Outputs!$A184,Data!$A:$A,0)))</f>
        <v>5216352.6633000001</v>
      </c>
      <c r="P184" s="143">
        <f>IF(Inputs!$E$30="Yes",INDEX(Data!BP:BP,MATCH(Outputs!$A184,Data!$A:$A,0)),INDEX(Data!BG:BG,MATCH(Outputs!$A184,Data!$A:$A,0)))</f>
        <v>5207406.3266000003</v>
      </c>
      <c r="Q184" s="143">
        <f>IF(Inputs!$E$30="Yes",INDEX(Data!BQ:BQ,MATCH(Outputs!$A184,Data!$A:$A,0)),INDEX(Data!BH:BH,MATCH(Outputs!$A184,Data!$A:$A,0)))</f>
        <v>5198459.9899000004</v>
      </c>
      <c r="R184" s="143">
        <f>IF(Inputs!$E$30="Yes",INDEX(Data!BR:BR,MATCH(Outputs!$A184,Data!$A:$A,0)),INDEX(Data!BI:BI,MATCH(Outputs!$A184,Data!$A:$A,0)))</f>
        <v>5189513.6532000005</v>
      </c>
      <c r="S184" s="143">
        <f>IF(Inputs!$E$30="Yes",INDEX(Data!BS:BS,MATCH(Outputs!$A184,Data!$A:$A,0)),INDEX(Data!BJ:BJ,MATCH(Outputs!$A184,Data!$A:$A,0)))</f>
        <v>5180567.3165000007</v>
      </c>
      <c r="T184" s="143">
        <f>IF(Inputs!$E$30="Yes",INDEX(Data!BT:BT,MATCH(Outputs!$A184,Data!$A:$A,0)),INDEX(Data!BK:BK,MATCH(Outputs!$A184,Data!$A:$A,0)))</f>
        <v>5171620.9798000008</v>
      </c>
      <c r="U184" s="143">
        <f>IF(Inputs!$E$30="Yes",INDEX(Data!BU:BU,MATCH(Outputs!$A184,Data!$A:$A,0)),INDEX(Data!BL:BL,MATCH(Outputs!$A184,Data!$A:$A,0)))</f>
        <v>5167806</v>
      </c>
      <c r="V184" s="143">
        <f>INDEX('FY 22 OFA Shell'!$AX$27:$AX$195,MATCH(Outputs!A184,'FY 22 OFA Shell'!$I$27:$I$195,0))</f>
        <v>5225299</v>
      </c>
      <c r="W184" s="143">
        <f>INDEX('FY 23 OFA Shell'!$AX$27:$AX$195,MATCH(Outputs!A184,'FY 23 OFA Shell'!$I$27:$I$195,0))</f>
        <v>5225299</v>
      </c>
      <c r="X184" s="143">
        <f>INDEX('FY 23 OFA Shell'!BK$27:BK$195,MATCH(Outputs!$A184,'FY 23 OFA Shell'!$I$27:$I$195,0))</f>
        <v>5216352.6633000001</v>
      </c>
      <c r="Y184" s="143">
        <f>INDEX('FY 23 OFA Shell'!BL$27:BL$195,MATCH(Outputs!$A184,'FY 23 OFA Shell'!$I$27:$I$195,0))</f>
        <v>5207406.3266000003</v>
      </c>
      <c r="Z184" s="143">
        <f>INDEX('FY 23 OFA Shell'!BM$27:BM$195,MATCH(Outputs!$A184,'FY 23 OFA Shell'!$I$27:$I$195,0))</f>
        <v>5198459.9899000004</v>
      </c>
      <c r="AA184" s="143">
        <f>INDEX('FY 23 OFA Shell'!BN$27:BN$195,MATCH(Outputs!$A184,'FY 23 OFA Shell'!$I$27:$I$195,0))</f>
        <v>5189513.6532000005</v>
      </c>
      <c r="AB184" s="143">
        <f>INDEX('FY 23 OFA Shell'!BO$27:BO$195,MATCH(Outputs!$A184,'FY 23 OFA Shell'!$I$27:$I$195,0))</f>
        <v>5180567.3165000007</v>
      </c>
      <c r="AC184" s="143">
        <f>INDEX('FY 23 OFA Shell'!BP$27:BP$195,MATCH(Outputs!$A184,'FY 23 OFA Shell'!$I$27:$I$195,0))</f>
        <v>5171620.9798000008</v>
      </c>
      <c r="AD184" s="143">
        <f>INDEX('FY 23 OFA Shell'!BQ$27:BQ$195,MATCH(Outputs!$A184,'FY 23 OFA Shell'!$I$27:$I$195,0))</f>
        <v>5167806</v>
      </c>
      <c r="AE184" s="129">
        <f t="shared" si="89"/>
        <v>0</v>
      </c>
      <c r="AF184" s="129">
        <f t="shared" si="90"/>
        <v>0</v>
      </c>
      <c r="AG184" s="129">
        <f t="shared" si="91"/>
        <v>0</v>
      </c>
      <c r="AH184" s="129">
        <f t="shared" si="92"/>
        <v>0</v>
      </c>
      <c r="AI184" s="129">
        <f t="shared" si="93"/>
        <v>0</v>
      </c>
      <c r="AJ184" s="129">
        <f t="shared" si="94"/>
        <v>0</v>
      </c>
      <c r="AK184" s="129">
        <f t="shared" si="95"/>
        <v>0</v>
      </c>
      <c r="AL184" s="129">
        <f t="shared" si="96"/>
        <v>0</v>
      </c>
      <c r="AM184" s="129">
        <f t="shared" si="97"/>
        <v>0</v>
      </c>
      <c r="AN184" s="127">
        <f t="shared" si="98"/>
        <v>0</v>
      </c>
      <c r="AO184" s="127">
        <f t="shared" si="99"/>
        <v>0</v>
      </c>
      <c r="AP184" s="127">
        <f t="shared" si="100"/>
        <v>0</v>
      </c>
      <c r="AQ184" s="127">
        <f t="shared" si="101"/>
        <v>0</v>
      </c>
      <c r="AR184" s="127">
        <f t="shared" si="102"/>
        <v>0</v>
      </c>
      <c r="AS184" s="127">
        <f t="shared" si="103"/>
        <v>0</v>
      </c>
      <c r="AT184" s="127">
        <f t="shared" si="104"/>
        <v>0</v>
      </c>
      <c r="AU184" s="127">
        <f t="shared" si="105"/>
        <v>0</v>
      </c>
      <c r="AV184" s="127">
        <f t="shared" si="106"/>
        <v>0</v>
      </c>
    </row>
    <row r="185" spans="1:48" x14ac:dyDescent="0.15">
      <c r="A185" s="29" t="s">
        <v>178</v>
      </c>
      <c r="B185" s="30">
        <f>IF(Data!D180=1, MAX(Data!AA180, Inputs!$E$25) + INDEX(Inputs!$D$38:$D$42, MATCH( Data!AD180, Inputs!$B$38:$B$42, 0), 0), MAX(Data!AA180, Inputs!$E$26) +  INDEX(Inputs!$D$38:$D$42, MATCH( Data!AD180, Inputs!$B$38:$B$42, 0), 0))</f>
        <v>0.38839800000000002</v>
      </c>
      <c r="C185" s="141">
        <f>(100*Data!R180)</f>
        <v>0</v>
      </c>
      <c r="D185" s="141">
        <f>ROUND(Data!Q180*C185, 0)</f>
        <v>0</v>
      </c>
      <c r="E185" s="141">
        <f>(100*Data!T180)</f>
        <v>0</v>
      </c>
      <c r="F185" s="141">
        <f>E185*Data!S180</f>
        <v>0</v>
      </c>
      <c r="G185" s="142">
        <f>ROUND(Inputs!$E$21*Data!W180*B185, 0)</f>
        <v>11297835</v>
      </c>
      <c r="H185" s="143">
        <f>IF(G185=0, 0,IF(Inputs!$E$30="Yes", IF(Data!D180=1, MAX(Outputs!D185+Outputs!F185+Outputs!G185, Data!AE180), Outputs!D185+Outputs!F185+Outputs!G185), Outputs!D185+Outputs!F185+Outputs!G185))</f>
        <v>11297835</v>
      </c>
      <c r="I185" s="143">
        <f>INDEX('FY 22 OFA Shell'!$AQ$27:$AQ$195,MATCH(Outputs!A185,'FY 22 OFA Shell'!$I$27:$I$195,0))</f>
        <v>11297835</v>
      </c>
      <c r="J185" s="129">
        <f>H185-Data!AT180</f>
        <v>-1089336</v>
      </c>
      <c r="K185" s="127">
        <f>((H185)/(Data!AT180)) - 1</f>
        <v>-8.7940660543073146E-2</v>
      </c>
      <c r="L185" s="127">
        <f t="shared" si="107"/>
        <v>0</v>
      </c>
      <c r="M185" s="143">
        <f>(IF(Inputs!$E$30="Yes",INDEX(Data!AT:AT,MATCH(Outputs!A185,Data!A:A,0)),INDEX(Data!AS:AS,MATCH(Outputs!A185,Data!A:A,0))))</f>
        <v>12387171</v>
      </c>
      <c r="N185" s="143">
        <f>IF(Inputs!$E$30="Yes",INDEX(Data!BN:BN,MATCH(Outputs!$A185,Data!$A:$A,0)),INDEX(Data!BE:BE,MATCH(Outputs!$A185,Data!$A:$A,0)))</f>
        <v>12387171</v>
      </c>
      <c r="O185" s="143">
        <f>IF(Inputs!$E$30="Yes",INDEX(Data!BO:BO,MATCH(Outputs!$A185,Data!$A:$A,0)),INDEX(Data!BF:BF,MATCH(Outputs!$A185,Data!$A:$A,0)))</f>
        <v>12210096.774700001</v>
      </c>
      <c r="P185" s="143">
        <f>IF(Inputs!$E$30="Yes",INDEX(Data!BP:BP,MATCH(Outputs!$A185,Data!$A:$A,0)),INDEX(Data!BG:BG,MATCH(Outputs!$A185,Data!$A:$A,0)))</f>
        <v>12033022.549400002</v>
      </c>
      <c r="Q185" s="143">
        <f>IF(Inputs!$E$30="Yes",INDEX(Data!BQ:BQ,MATCH(Outputs!$A185,Data!$A:$A,0)),INDEX(Data!BH:BH,MATCH(Outputs!$A185,Data!$A:$A,0)))</f>
        <v>11855948.324100003</v>
      </c>
      <c r="R185" s="143">
        <f>IF(Inputs!$E$30="Yes",INDEX(Data!BR:BR,MATCH(Outputs!$A185,Data!$A:$A,0)),INDEX(Data!BI:BI,MATCH(Outputs!$A185,Data!$A:$A,0)))</f>
        <v>11678874.098800004</v>
      </c>
      <c r="S185" s="143">
        <f>IF(Inputs!$E$30="Yes",INDEX(Data!BS:BS,MATCH(Outputs!$A185,Data!$A:$A,0)),INDEX(Data!BJ:BJ,MATCH(Outputs!$A185,Data!$A:$A,0)))</f>
        <v>11501799.873500004</v>
      </c>
      <c r="T185" s="143">
        <f>IF(Inputs!$E$30="Yes",INDEX(Data!BT:BT,MATCH(Outputs!$A185,Data!$A:$A,0)),INDEX(Data!BK:BK,MATCH(Outputs!$A185,Data!$A:$A,0)))</f>
        <v>11324725.648200005</v>
      </c>
      <c r="U185" s="143">
        <f>IF(Inputs!$E$30="Yes",INDEX(Data!BU:BU,MATCH(Outputs!$A185,Data!$A:$A,0)),INDEX(Data!BL:BL,MATCH(Outputs!$A185,Data!$A:$A,0)))</f>
        <v>11297835</v>
      </c>
      <c r="V185" s="143">
        <f>INDEX('FY 22 OFA Shell'!$AX$27:$AX$195,MATCH(Outputs!A185,'FY 22 OFA Shell'!$I$27:$I$195,0))</f>
        <v>12387171</v>
      </c>
      <c r="W185" s="143">
        <f>INDEX('FY 23 OFA Shell'!$AX$27:$AX$195,MATCH(Outputs!A185,'FY 23 OFA Shell'!$I$27:$I$195,0))</f>
        <v>12387171</v>
      </c>
      <c r="X185" s="143">
        <f>INDEX('FY 23 OFA Shell'!BK$27:BK$195,MATCH(Outputs!$A185,'FY 23 OFA Shell'!$I$27:$I$195,0))</f>
        <v>12210096.774700001</v>
      </c>
      <c r="Y185" s="143">
        <f>INDEX('FY 23 OFA Shell'!BL$27:BL$195,MATCH(Outputs!$A185,'FY 23 OFA Shell'!$I$27:$I$195,0))</f>
        <v>12033022.549400002</v>
      </c>
      <c r="Z185" s="143">
        <f>INDEX('FY 23 OFA Shell'!BM$27:BM$195,MATCH(Outputs!$A185,'FY 23 OFA Shell'!$I$27:$I$195,0))</f>
        <v>11855948.324100003</v>
      </c>
      <c r="AA185" s="143">
        <f>INDEX('FY 23 OFA Shell'!BN$27:BN$195,MATCH(Outputs!$A185,'FY 23 OFA Shell'!$I$27:$I$195,0))</f>
        <v>11678874.098800004</v>
      </c>
      <c r="AB185" s="143">
        <f>INDEX('FY 23 OFA Shell'!BO$27:BO$195,MATCH(Outputs!$A185,'FY 23 OFA Shell'!$I$27:$I$195,0))</f>
        <v>11501799.873500004</v>
      </c>
      <c r="AC185" s="143">
        <f>INDEX('FY 23 OFA Shell'!BP$27:BP$195,MATCH(Outputs!$A185,'FY 23 OFA Shell'!$I$27:$I$195,0))</f>
        <v>11324725.648200005</v>
      </c>
      <c r="AD185" s="143">
        <f>INDEX('FY 23 OFA Shell'!BQ$27:BQ$195,MATCH(Outputs!$A185,'FY 23 OFA Shell'!$I$27:$I$195,0))</f>
        <v>11297835</v>
      </c>
      <c r="AE185" s="129">
        <f t="shared" si="89"/>
        <v>0</v>
      </c>
      <c r="AF185" s="129">
        <f t="shared" si="90"/>
        <v>0</v>
      </c>
      <c r="AG185" s="129">
        <f t="shared" si="91"/>
        <v>0</v>
      </c>
      <c r="AH185" s="129">
        <f t="shared" si="92"/>
        <v>0</v>
      </c>
      <c r="AI185" s="129">
        <f t="shared" si="93"/>
        <v>0</v>
      </c>
      <c r="AJ185" s="129">
        <f t="shared" si="94"/>
        <v>0</v>
      </c>
      <c r="AK185" s="129">
        <f t="shared" si="95"/>
        <v>0</v>
      </c>
      <c r="AL185" s="129">
        <f t="shared" si="96"/>
        <v>0</v>
      </c>
      <c r="AM185" s="129">
        <f t="shared" si="97"/>
        <v>0</v>
      </c>
      <c r="AN185" s="127">
        <f t="shared" si="98"/>
        <v>0</v>
      </c>
      <c r="AO185" s="127">
        <f t="shared" si="99"/>
        <v>0</v>
      </c>
      <c r="AP185" s="127">
        <f t="shared" si="100"/>
        <v>0</v>
      </c>
      <c r="AQ185" s="127">
        <f t="shared" si="101"/>
        <v>0</v>
      </c>
      <c r="AR185" s="127">
        <f t="shared" si="102"/>
        <v>0</v>
      </c>
      <c r="AS185" s="127">
        <f t="shared" si="103"/>
        <v>0</v>
      </c>
      <c r="AT185" s="127">
        <f t="shared" si="104"/>
        <v>0</v>
      </c>
      <c r="AU185" s="127">
        <f t="shared" si="105"/>
        <v>0</v>
      </c>
      <c r="AV185" s="127">
        <f t="shared" si="106"/>
        <v>0</v>
      </c>
    </row>
    <row r="186" spans="1:48" x14ac:dyDescent="0.15">
      <c r="A186" s="29" t="s">
        <v>179</v>
      </c>
      <c r="B186" s="30">
        <f>IF(Data!D181=1, MAX(Data!AA181, Inputs!$E$25) + INDEX(Inputs!$D$38:$D$42, MATCH( Data!AD181, Inputs!$B$38:$B$42, 0), 0), MAX(Data!AA181, Inputs!$E$26) +  INDEX(Inputs!$D$38:$D$42, MATCH( Data!AD181, Inputs!$B$38:$B$42, 0), 0))</f>
        <v>0.01</v>
      </c>
      <c r="C186" s="141">
        <f>(100*Data!R181)</f>
        <v>600</v>
      </c>
      <c r="D186" s="141">
        <f>ROUND(Data!Q181*C186, 0)</f>
        <v>421800</v>
      </c>
      <c r="E186" s="141">
        <f>(100*Data!T181)</f>
        <v>0</v>
      </c>
      <c r="F186" s="141">
        <f>E186*Data!S181</f>
        <v>0</v>
      </c>
      <c r="G186" s="142">
        <f>ROUND(Inputs!$E$21*Data!W181*B186, 0)</f>
        <v>185259</v>
      </c>
      <c r="H186" s="143">
        <f>IF(G186=0, 0,IF(Inputs!$E$30="Yes", IF(Data!D181=1, MAX(Outputs!D186+Outputs!F186+Outputs!G186, Data!AE181), Outputs!D186+Outputs!F186+Outputs!G186), Outputs!D186+Outputs!F186+Outputs!G186))</f>
        <v>607059</v>
      </c>
      <c r="I186" s="143">
        <f>INDEX('FY 22 OFA Shell'!$AQ$27:$AQ$195,MATCH(Outputs!A186,'FY 22 OFA Shell'!$I$27:$I$195,0))</f>
        <v>607059</v>
      </c>
      <c r="J186" s="129">
        <f>H186-Data!AT181</f>
        <v>135484</v>
      </c>
      <c r="K186" s="127">
        <f>((H186)/(Data!AT181)) - 1</f>
        <v>0.28730106557811586</v>
      </c>
      <c r="L186" s="127">
        <f t="shared" si="107"/>
        <v>0</v>
      </c>
      <c r="M186" s="143">
        <f>(IF(Inputs!$E$30="Yes",INDEX(Data!AT:AT,MATCH(Outputs!A186,Data!A:A,0)),INDEX(Data!AS:AS,MATCH(Outputs!A186,Data!A:A,0))))</f>
        <v>471575</v>
      </c>
      <c r="N186" s="143">
        <f>IF(Inputs!$E$30="Yes",INDEX(Data!BN:BN,MATCH(Outputs!$A186,Data!$A:$A,0)),INDEX(Data!BE:BE,MATCH(Outputs!$A186,Data!$A:$A,0)))</f>
        <v>471575</v>
      </c>
      <c r="O186" s="143">
        <f>IF(Inputs!$E$30="Yes",INDEX(Data!BO:BO,MATCH(Outputs!$A186,Data!$A:$A,0)),INDEX(Data!BF:BF,MATCH(Outputs!$A186,Data!$A:$A,0)))</f>
        <v>467482.80420000001</v>
      </c>
      <c r="P186" s="143">
        <f>IF(Inputs!$E$30="Yes",INDEX(Data!BP:BP,MATCH(Outputs!$A186,Data!$A:$A,0)),INDEX(Data!BG:BG,MATCH(Outputs!$A186,Data!$A:$A,0)))</f>
        <v>463390.60840000003</v>
      </c>
      <c r="Q186" s="143">
        <f>IF(Inputs!$E$30="Yes",INDEX(Data!BQ:BQ,MATCH(Outputs!$A186,Data!$A:$A,0)),INDEX(Data!BH:BH,MATCH(Outputs!$A186,Data!$A:$A,0)))</f>
        <v>459298.41260000004</v>
      </c>
      <c r="R186" s="143">
        <f>IF(Inputs!$E$30="Yes",INDEX(Data!BR:BR,MATCH(Outputs!$A186,Data!$A:$A,0)),INDEX(Data!BI:BI,MATCH(Outputs!$A186,Data!$A:$A,0)))</f>
        <v>455206.21680000005</v>
      </c>
      <c r="S186" s="143">
        <f>IF(Inputs!$E$30="Yes",INDEX(Data!BS:BS,MATCH(Outputs!$A186,Data!$A:$A,0)),INDEX(Data!BJ:BJ,MATCH(Outputs!$A186,Data!$A:$A,0)))</f>
        <v>451114.02100000007</v>
      </c>
      <c r="T186" s="143">
        <f>IF(Inputs!$E$30="Yes",INDEX(Data!BT:BT,MATCH(Outputs!$A186,Data!$A:$A,0)),INDEX(Data!BK:BK,MATCH(Outputs!$A186,Data!$A:$A,0)))</f>
        <v>447021.82520000008</v>
      </c>
      <c r="U186" s="143">
        <f>IF(Inputs!$E$30="Yes",INDEX(Data!BU:BU,MATCH(Outputs!$A186,Data!$A:$A,0)),INDEX(Data!BL:BL,MATCH(Outputs!$A186,Data!$A:$A,0)))</f>
        <v>607059</v>
      </c>
      <c r="V186" s="143">
        <f>INDEX('FY 22 OFA Shell'!$AX$27:$AX$195,MATCH(Outputs!A186,'FY 22 OFA Shell'!$I$27:$I$195,0))</f>
        <v>471575</v>
      </c>
      <c r="W186" s="143">
        <f>INDEX('FY 23 OFA Shell'!$AX$27:$AX$195,MATCH(Outputs!A186,'FY 23 OFA Shell'!$I$27:$I$195,0))</f>
        <v>471575</v>
      </c>
      <c r="X186" s="143">
        <f>INDEX('FY 23 OFA Shell'!BK$27:BK$195,MATCH(Outputs!$A186,'FY 23 OFA Shell'!$I$27:$I$195,0))</f>
        <v>467482.80420000001</v>
      </c>
      <c r="Y186" s="143">
        <f>INDEX('FY 23 OFA Shell'!BL$27:BL$195,MATCH(Outputs!$A186,'FY 23 OFA Shell'!$I$27:$I$195,0))</f>
        <v>463390.60840000003</v>
      </c>
      <c r="Z186" s="143">
        <f>INDEX('FY 23 OFA Shell'!BM$27:BM$195,MATCH(Outputs!$A186,'FY 23 OFA Shell'!$I$27:$I$195,0))</f>
        <v>459298.41260000004</v>
      </c>
      <c r="AA186" s="143">
        <f>INDEX('FY 23 OFA Shell'!BN$27:BN$195,MATCH(Outputs!$A186,'FY 23 OFA Shell'!$I$27:$I$195,0))</f>
        <v>455206.21680000005</v>
      </c>
      <c r="AB186" s="143">
        <f>INDEX('FY 23 OFA Shell'!BO$27:BO$195,MATCH(Outputs!$A186,'FY 23 OFA Shell'!$I$27:$I$195,0))</f>
        <v>451114.02100000007</v>
      </c>
      <c r="AC186" s="143">
        <f>INDEX('FY 23 OFA Shell'!BP$27:BP$195,MATCH(Outputs!$A186,'FY 23 OFA Shell'!$I$27:$I$195,0))</f>
        <v>447021.82520000008</v>
      </c>
      <c r="AD186" s="143">
        <f>INDEX('FY 23 OFA Shell'!BQ$27:BQ$195,MATCH(Outputs!$A186,'FY 23 OFA Shell'!$I$27:$I$195,0))</f>
        <v>607059</v>
      </c>
      <c r="AE186" s="129">
        <f t="shared" si="89"/>
        <v>0</v>
      </c>
      <c r="AF186" s="129">
        <f t="shared" si="90"/>
        <v>0</v>
      </c>
      <c r="AG186" s="129">
        <f t="shared" si="91"/>
        <v>0</v>
      </c>
      <c r="AH186" s="129">
        <f t="shared" si="92"/>
        <v>0</v>
      </c>
      <c r="AI186" s="129">
        <f t="shared" si="93"/>
        <v>0</v>
      </c>
      <c r="AJ186" s="129">
        <f t="shared" si="94"/>
        <v>0</v>
      </c>
      <c r="AK186" s="129">
        <f t="shared" si="95"/>
        <v>0</v>
      </c>
      <c r="AL186" s="129">
        <f t="shared" si="96"/>
        <v>0</v>
      </c>
      <c r="AM186" s="129">
        <f t="shared" si="97"/>
        <v>0</v>
      </c>
      <c r="AN186" s="127">
        <f t="shared" si="98"/>
        <v>0</v>
      </c>
      <c r="AO186" s="127">
        <f t="shared" si="99"/>
        <v>0</v>
      </c>
      <c r="AP186" s="127">
        <f t="shared" si="100"/>
        <v>0</v>
      </c>
      <c r="AQ186" s="127">
        <f t="shared" si="101"/>
        <v>0</v>
      </c>
      <c r="AR186" s="127">
        <f t="shared" si="102"/>
        <v>0</v>
      </c>
      <c r="AS186" s="127">
        <f t="shared" si="103"/>
        <v>0</v>
      </c>
      <c r="AT186" s="127">
        <f t="shared" si="104"/>
        <v>0</v>
      </c>
      <c r="AU186" s="127">
        <f t="shared" si="105"/>
        <v>0</v>
      </c>
      <c r="AV186" s="127">
        <f t="shared" si="106"/>
        <v>0</v>
      </c>
    </row>
    <row r="187" spans="1:48" x14ac:dyDescent="0.15">
      <c r="A187" s="29" t="s">
        <v>180</v>
      </c>
      <c r="B187" s="30">
        <f>IF(Data!D182=1, MAX(Data!AA182, Inputs!$E$25) + INDEX(Inputs!$D$38:$D$42, MATCH( Data!AD182, Inputs!$B$38:$B$42, 0), 0), MAX(Data!AA182, Inputs!$E$26) +  INDEX(Inputs!$D$38:$D$42, MATCH( Data!AD182, Inputs!$B$38:$B$42, 0), 0))</f>
        <v>0.224743</v>
      </c>
      <c r="C187" s="141">
        <f>(100*Data!R182)</f>
        <v>1300</v>
      </c>
      <c r="D187" s="141">
        <f>ROUND(Data!Q182*C187, 0)</f>
        <v>1290900</v>
      </c>
      <c r="E187" s="141">
        <f>(100*Data!T182)</f>
        <v>0</v>
      </c>
      <c r="F187" s="141">
        <f>E187*Data!S182</f>
        <v>0</v>
      </c>
      <c r="G187" s="142">
        <f>ROUND(Inputs!$E$21*Data!W182*B187, 0)</f>
        <v>2703535</v>
      </c>
      <c r="H187" s="143">
        <f>IF(G187=0, 0,IF(Inputs!$E$30="Yes", IF(Data!D182=1, MAX(Outputs!D187+Outputs!F187+Outputs!G187, Data!AE182), Outputs!D187+Outputs!F187+Outputs!G187), Outputs!D187+Outputs!F187+Outputs!G187))</f>
        <v>3994435</v>
      </c>
      <c r="I187" s="143">
        <f>INDEX('FY 22 OFA Shell'!$AQ$27:$AQ$195,MATCH(Outputs!A187,'FY 22 OFA Shell'!$I$27:$I$195,0))</f>
        <v>3994435</v>
      </c>
      <c r="J187" s="129">
        <f>H187-Data!AT182</f>
        <v>2164877.2815999999</v>
      </c>
      <c r="K187" s="127">
        <f>((H187)/(Data!AT182)) - 1</f>
        <v>1.1832790295860391</v>
      </c>
      <c r="L187" s="127">
        <f t="shared" si="107"/>
        <v>0</v>
      </c>
      <c r="M187" s="143">
        <f>(IF(Inputs!$E$30="Yes",INDEX(Data!AT:AT,MATCH(Outputs!A187,Data!A:A,0)),INDEX(Data!AS:AS,MATCH(Outputs!A187,Data!A:A,0))))</f>
        <v>1829557.7184000001</v>
      </c>
      <c r="N187" s="143">
        <f>IF(Inputs!$E$30="Yes",INDEX(Data!BN:BN,MATCH(Outputs!$A187,Data!$A:$A,0)),INDEX(Data!BE:BE,MATCH(Outputs!$A187,Data!$A:$A,0)))</f>
        <v>2119256.4368000003</v>
      </c>
      <c r="O187" s="143">
        <f>IF(Inputs!$E$30="Yes",INDEX(Data!BO:BO,MATCH(Outputs!$A187,Data!$A:$A,0)),INDEX(Data!BF:BF,MATCH(Outputs!$A187,Data!$A:$A,0)))</f>
        <v>2408955.1552000004</v>
      </c>
      <c r="P187" s="143">
        <f>IF(Inputs!$E$30="Yes",INDEX(Data!BP:BP,MATCH(Outputs!$A187,Data!$A:$A,0)),INDEX(Data!BG:BG,MATCH(Outputs!$A187,Data!$A:$A,0)))</f>
        <v>2698653.8736000005</v>
      </c>
      <c r="Q187" s="143">
        <f>IF(Inputs!$E$30="Yes",INDEX(Data!BQ:BQ,MATCH(Outputs!$A187,Data!$A:$A,0)),INDEX(Data!BH:BH,MATCH(Outputs!$A187,Data!$A:$A,0)))</f>
        <v>2988352.5920000006</v>
      </c>
      <c r="R187" s="143">
        <f>IF(Inputs!$E$30="Yes",INDEX(Data!BR:BR,MATCH(Outputs!$A187,Data!$A:$A,0)),INDEX(Data!BI:BI,MATCH(Outputs!$A187,Data!$A:$A,0)))</f>
        <v>3278051.3104000008</v>
      </c>
      <c r="S187" s="143">
        <f>IF(Inputs!$E$30="Yes",INDEX(Data!BS:BS,MATCH(Outputs!$A187,Data!$A:$A,0)),INDEX(Data!BJ:BJ,MATCH(Outputs!$A187,Data!$A:$A,0)))</f>
        <v>3994435</v>
      </c>
      <c r="T187" s="143">
        <f>IF(Inputs!$E$30="Yes",INDEX(Data!BT:BT,MATCH(Outputs!$A187,Data!$A:$A,0)),INDEX(Data!BK:BK,MATCH(Outputs!$A187,Data!$A:$A,0)))</f>
        <v>3994435</v>
      </c>
      <c r="U187" s="143">
        <f>IF(Inputs!$E$30="Yes",INDEX(Data!BU:BU,MATCH(Outputs!$A187,Data!$A:$A,0)),INDEX(Data!BL:BL,MATCH(Outputs!$A187,Data!$A:$A,0)))</f>
        <v>3994435</v>
      </c>
      <c r="V187" s="143">
        <f>INDEX('FY 22 OFA Shell'!$AX$27:$AX$195,MATCH(Outputs!A187,'FY 22 OFA Shell'!$I$27:$I$195,0))</f>
        <v>1829557.7184000001</v>
      </c>
      <c r="W187" s="143">
        <f>INDEX('FY 23 OFA Shell'!$AX$27:$AX$195,MATCH(Outputs!A187,'FY 23 OFA Shell'!$I$27:$I$195,0))</f>
        <v>2119256.4368000003</v>
      </c>
      <c r="X187" s="143">
        <f>INDEX('FY 23 OFA Shell'!BK$27:BK$195,MATCH(Outputs!$A187,'FY 23 OFA Shell'!$I$27:$I$195,0))</f>
        <v>2408955.1552000004</v>
      </c>
      <c r="Y187" s="143">
        <f>INDEX('FY 23 OFA Shell'!BL$27:BL$195,MATCH(Outputs!$A187,'FY 23 OFA Shell'!$I$27:$I$195,0))</f>
        <v>2698653.8736000005</v>
      </c>
      <c r="Z187" s="143">
        <f>INDEX('FY 23 OFA Shell'!BM$27:BM$195,MATCH(Outputs!$A187,'FY 23 OFA Shell'!$I$27:$I$195,0))</f>
        <v>2988352.5920000006</v>
      </c>
      <c r="AA187" s="143">
        <f>INDEX('FY 23 OFA Shell'!BN$27:BN$195,MATCH(Outputs!$A187,'FY 23 OFA Shell'!$I$27:$I$195,0))</f>
        <v>3278051.3104000008</v>
      </c>
      <c r="AB187" s="143">
        <f>INDEX('FY 23 OFA Shell'!BO$27:BO$195,MATCH(Outputs!$A187,'FY 23 OFA Shell'!$I$27:$I$195,0))</f>
        <v>3994435</v>
      </c>
      <c r="AC187" s="143">
        <f>INDEX('FY 23 OFA Shell'!BP$27:BP$195,MATCH(Outputs!$A187,'FY 23 OFA Shell'!$I$27:$I$195,0))</f>
        <v>3994435</v>
      </c>
      <c r="AD187" s="143">
        <f>INDEX('FY 23 OFA Shell'!BQ$27:BQ$195,MATCH(Outputs!$A187,'FY 23 OFA Shell'!$I$27:$I$195,0))</f>
        <v>3994435</v>
      </c>
      <c r="AE187" s="129">
        <f t="shared" si="89"/>
        <v>0</v>
      </c>
      <c r="AF187" s="129">
        <f t="shared" si="90"/>
        <v>0</v>
      </c>
      <c r="AG187" s="129">
        <f t="shared" si="91"/>
        <v>0</v>
      </c>
      <c r="AH187" s="129">
        <f t="shared" si="92"/>
        <v>0</v>
      </c>
      <c r="AI187" s="129">
        <f t="shared" si="93"/>
        <v>0</v>
      </c>
      <c r="AJ187" s="129">
        <f t="shared" si="94"/>
        <v>0</v>
      </c>
      <c r="AK187" s="129">
        <f t="shared" si="95"/>
        <v>0</v>
      </c>
      <c r="AL187" s="129">
        <f t="shared" si="96"/>
        <v>0</v>
      </c>
      <c r="AM187" s="129">
        <f t="shared" si="97"/>
        <v>0</v>
      </c>
      <c r="AN187" s="127">
        <f t="shared" si="98"/>
        <v>0</v>
      </c>
      <c r="AO187" s="127">
        <f t="shared" si="99"/>
        <v>0</v>
      </c>
      <c r="AP187" s="127">
        <f t="shared" si="100"/>
        <v>0</v>
      </c>
      <c r="AQ187" s="127">
        <f t="shared" si="101"/>
        <v>0</v>
      </c>
      <c r="AR187" s="127">
        <f t="shared" si="102"/>
        <v>0</v>
      </c>
      <c r="AS187" s="127">
        <f t="shared" si="103"/>
        <v>0</v>
      </c>
      <c r="AT187" s="127">
        <f t="shared" si="104"/>
        <v>0</v>
      </c>
      <c r="AU187" s="127">
        <f t="shared" si="105"/>
        <v>0</v>
      </c>
      <c r="AV187" s="127">
        <f t="shared" si="106"/>
        <v>0</v>
      </c>
    </row>
    <row r="188" spans="1:48" x14ac:dyDescent="0.15">
      <c r="A188" s="29" t="s">
        <v>181</v>
      </c>
      <c r="B188" s="30">
        <f>IF(Data!D183=1, MAX(Data!AA183, Inputs!$E$25) + INDEX(Inputs!$D$38:$D$42, MATCH( Data!AD183, Inputs!$B$38:$B$42, 0), 0), MAX(Data!AA183, Inputs!$E$26) +  INDEX(Inputs!$D$38:$D$42, MATCH( Data!AD183, Inputs!$B$38:$B$42, 0), 0))</f>
        <v>0.25857200000000002</v>
      </c>
      <c r="C188" s="141">
        <f>(100*Data!R183)</f>
        <v>0</v>
      </c>
      <c r="D188" s="141">
        <f>ROUND(Data!Q183*C188, 0)</f>
        <v>0</v>
      </c>
      <c r="E188" s="141">
        <f>(100*Data!T183)</f>
        <v>400</v>
      </c>
      <c r="F188" s="141">
        <f>E188*Data!S183</f>
        <v>179600</v>
      </c>
      <c r="G188" s="142">
        <f>ROUND(Inputs!$E$21*Data!W183*B188, 0)</f>
        <v>3922749</v>
      </c>
      <c r="H188" s="143">
        <f>IF(G188=0, 0,IF(Inputs!$E$30="Yes", IF(Data!D183=1, MAX(Outputs!D188+Outputs!F188+Outputs!G188, Data!AE183), Outputs!D188+Outputs!F188+Outputs!G188), Outputs!D188+Outputs!F188+Outputs!G188))</f>
        <v>4102349</v>
      </c>
      <c r="I188" s="143">
        <f>INDEX('FY 22 OFA Shell'!$AQ$27:$AQ$195,MATCH(Outputs!A188,'FY 22 OFA Shell'!$I$27:$I$195,0))</f>
        <v>4102349</v>
      </c>
      <c r="J188" s="129">
        <f>H188-Data!AT183</f>
        <v>-888183</v>
      </c>
      <c r="K188" s="127">
        <f>((H188)/(Data!AT183)) - 1</f>
        <v>-0.17797361082946672</v>
      </c>
      <c r="L188" s="127">
        <f t="shared" si="107"/>
        <v>0</v>
      </c>
      <c r="M188" s="143">
        <f>(IF(Inputs!$E$30="Yes",INDEX(Data!AT:AT,MATCH(Outputs!A188,Data!A:A,0)),INDEX(Data!AS:AS,MATCH(Outputs!A188,Data!A:A,0))))</f>
        <v>4990532</v>
      </c>
      <c r="N188" s="143">
        <f>IF(Inputs!$E$30="Yes",INDEX(Data!BN:BN,MATCH(Outputs!$A188,Data!$A:$A,0)),INDEX(Data!BE:BE,MATCH(Outputs!$A188,Data!$A:$A,0)))</f>
        <v>4990532</v>
      </c>
      <c r="O188" s="143">
        <f>IF(Inputs!$E$30="Yes",INDEX(Data!BO:BO,MATCH(Outputs!$A188,Data!$A:$A,0)),INDEX(Data!BF:BF,MATCH(Outputs!$A188,Data!$A:$A,0)))</f>
        <v>4886057.7231000001</v>
      </c>
      <c r="P188" s="143">
        <f>IF(Inputs!$E$30="Yes",INDEX(Data!BP:BP,MATCH(Outputs!$A188,Data!$A:$A,0)),INDEX(Data!BG:BG,MATCH(Outputs!$A188,Data!$A:$A,0)))</f>
        <v>4781583.4462000001</v>
      </c>
      <c r="Q188" s="143">
        <f>IF(Inputs!$E$30="Yes",INDEX(Data!BQ:BQ,MATCH(Outputs!$A188,Data!$A:$A,0)),INDEX(Data!BH:BH,MATCH(Outputs!$A188,Data!$A:$A,0)))</f>
        <v>4677109.1693000002</v>
      </c>
      <c r="R188" s="143">
        <f>IF(Inputs!$E$30="Yes",INDEX(Data!BR:BR,MATCH(Outputs!$A188,Data!$A:$A,0)),INDEX(Data!BI:BI,MATCH(Outputs!$A188,Data!$A:$A,0)))</f>
        <v>4572634.8924000002</v>
      </c>
      <c r="S188" s="143">
        <f>IF(Inputs!$E$30="Yes",INDEX(Data!BS:BS,MATCH(Outputs!$A188,Data!$A:$A,0)),INDEX(Data!BJ:BJ,MATCH(Outputs!$A188,Data!$A:$A,0)))</f>
        <v>4468160.6155000003</v>
      </c>
      <c r="T188" s="143">
        <f>IF(Inputs!$E$30="Yes",INDEX(Data!BT:BT,MATCH(Outputs!$A188,Data!$A:$A,0)),INDEX(Data!BK:BK,MATCH(Outputs!$A188,Data!$A:$A,0)))</f>
        <v>4363686.3386000004</v>
      </c>
      <c r="U188" s="143">
        <f>IF(Inputs!$E$30="Yes",INDEX(Data!BU:BU,MATCH(Outputs!$A188,Data!$A:$A,0)),INDEX(Data!BL:BL,MATCH(Outputs!$A188,Data!$A:$A,0)))</f>
        <v>4102349</v>
      </c>
      <c r="V188" s="143">
        <f>INDEX('FY 22 OFA Shell'!$AX$27:$AX$195,MATCH(Outputs!A188,'FY 22 OFA Shell'!$I$27:$I$195,0))</f>
        <v>4990532</v>
      </c>
      <c r="W188" s="143">
        <f>INDEX('FY 23 OFA Shell'!$AX$27:$AX$195,MATCH(Outputs!A188,'FY 23 OFA Shell'!$I$27:$I$195,0))</f>
        <v>4990532</v>
      </c>
      <c r="X188" s="143">
        <f>INDEX('FY 23 OFA Shell'!BK$27:BK$195,MATCH(Outputs!$A188,'FY 23 OFA Shell'!$I$27:$I$195,0))</f>
        <v>4886057.7231000001</v>
      </c>
      <c r="Y188" s="143">
        <f>INDEX('FY 23 OFA Shell'!BL$27:BL$195,MATCH(Outputs!$A188,'FY 23 OFA Shell'!$I$27:$I$195,0))</f>
        <v>4781583.4462000001</v>
      </c>
      <c r="Z188" s="143">
        <f>INDEX('FY 23 OFA Shell'!BM$27:BM$195,MATCH(Outputs!$A188,'FY 23 OFA Shell'!$I$27:$I$195,0))</f>
        <v>4677109.1693000002</v>
      </c>
      <c r="AA188" s="143">
        <f>INDEX('FY 23 OFA Shell'!BN$27:BN$195,MATCH(Outputs!$A188,'FY 23 OFA Shell'!$I$27:$I$195,0))</f>
        <v>4572634.8924000002</v>
      </c>
      <c r="AB188" s="143">
        <f>INDEX('FY 23 OFA Shell'!BO$27:BO$195,MATCH(Outputs!$A188,'FY 23 OFA Shell'!$I$27:$I$195,0))</f>
        <v>4468160.6155000003</v>
      </c>
      <c r="AC188" s="143">
        <f>INDEX('FY 23 OFA Shell'!BP$27:BP$195,MATCH(Outputs!$A188,'FY 23 OFA Shell'!$I$27:$I$195,0))</f>
        <v>4363686.3386000004</v>
      </c>
      <c r="AD188" s="143">
        <f>INDEX('FY 23 OFA Shell'!BQ$27:BQ$195,MATCH(Outputs!$A188,'FY 23 OFA Shell'!$I$27:$I$195,0))</f>
        <v>4102349</v>
      </c>
      <c r="AE188" s="129">
        <f t="shared" si="89"/>
        <v>0</v>
      </c>
      <c r="AF188" s="129">
        <f t="shared" si="90"/>
        <v>0</v>
      </c>
      <c r="AG188" s="129">
        <f t="shared" si="91"/>
        <v>0</v>
      </c>
      <c r="AH188" s="129">
        <f t="shared" si="92"/>
        <v>0</v>
      </c>
      <c r="AI188" s="129">
        <f t="shared" si="93"/>
        <v>0</v>
      </c>
      <c r="AJ188" s="129">
        <f t="shared" si="94"/>
        <v>0</v>
      </c>
      <c r="AK188" s="129">
        <f t="shared" si="95"/>
        <v>0</v>
      </c>
      <c r="AL188" s="129">
        <f t="shared" si="96"/>
        <v>0</v>
      </c>
      <c r="AM188" s="129">
        <f t="shared" si="97"/>
        <v>0</v>
      </c>
      <c r="AN188" s="127">
        <f t="shared" si="98"/>
        <v>0</v>
      </c>
      <c r="AO188" s="127">
        <f t="shared" si="99"/>
        <v>0</v>
      </c>
      <c r="AP188" s="127">
        <f t="shared" si="100"/>
        <v>0</v>
      </c>
      <c r="AQ188" s="127">
        <f t="shared" si="101"/>
        <v>0</v>
      </c>
      <c r="AR188" s="127">
        <f t="shared" si="102"/>
        <v>0</v>
      </c>
      <c r="AS188" s="127">
        <f t="shared" si="103"/>
        <v>0</v>
      </c>
      <c r="AT188" s="127">
        <f t="shared" si="104"/>
        <v>0</v>
      </c>
      <c r="AU188" s="127">
        <f t="shared" si="105"/>
        <v>0</v>
      </c>
      <c r="AV188" s="127">
        <f t="shared" si="106"/>
        <v>0</v>
      </c>
    </row>
  </sheetData>
  <sheetProtection algorithmName="SHA-512" hashValue="GCOZsWgROCyrvwieoRToD8Swl0amN7FEI11RLM19XCMrLQWzqRmsNZeSjmcL/9m1mX+oJkXKP3V5mFSaZRCXNw==" saltValue="oKCj0BAWrjY2TMBBz6z40w==" spinCount="100000" sheet="1" objects="1" scenarios="1" selectLockedCells="1"/>
  <mergeCells count="1">
    <mergeCell ref="B5:I6"/>
  </mergeCells>
  <conditionalFormatting sqref="J20:J188">
    <cfRule type="cellIs" dxfId="98" priority="83" operator="lessThan">
      <formula>0</formula>
    </cfRule>
    <cfRule type="cellIs" dxfId="97" priority="84" operator="greaterThan">
      <formula>0</formula>
    </cfRule>
  </conditionalFormatting>
  <conditionalFormatting sqref="J20:J188">
    <cfRule type="cellIs" dxfId="96" priority="82" operator="equal">
      <formula>0</formula>
    </cfRule>
  </conditionalFormatting>
  <conditionalFormatting sqref="K20:K188">
    <cfRule type="cellIs" dxfId="95" priority="80" operator="lessThan">
      <formula>0</formula>
    </cfRule>
    <cfRule type="cellIs" dxfId="94" priority="81" operator="greaterThan">
      <formula>0</formula>
    </cfRule>
  </conditionalFormatting>
  <conditionalFormatting sqref="K20:K188">
    <cfRule type="cellIs" dxfId="93" priority="79" operator="equal">
      <formula>0</formula>
    </cfRule>
  </conditionalFormatting>
  <conditionalFormatting sqref="L20:L188">
    <cfRule type="cellIs" dxfId="92" priority="77" operator="lessThan">
      <formula>0</formula>
    </cfRule>
    <cfRule type="cellIs" dxfId="91" priority="78" operator="greaterThan">
      <formula>0</formula>
    </cfRule>
  </conditionalFormatting>
  <conditionalFormatting sqref="L20:L188">
    <cfRule type="cellIs" dxfId="90" priority="76" operator="equal">
      <formula>0</formula>
    </cfRule>
  </conditionalFormatting>
  <conditionalFormatting sqref="AE20:AE188">
    <cfRule type="cellIs" dxfId="89" priority="68" operator="lessThan">
      <formula>0</formula>
    </cfRule>
    <cfRule type="cellIs" dxfId="88" priority="69" operator="greaterThan">
      <formula>0</formula>
    </cfRule>
  </conditionalFormatting>
  <conditionalFormatting sqref="AE20:AE188">
    <cfRule type="cellIs" dxfId="87" priority="67" operator="equal">
      <formula>0</formula>
    </cfRule>
  </conditionalFormatting>
  <conditionalFormatting sqref="AF20:AF188">
    <cfRule type="cellIs" dxfId="86" priority="62" operator="lessThan">
      <formula>0</formula>
    </cfRule>
    <cfRule type="cellIs" dxfId="85" priority="63" operator="greaterThan">
      <formula>0</formula>
    </cfRule>
  </conditionalFormatting>
  <conditionalFormatting sqref="AF20:AF188">
    <cfRule type="cellIs" dxfId="84" priority="61" operator="equal">
      <formula>0</formula>
    </cfRule>
  </conditionalFormatting>
  <conditionalFormatting sqref="AO20:AO188">
    <cfRule type="cellIs" dxfId="83" priority="59" operator="lessThan">
      <formula>0</formula>
    </cfRule>
    <cfRule type="cellIs" dxfId="82" priority="60" operator="greaterThan">
      <formula>0</formula>
    </cfRule>
  </conditionalFormatting>
  <conditionalFormatting sqref="AO20:AO188">
    <cfRule type="cellIs" dxfId="81" priority="58" operator="equal">
      <formula>0</formula>
    </cfRule>
  </conditionalFormatting>
  <conditionalFormatting sqref="AG20:AM20">
    <cfRule type="cellIs" dxfId="80" priority="17" operator="lessThan">
      <formula>0</formula>
    </cfRule>
    <cfRule type="cellIs" dxfId="79" priority="18" operator="greaterThan">
      <formula>0</formula>
    </cfRule>
  </conditionalFormatting>
  <conditionalFormatting sqref="AG20:AM20">
    <cfRule type="cellIs" dxfId="78" priority="16" operator="equal">
      <formula>0</formula>
    </cfRule>
  </conditionalFormatting>
  <conditionalFormatting sqref="AN20">
    <cfRule type="cellIs" dxfId="77" priority="11" operator="lessThan">
      <formula>0</formula>
    </cfRule>
    <cfRule type="cellIs" dxfId="76" priority="12" operator="greaterThan">
      <formula>0</formula>
    </cfRule>
  </conditionalFormatting>
  <conditionalFormatting sqref="AN20">
    <cfRule type="cellIs" dxfId="75" priority="10" operator="equal">
      <formula>0</formula>
    </cfRule>
  </conditionalFormatting>
  <conditionalFormatting sqref="AG21:AM188">
    <cfRule type="cellIs" dxfId="74" priority="14" operator="lessThan">
      <formula>0</formula>
    </cfRule>
    <cfRule type="cellIs" dxfId="73" priority="15" operator="greaterThan">
      <formula>0</formula>
    </cfRule>
  </conditionalFormatting>
  <conditionalFormatting sqref="AG21:AM188">
    <cfRule type="cellIs" dxfId="72" priority="13" operator="equal">
      <formula>0</formula>
    </cfRule>
  </conditionalFormatting>
  <conditionalFormatting sqref="AN21:AN188">
    <cfRule type="cellIs" dxfId="71" priority="8" operator="lessThan">
      <formula>0</formula>
    </cfRule>
    <cfRule type="cellIs" dxfId="70" priority="9" operator="greaterThan">
      <formula>0</formula>
    </cfRule>
  </conditionalFormatting>
  <conditionalFormatting sqref="AN21:AN188">
    <cfRule type="cellIs" dxfId="69" priority="7" operator="equal">
      <formula>0</formula>
    </cfRule>
  </conditionalFormatting>
  <conditionalFormatting sqref="AP20:AV20">
    <cfRule type="cellIs" dxfId="68" priority="5" operator="lessThan">
      <formula>0</formula>
    </cfRule>
    <cfRule type="cellIs" dxfId="67" priority="6" operator="greaterThan">
      <formula>0</formula>
    </cfRule>
  </conditionalFormatting>
  <conditionalFormatting sqref="AP20:AV20">
    <cfRule type="cellIs" dxfId="66" priority="4" operator="equal">
      <formula>0</formula>
    </cfRule>
  </conditionalFormatting>
  <conditionalFormatting sqref="AP21:AV188">
    <cfRule type="cellIs" dxfId="65" priority="2" operator="lessThan">
      <formula>0</formula>
    </cfRule>
    <cfRule type="cellIs" dxfId="64" priority="3" operator="greaterThan">
      <formula>0</formula>
    </cfRule>
  </conditionalFormatting>
  <conditionalFormatting sqref="AP21:AV188">
    <cfRule type="cellIs" dxfId="63" priority="1" operator="equal">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U183"/>
  <sheetViews>
    <sheetView showGridLines="0" topLeftCell="A6" workbookViewId="0">
      <selection activeCell="AP16" sqref="AP16"/>
    </sheetView>
  </sheetViews>
  <sheetFormatPr baseColWidth="10" defaultColWidth="9.1640625" defaultRowHeight="13" x14ac:dyDescent="0.15"/>
  <cols>
    <col min="1" max="1" width="15" style="52" customWidth="1"/>
    <col min="2" max="2" width="6.33203125" style="52" customWidth="1"/>
    <col min="3" max="3" width="8" style="52" bestFit="1" customWidth="1"/>
    <col min="4" max="4" width="8.33203125" style="52" bestFit="1" customWidth="1"/>
    <col min="5" max="5" width="11.33203125" style="52" bestFit="1" customWidth="1"/>
    <col min="6" max="6" width="8" style="52" bestFit="1" customWidth="1"/>
    <col min="7" max="7" width="13.1640625" style="52" bestFit="1" customWidth="1"/>
    <col min="8" max="8" width="6" style="52" bestFit="1" customWidth="1"/>
    <col min="9" max="9" width="20.33203125" style="52" bestFit="1" customWidth="1"/>
    <col min="10" max="10" width="22.1640625" style="52" bestFit="1" customWidth="1"/>
    <col min="11" max="13" width="22.1640625" style="52" customWidth="1"/>
    <col min="14" max="14" width="28.33203125" style="52" bestFit="1" customWidth="1"/>
    <col min="15" max="15" width="15.33203125" style="52" bestFit="1" customWidth="1"/>
    <col min="16" max="16" width="18.1640625" style="52" bestFit="1" customWidth="1"/>
    <col min="17" max="17" width="24.33203125" style="52" bestFit="1" customWidth="1"/>
    <col min="18" max="18" width="22.83203125" style="52" bestFit="1" customWidth="1"/>
    <col min="19" max="20" width="22.83203125" style="52" customWidth="1"/>
    <col min="21" max="21" width="23.1640625" style="136" bestFit="1" customWidth="1"/>
    <col min="22" max="22" width="13.33203125" style="52" customWidth="1"/>
    <col min="23" max="23" width="42.6640625" style="52" bestFit="1" customWidth="1"/>
    <col min="24" max="24" width="14" style="52" bestFit="1" customWidth="1"/>
    <col min="25" max="25" width="23.33203125" style="52" customWidth="1"/>
    <col min="26" max="26" width="21.83203125" style="52" customWidth="1"/>
    <col min="27" max="29" width="24.83203125" style="72" customWidth="1"/>
    <col min="30" max="30" width="20.33203125" style="52" customWidth="1"/>
    <col min="31" max="33" width="24" style="52" customWidth="1"/>
    <col min="34" max="34" width="12.33203125" style="52" customWidth="1"/>
    <col min="35" max="35" width="13.6640625" style="52" bestFit="1" customWidth="1"/>
    <col min="36" max="36" width="14.6640625" style="52" customWidth="1"/>
    <col min="37" max="37" width="9.1640625" style="52"/>
    <col min="38" max="39" width="15" style="52" bestFit="1" customWidth="1"/>
    <col min="40" max="40" width="15" style="52" customWidth="1"/>
    <col min="41" max="41" width="15" style="52" bestFit="1" customWidth="1"/>
    <col min="42" max="42" width="15" style="52" customWidth="1"/>
    <col min="43" max="43" width="14" style="52" customWidth="1"/>
    <col min="44" max="44" width="13.33203125" style="52" customWidth="1"/>
    <col min="45" max="55" width="15" style="52" customWidth="1"/>
    <col min="56" max="56" width="9.1640625" style="52"/>
    <col min="57" max="64" width="12.6640625" style="52" customWidth="1"/>
    <col min="65" max="65" width="10.6640625" style="52" customWidth="1"/>
    <col min="66" max="73" width="12.6640625" style="52" bestFit="1" customWidth="1"/>
    <col min="74" max="16384" width="9.1640625" style="52"/>
  </cols>
  <sheetData>
    <row r="1" spans="1:73" x14ac:dyDescent="0.15">
      <c r="L1" s="137" t="s">
        <v>284</v>
      </c>
      <c r="M1" s="137" t="s">
        <v>285</v>
      </c>
    </row>
    <row r="2" spans="1:73" x14ac:dyDescent="0.15">
      <c r="L2" s="48">
        <v>1</v>
      </c>
      <c r="M2" s="34" t="s">
        <v>281</v>
      </c>
    </row>
    <row r="3" spans="1:73" x14ac:dyDescent="0.15">
      <c r="L3" s="48">
        <v>2</v>
      </c>
      <c r="M3" s="34" t="s">
        <v>264</v>
      </c>
    </row>
    <row r="4" spans="1:73" x14ac:dyDescent="0.15">
      <c r="L4" s="48">
        <v>3</v>
      </c>
      <c r="M4" s="35" t="s">
        <v>282</v>
      </c>
    </row>
    <row r="5" spans="1:73" x14ac:dyDescent="0.15">
      <c r="L5" s="48">
        <v>4</v>
      </c>
      <c r="M5" s="107" t="s">
        <v>283</v>
      </c>
    </row>
    <row r="6" spans="1:73" x14ac:dyDescent="0.15">
      <c r="L6" s="48">
        <v>5</v>
      </c>
      <c r="M6" s="107" t="s">
        <v>294</v>
      </c>
    </row>
    <row r="7" spans="1:73" x14ac:dyDescent="0.15">
      <c r="AL7" s="165">
        <f>SUM(AL15:AL183)</f>
        <v>2093587133</v>
      </c>
      <c r="AM7" s="165">
        <f>SUM(AM15:AM183)</f>
        <v>2360103841</v>
      </c>
      <c r="AN7" s="165">
        <f>SUM(AN15:AN183)</f>
        <v>2343348334</v>
      </c>
      <c r="AO7" s="165">
        <f t="shared" ref="AO7:AP7" si="0">SUM(AO15:AO183)</f>
        <v>2054281366</v>
      </c>
      <c r="AP7" s="165">
        <f t="shared" si="0"/>
        <v>2016728681.9910002</v>
      </c>
      <c r="AR7" s="165">
        <f>SUM(AR15:AR183)</f>
        <v>45600964.133400001</v>
      </c>
      <c r="AS7" s="165">
        <f>SUM(AS15:AS183)</f>
        <v>2139188097.1334</v>
      </c>
      <c r="AT7" s="165">
        <f>SUM(AT15:AT183)</f>
        <v>2139188097.1334</v>
      </c>
      <c r="AU7" s="165"/>
      <c r="AV7" s="165"/>
      <c r="AW7" s="165"/>
      <c r="AX7" s="165"/>
      <c r="AY7" s="165"/>
      <c r="AZ7" s="165"/>
      <c r="BA7" s="165"/>
      <c r="BB7" s="165"/>
      <c r="BC7" s="165"/>
    </row>
    <row r="9" spans="1:73" x14ac:dyDescent="0.15">
      <c r="A9" s="48" t="s">
        <v>188</v>
      </c>
      <c r="B9" s="49">
        <v>1</v>
      </c>
      <c r="C9" s="49">
        <v>2</v>
      </c>
      <c r="D9" s="49">
        <v>3</v>
      </c>
      <c r="E9" s="49">
        <v>4</v>
      </c>
      <c r="F9" s="49">
        <v>5</v>
      </c>
      <c r="G9" s="50">
        <v>6</v>
      </c>
      <c r="H9" s="50">
        <v>7</v>
      </c>
      <c r="I9" s="50">
        <v>8</v>
      </c>
      <c r="J9" s="50">
        <v>9</v>
      </c>
      <c r="K9" s="50">
        <v>9.1</v>
      </c>
      <c r="L9" s="50">
        <v>9.1999999999999993</v>
      </c>
      <c r="M9" s="50">
        <v>9.3000000000000007</v>
      </c>
      <c r="N9" s="50">
        <v>10</v>
      </c>
      <c r="O9" s="50">
        <v>11</v>
      </c>
      <c r="P9" s="50">
        <v>12</v>
      </c>
      <c r="Q9" s="50">
        <v>13</v>
      </c>
      <c r="R9" s="50">
        <v>14</v>
      </c>
      <c r="S9" s="50">
        <v>15</v>
      </c>
      <c r="T9" s="50">
        <v>16</v>
      </c>
      <c r="U9" s="132">
        <v>17</v>
      </c>
      <c r="V9" s="50">
        <v>18</v>
      </c>
      <c r="W9" s="50">
        <v>19</v>
      </c>
      <c r="X9" s="50">
        <v>20</v>
      </c>
      <c r="Y9" s="50">
        <v>21</v>
      </c>
      <c r="Z9" s="50">
        <v>22</v>
      </c>
      <c r="AA9" s="50">
        <v>23</v>
      </c>
      <c r="AB9" s="50">
        <v>24</v>
      </c>
      <c r="AC9" s="50">
        <v>25</v>
      </c>
      <c r="AD9" s="50">
        <v>26</v>
      </c>
      <c r="AE9" s="50">
        <v>27</v>
      </c>
      <c r="AF9" s="50"/>
      <c r="AG9" s="50"/>
      <c r="AH9" s="50">
        <v>28</v>
      </c>
      <c r="AI9" s="50">
        <v>29</v>
      </c>
      <c r="AJ9" s="50">
        <v>30</v>
      </c>
      <c r="AK9" s="50">
        <v>31</v>
      </c>
      <c r="AL9" s="50">
        <v>32</v>
      </c>
      <c r="AM9" s="52">
        <v>33</v>
      </c>
      <c r="AN9" s="52">
        <v>34</v>
      </c>
      <c r="AO9" s="52">
        <v>35</v>
      </c>
      <c r="AS9" s="52">
        <v>36</v>
      </c>
      <c r="AT9" s="52">
        <v>37</v>
      </c>
    </row>
    <row r="10" spans="1:73" x14ac:dyDescent="0.15">
      <c r="A10" s="48"/>
      <c r="B10" s="49"/>
      <c r="C10" s="49"/>
      <c r="D10" s="49"/>
      <c r="E10" s="49"/>
      <c r="F10" s="49"/>
      <c r="G10" s="50"/>
      <c r="H10" s="50"/>
      <c r="I10" s="50"/>
      <c r="J10" s="50"/>
      <c r="K10" s="50"/>
      <c r="L10" s="50"/>
      <c r="M10" s="50"/>
      <c r="N10" s="50"/>
      <c r="O10" s="50"/>
      <c r="P10" s="50"/>
      <c r="Q10" s="50"/>
      <c r="R10" s="50"/>
      <c r="S10" s="50"/>
      <c r="T10" s="50"/>
      <c r="U10" s="132"/>
      <c r="V10" s="50"/>
      <c r="W10" s="50"/>
      <c r="X10" s="50"/>
      <c r="Y10" s="50"/>
      <c r="Z10" s="50"/>
      <c r="AA10" s="51"/>
      <c r="AB10" s="51"/>
      <c r="AC10" s="51"/>
      <c r="AE10" s="50"/>
      <c r="AF10" s="50"/>
      <c r="AG10" s="50"/>
      <c r="BE10" s="308">
        <f>SUM(BE15:BE183)</f>
        <v>2184789061.2667999</v>
      </c>
      <c r="BF10" s="308">
        <f t="shared" ref="BF10:BU10" si="1">SUM(BF15:BF183)</f>
        <v>2221892162.3223014</v>
      </c>
      <c r="BG10" s="308">
        <f t="shared" si="1"/>
        <v>2258995263.3778</v>
      </c>
      <c r="BH10" s="308">
        <f t="shared" si="1"/>
        <v>2296098364.433301</v>
      </c>
      <c r="BI10" s="308">
        <f t="shared" si="1"/>
        <v>2333201465.4887996</v>
      </c>
      <c r="BJ10" s="308">
        <f t="shared" si="1"/>
        <v>2369525273.6104999</v>
      </c>
      <c r="BK10" s="308">
        <f t="shared" si="1"/>
        <v>2361027410.5325999</v>
      </c>
      <c r="BL10" s="308">
        <f t="shared" si="1"/>
        <v>2343348334</v>
      </c>
      <c r="BN10" s="308">
        <f t="shared" si="1"/>
        <v>2184789061.2667999</v>
      </c>
      <c r="BO10" s="308">
        <f t="shared" si="1"/>
        <v>2223278949.7187014</v>
      </c>
      <c r="BP10" s="308">
        <f t="shared" si="1"/>
        <v>2261768838.1705999</v>
      </c>
      <c r="BQ10" s="308">
        <f t="shared" si="1"/>
        <v>2300258726.6225009</v>
      </c>
      <c r="BR10" s="308">
        <f t="shared" si="1"/>
        <v>2338748615.0743999</v>
      </c>
      <c r="BS10" s="308">
        <f t="shared" si="1"/>
        <v>2376459210.5925002</v>
      </c>
      <c r="BT10" s="308">
        <f t="shared" si="1"/>
        <v>2369348134.9109998</v>
      </c>
      <c r="BU10" s="308">
        <f t="shared" si="1"/>
        <v>2360103841</v>
      </c>
    </row>
    <row r="11" spans="1:73" ht="23.25" customHeight="1" x14ac:dyDescent="0.15">
      <c r="A11" s="53" t="s">
        <v>189</v>
      </c>
      <c r="B11" s="53">
        <v>1</v>
      </c>
      <c r="C11" s="53">
        <v>1</v>
      </c>
      <c r="D11" s="53">
        <v>1</v>
      </c>
      <c r="E11" s="53">
        <v>1</v>
      </c>
      <c r="F11" s="53">
        <v>1</v>
      </c>
      <c r="G11" s="53">
        <v>1</v>
      </c>
      <c r="H11" s="53">
        <v>1</v>
      </c>
      <c r="I11" s="53">
        <v>1</v>
      </c>
      <c r="J11" s="53">
        <v>1</v>
      </c>
      <c r="K11" s="53"/>
      <c r="L11" s="53"/>
      <c r="M11" s="53" t="s">
        <v>250</v>
      </c>
      <c r="N11" s="53">
        <v>2</v>
      </c>
      <c r="O11" s="53">
        <v>2</v>
      </c>
      <c r="P11" s="53">
        <v>2</v>
      </c>
      <c r="Q11" s="53">
        <v>1</v>
      </c>
      <c r="R11" s="53">
        <v>1</v>
      </c>
      <c r="S11" s="53"/>
      <c r="T11" s="53"/>
      <c r="U11" s="133">
        <v>1</v>
      </c>
      <c r="V11" s="53" t="s">
        <v>251</v>
      </c>
      <c r="W11" s="53" t="s">
        <v>252</v>
      </c>
      <c r="X11" s="53" t="s">
        <v>211</v>
      </c>
      <c r="Y11" s="53" t="s">
        <v>253</v>
      </c>
      <c r="Z11" s="53" t="s">
        <v>254</v>
      </c>
      <c r="AA11" s="54" t="s">
        <v>255</v>
      </c>
      <c r="AB11" s="54"/>
      <c r="AC11" s="54"/>
      <c r="AD11" s="54"/>
      <c r="AE11" s="53">
        <v>3</v>
      </c>
      <c r="AF11" s="53"/>
      <c r="AG11" s="53"/>
      <c r="AM11" s="165">
        <f>SUM(AM15:AM183)</f>
        <v>2360103841</v>
      </c>
      <c r="AN11" s="165">
        <f>SUM(AN15:AN183)</f>
        <v>2343348334</v>
      </c>
    </row>
    <row r="12" spans="1:73" x14ac:dyDescent="0.15">
      <c r="B12" s="55"/>
      <c r="C12" s="55"/>
      <c r="D12" s="55"/>
      <c r="E12" s="55"/>
      <c r="F12" s="55"/>
      <c r="G12" s="55"/>
      <c r="H12" s="56"/>
      <c r="I12" s="55"/>
      <c r="J12" s="48"/>
      <c r="K12" s="48"/>
      <c r="L12" s="48"/>
      <c r="M12" s="48"/>
      <c r="N12" s="55"/>
      <c r="O12" s="55"/>
      <c r="P12" s="55"/>
      <c r="Q12" s="55"/>
      <c r="R12" s="57"/>
      <c r="S12" s="57"/>
      <c r="T12" s="57"/>
      <c r="U12" s="92"/>
      <c r="V12" s="55"/>
      <c r="W12" s="55"/>
      <c r="X12" s="58"/>
      <c r="Y12" s="55"/>
      <c r="Z12" s="55"/>
      <c r="AA12" s="59"/>
      <c r="AB12" s="59"/>
      <c r="AC12" s="59"/>
      <c r="AE12" s="55"/>
      <c r="AF12" s="55"/>
      <c r="AG12" s="310"/>
    </row>
    <row r="13" spans="1:73" ht="39.75" customHeight="1" x14ac:dyDescent="0.15">
      <c r="A13" s="60" t="s">
        <v>195</v>
      </c>
      <c r="B13" s="60" t="s">
        <v>3</v>
      </c>
      <c r="C13" s="60" t="s">
        <v>190</v>
      </c>
      <c r="D13" s="60" t="s">
        <v>191</v>
      </c>
      <c r="E13" s="60" t="s">
        <v>192</v>
      </c>
      <c r="F13" s="60" t="s">
        <v>193</v>
      </c>
      <c r="G13" s="60" t="s">
        <v>202</v>
      </c>
      <c r="H13" s="60" t="s">
        <v>194</v>
      </c>
      <c r="I13" s="145" t="s">
        <v>642</v>
      </c>
      <c r="J13" s="146" t="s">
        <v>643</v>
      </c>
      <c r="K13" s="146" t="s">
        <v>644</v>
      </c>
      <c r="L13" s="53" t="s">
        <v>216</v>
      </c>
      <c r="M13" s="53" t="s">
        <v>217</v>
      </c>
      <c r="N13" s="145" t="s">
        <v>645</v>
      </c>
      <c r="O13" s="145" t="s">
        <v>646</v>
      </c>
      <c r="P13" s="145" t="s">
        <v>647</v>
      </c>
      <c r="Q13" s="145" t="s">
        <v>648</v>
      </c>
      <c r="R13" s="145" t="s">
        <v>540</v>
      </c>
      <c r="S13" s="145" t="s">
        <v>649</v>
      </c>
      <c r="T13" s="145" t="s">
        <v>650</v>
      </c>
      <c r="U13" s="134" t="s">
        <v>228</v>
      </c>
      <c r="V13" s="60" t="s">
        <v>287</v>
      </c>
      <c r="W13" s="60" t="s">
        <v>197</v>
      </c>
      <c r="X13" s="60" t="s">
        <v>196</v>
      </c>
      <c r="Y13" s="60" t="s">
        <v>1</v>
      </c>
      <c r="Z13" s="60" t="s">
        <v>2</v>
      </c>
      <c r="AA13" s="54" t="s">
        <v>198</v>
      </c>
      <c r="AB13" s="54" t="s">
        <v>218</v>
      </c>
      <c r="AC13" s="303" t="s">
        <v>651</v>
      </c>
      <c r="AD13" s="54" t="s">
        <v>219</v>
      </c>
      <c r="AE13" s="134" t="s">
        <v>228</v>
      </c>
      <c r="AF13" s="61" t="s">
        <v>290</v>
      </c>
      <c r="AG13" s="61" t="s">
        <v>309</v>
      </c>
      <c r="AH13" s="61" t="s">
        <v>288</v>
      </c>
      <c r="AI13" s="61" t="s">
        <v>259</v>
      </c>
      <c r="AJ13" s="61" t="s">
        <v>260</v>
      </c>
      <c r="AK13" s="61" t="s">
        <v>261</v>
      </c>
      <c r="AL13" s="61" t="s">
        <v>656</v>
      </c>
      <c r="AM13" s="147" t="s">
        <v>286</v>
      </c>
      <c r="AN13" s="147" t="s">
        <v>554</v>
      </c>
      <c r="AO13" s="61" t="s">
        <v>340</v>
      </c>
      <c r="AP13" s="61" t="s">
        <v>353</v>
      </c>
      <c r="AQ13" s="61" t="s">
        <v>553</v>
      </c>
      <c r="AR13" s="61" t="s">
        <v>563</v>
      </c>
      <c r="AS13" s="61" t="s">
        <v>546</v>
      </c>
      <c r="AT13" s="61" t="s">
        <v>652</v>
      </c>
      <c r="AU13" s="61"/>
      <c r="AV13" s="61" t="s">
        <v>564</v>
      </c>
      <c r="AW13" s="61" t="s">
        <v>565</v>
      </c>
      <c r="AX13" s="61" t="s">
        <v>566</v>
      </c>
      <c r="AY13" s="61" t="s">
        <v>567</v>
      </c>
      <c r="AZ13" s="61" t="s">
        <v>568</v>
      </c>
      <c r="BA13" s="61" t="s">
        <v>569</v>
      </c>
      <c r="BB13" s="61" t="s">
        <v>662</v>
      </c>
      <c r="BC13" s="61" t="s">
        <v>665</v>
      </c>
      <c r="BE13" s="61" t="s">
        <v>547</v>
      </c>
      <c r="BF13" s="61" t="s">
        <v>548</v>
      </c>
      <c r="BG13" s="61" t="s">
        <v>549</v>
      </c>
      <c r="BH13" s="61" t="s">
        <v>550</v>
      </c>
      <c r="BI13" s="61" t="s">
        <v>551</v>
      </c>
      <c r="BJ13" s="61" t="s">
        <v>552</v>
      </c>
      <c r="BK13" s="61" t="s">
        <v>663</v>
      </c>
      <c r="BL13" s="61" t="s">
        <v>666</v>
      </c>
      <c r="BM13" s="61"/>
      <c r="BN13" s="61" t="s">
        <v>557</v>
      </c>
      <c r="BO13" s="61" t="s">
        <v>558</v>
      </c>
      <c r="BP13" s="61" t="s">
        <v>559</v>
      </c>
      <c r="BQ13" s="61" t="s">
        <v>560</v>
      </c>
      <c r="BR13" s="61" t="s">
        <v>561</v>
      </c>
      <c r="BS13" s="61" t="s">
        <v>562</v>
      </c>
      <c r="BT13" s="61" t="s">
        <v>664</v>
      </c>
      <c r="BU13" s="61" t="s">
        <v>667</v>
      </c>
    </row>
    <row r="15" spans="1:73" ht="15" x14ac:dyDescent="0.2">
      <c r="A15" s="62" t="s">
        <v>5</v>
      </c>
      <c r="B15" s="55" t="s">
        <v>4</v>
      </c>
      <c r="C15" s="55"/>
      <c r="D15" s="55"/>
      <c r="E15" s="55"/>
      <c r="F15" s="55"/>
      <c r="G15" s="48">
        <v>7</v>
      </c>
      <c r="H15" s="55">
        <v>1</v>
      </c>
      <c r="I15" s="55">
        <f>INDEX('FY 22 OFA Shell'!$K$27:$K$195,MATCH(Data!H15,'FY 22 OFA Shell'!$H$27:$H$195,0))</f>
        <v>386.97</v>
      </c>
      <c r="J15" s="55">
        <f>INDEX('FY 22 OFA Shell'!$N$27:$N$195,MATCH(Data!H15,'FY 22 OFA Shell'!$H$27:$H$195,0))</f>
        <v>92</v>
      </c>
      <c r="K15" s="64">
        <f>INDEX('FY 22 OFA Shell'!$S$27:$S$195,MATCH(Data!H15,'FY 22 OFA Shell'!$H$27:$H$195,0))</f>
        <v>3</v>
      </c>
      <c r="L15" s="150">
        <f>J15/I15</f>
        <v>0.23774452799958651</v>
      </c>
      <c r="M15" s="149">
        <f>MAX(((L15-Inputs!$E$23)*Data!I15)*Inputs!$E$24,0)</f>
        <v>0</v>
      </c>
      <c r="N15" s="151">
        <f>INDEX('FY 22 OFA Shell'!$V$27:$V$195,MATCH(Data!H15,'FY 22 OFA Shell'!$H$27:$H$195,0))</f>
        <v>384616220</v>
      </c>
      <c r="O15" s="63">
        <f>INDEX('FY 22 OFA Shell'!$W$27:$W$195,MATCH(Data!H15,'FY 22 OFA Shell'!$H$27:$H$195,0))</f>
        <v>3223</v>
      </c>
      <c r="P15" s="65">
        <f>INDEX('FY 22 OFA Shell'!$Z$27:$Z$195,MATCH(Data!H15,'FY 22 OFA Shell'!$H$27:$H$195,0))</f>
        <v>101098</v>
      </c>
      <c r="Q15" s="63">
        <f>INDEX('FY 22 OFA Shell'!$AF$27:$AF$195,MATCH(Data!H15,'FY 22 OFA Shell'!$H$27:$H$195,0))</f>
        <v>234</v>
      </c>
      <c r="R15" s="66">
        <f>INDEX('FY 22 OFA Shell'!$AG$27:$AG$195,MATCH(Data!H15,'FY 22 OFA Shell'!$H$27:$H$195,0))</f>
        <v>6</v>
      </c>
      <c r="S15" s="66">
        <f>INDEX('FY 22 OFA Shell'!$AJ$27:$AJ$195,MATCH(Data!H15,'FY 22 OFA Shell'!$H$27:$H$195,0))</f>
        <v>0</v>
      </c>
      <c r="T15" s="66">
        <f>INDEX('FY 22 OFA Shell'!$AK$27:$AK$195,MATCH(Data!H15,'FY 22 OFA Shell'!$H$27:$H$195,0))</f>
        <v>0</v>
      </c>
      <c r="U15" s="135">
        <v>2331185</v>
      </c>
      <c r="V15" s="67">
        <f>ROUND(J15*Inputs!$E$22, 2)</f>
        <v>27.6</v>
      </c>
      <c r="W15" s="68">
        <f>I15+V15+K15*Inputs!$E$28+Data!M15</f>
        <v>415.32000000000005</v>
      </c>
      <c r="X15" s="69">
        <f t="shared" ref="X15:X46" si="2">ROUND(N15/O15,2)</f>
        <v>119334.85</v>
      </c>
      <c r="Y15" s="148">
        <f>ROUND(X15/Inputs!$E$32, 6)</f>
        <v>0.61983500000000002</v>
      </c>
      <c r="Z15" s="148">
        <f>ROUND(P15/Inputs!$E$33, 6)</f>
        <v>0.839028</v>
      </c>
      <c r="AA15" s="148">
        <f>ROUND(1-((Y15*Inputs!$E$29)+Z15*Inputs!$E$27), 6)</f>
        <v>0.31440699999999999</v>
      </c>
      <c r="AB15" s="59">
        <v>232.93016543140752</v>
      </c>
      <c r="AC15" s="73">
        <f>INDEX('FY 22 OFA Shell'!$G$27:$G$195,MATCH(Data!H15,'FY 22 OFA Shell'!$H$27:$H$195,0))</f>
        <v>63</v>
      </c>
      <c r="AD15" s="73">
        <f>IF(AC15&gt;=1,IF(AC15&lt;=5,1,IF(AC15&lt;=10,2,IF(AC15&lt;=15,3,IF(AC15&lt;=19,4,5)))))</f>
        <v>5</v>
      </c>
      <c r="AE15" s="65">
        <v>2331185</v>
      </c>
      <c r="AF15" s="65">
        <f t="shared" ref="AF15:AF46" si="3">AN15-AE15</f>
        <v>-685856</v>
      </c>
      <c r="AG15" s="65">
        <f t="shared" ref="AG15:AG46" si="4">AM15-AE15</f>
        <v>-685856</v>
      </c>
      <c r="AH15" s="52">
        <v>2023681</v>
      </c>
      <c r="AI15" s="107">
        <v>2132334.5</v>
      </c>
      <c r="AJ15"/>
      <c r="AK15">
        <v>0</v>
      </c>
      <c r="AL15" s="165">
        <f>INDEX('FY 22 OFA Shell'!$AU$27:$AU$195,MATCH(Data!H15,'FY 22 OFA Shell'!$H$27:$H$195,0))</f>
        <v>2004782</v>
      </c>
      <c r="AM15" s="165">
        <f>Outputs!H20</f>
        <v>1645329</v>
      </c>
      <c r="AN15" s="165">
        <f>Outputs!G20+Outputs!D20+Outputs!F20</f>
        <v>1645329</v>
      </c>
      <c r="AO15" s="165">
        <v>2064996</v>
      </c>
      <c r="AP15" s="165">
        <f t="shared" ref="AP15:AP46" si="5">AI15+AK15</f>
        <v>2132334.5</v>
      </c>
      <c r="AQ15" s="52" t="str">
        <f t="shared" ref="AQ15:AQ46" si="6">IF(AN15&gt;AE15,"Yes","No")</f>
        <v>No</v>
      </c>
      <c r="AR15" s="308">
        <f>ABS(IF(AQ15="Yes",AF15*Inputs!$D$50,Data!AF15*Inputs!$D$51))</f>
        <v>0</v>
      </c>
      <c r="AS15" s="308">
        <f>IF(AQ15="Yes",AL15+AR15,AL15-AR15)</f>
        <v>2004782</v>
      </c>
      <c r="AT15" s="308">
        <f t="shared" ref="AT15:AT46" si="7">IF(D15=1,MAX(AS15,AE15),AS15)</f>
        <v>2004782</v>
      </c>
      <c r="AU15" s="308"/>
      <c r="AV15" s="308">
        <f>ABS(IF($AQ15="Yes",$AF15*Inputs!E$50,Data!$AF15*Inputs!E$51))</f>
        <v>0</v>
      </c>
      <c r="AW15" s="308">
        <f>ABS(IF($AQ15="Yes",$AF15*Inputs!F$50,Data!$AF15*Inputs!F$51))</f>
        <v>57131.804799999998</v>
      </c>
      <c r="AX15" s="308">
        <f>ABS(IF($AQ15="Yes",$AF15*Inputs!G$50,Data!$AF15*Inputs!G$51))</f>
        <v>57131.804799999998</v>
      </c>
      <c r="AY15" s="308">
        <f>ABS(IF($AQ15="Yes",$AF15*Inputs!H$50,Data!$AF15*Inputs!H$51))</f>
        <v>57131.804799999998</v>
      </c>
      <c r="AZ15" s="308">
        <f>ABS(IF($AQ15="Yes",$AF15*Inputs!I$50,Data!$AF15*Inputs!I$51))</f>
        <v>57131.804799999998</v>
      </c>
      <c r="BA15" s="308">
        <f>ABS(IF($AQ15="Yes",$AF15*Inputs!J$50,Data!$AF15*Inputs!J$51))</f>
        <v>57131.804799999998</v>
      </c>
      <c r="BB15" s="308">
        <f>ABS(IF($AQ15="Yes",$AF15*Inputs!K$50,Data!$AF15*Inputs!K$51))</f>
        <v>57131.804799999998</v>
      </c>
      <c r="BC15" s="308">
        <f>ABS(IF($AQ15="Yes",$AF15*Inputs!L$50,Data!$AF15*Inputs!L$51))</f>
        <v>57131.804799999998</v>
      </c>
      <c r="BE15" s="308">
        <f>IF(AQ15="Yes",AT15+AV15,AT15-AV15)</f>
        <v>2004782</v>
      </c>
      <c r="BF15" s="308">
        <f>IF($AQ15="Yes",BE15+AW15,BE15-AW15)</f>
        <v>1947650.1952</v>
      </c>
      <c r="BG15" s="308">
        <f>IF($AQ15="Yes",BF15+AX15,BF15-AX15)</f>
        <v>1890518.3903999999</v>
      </c>
      <c r="BH15" s="308">
        <f>IF($AQ15="Yes",BG15+AY15,BG15-AY15)</f>
        <v>1833386.5855999999</v>
      </c>
      <c r="BI15" s="308">
        <f>IF($AQ15="Yes",BH15+AZ15,BH15-AZ15)</f>
        <v>1776254.7807999998</v>
      </c>
      <c r="BJ15" s="308">
        <f>IF($AQ15="Yes",AN15,BI15-BA15)</f>
        <v>1719122.9759999998</v>
      </c>
      <c r="BK15" s="308">
        <f>IF($AQ15="Yes",BJ15,BJ15-BB15)</f>
        <v>1661991.1711999997</v>
      </c>
      <c r="BL15" s="308">
        <f>AN15</f>
        <v>1645329</v>
      </c>
      <c r="BN15" s="308">
        <f t="shared" ref="BN15:BN46" si="8">IF($D15=1,MAX(BE15,$AE15),BE15)</f>
        <v>2004782</v>
      </c>
      <c r="BO15" s="308">
        <f t="shared" ref="BO15:BO46" si="9">IF($D15=1,MAX(BF15,$AE15),BF15)</f>
        <v>1947650.1952</v>
      </c>
      <c r="BP15" s="308">
        <f t="shared" ref="BP15:BP46" si="10">IF($D15=1,MAX(BG15,$AE15),BG15)</f>
        <v>1890518.3903999999</v>
      </c>
      <c r="BQ15" s="308">
        <f t="shared" ref="BQ15:BQ46" si="11">IF($D15=1,MAX(BH15,$AE15),BH15)</f>
        <v>1833386.5855999999</v>
      </c>
      <c r="BR15" s="308">
        <f t="shared" ref="BR15:BR46" si="12">IF($D15=1,MAX(BI15,$AE15),BI15)</f>
        <v>1776254.7807999998</v>
      </c>
      <c r="BS15" s="308">
        <f t="shared" ref="BS15:BS46" si="13">IF($D15=1,MAX(BJ15,$AE15),BJ15)</f>
        <v>1719122.9759999998</v>
      </c>
      <c r="BT15" s="308">
        <f t="shared" ref="BT15:BT46" si="14">IF($D15=1,MAX(BK15,$AE15),BK15)</f>
        <v>1661991.1711999997</v>
      </c>
      <c r="BU15" s="308">
        <f>AM15</f>
        <v>1645329</v>
      </c>
    </row>
    <row r="16" spans="1:73" ht="15" x14ac:dyDescent="0.2">
      <c r="A16" s="62" t="s">
        <v>7</v>
      </c>
      <c r="B16" s="55" t="s">
        <v>6</v>
      </c>
      <c r="C16" s="55"/>
      <c r="D16" s="55">
        <v>1</v>
      </c>
      <c r="E16" s="55">
        <v>1</v>
      </c>
      <c r="F16" s="55"/>
      <c r="G16" s="48">
        <v>10</v>
      </c>
      <c r="H16" s="55">
        <v>2</v>
      </c>
      <c r="I16" s="55">
        <f>INDEX('FY 22 OFA Shell'!$K$27:$K$195,MATCH(Data!H16,'FY 22 OFA Shell'!$H$27:$H$195,0))</f>
        <v>2388.0700000000002</v>
      </c>
      <c r="J16" s="55">
        <f>INDEX('FY 22 OFA Shell'!$N$27:$N$195,MATCH(Data!H16,'FY 22 OFA Shell'!$H$27:$H$195,0))</f>
        <v>1585</v>
      </c>
      <c r="K16" s="64">
        <f>INDEX('FY 22 OFA Shell'!$S$27:$S$195,MATCH(Data!H16,'FY 22 OFA Shell'!$H$27:$H$195,0))</f>
        <v>133</v>
      </c>
      <c r="L16" s="150">
        <f t="shared" ref="L16:L79" si="15">J16/I16</f>
        <v>0.66371588772523415</v>
      </c>
      <c r="M16" s="149">
        <f>MAX(((L16-Inputs!$E$23)*Data!I16)*Inputs!$E$24,0)</f>
        <v>22.823699999999999</v>
      </c>
      <c r="N16" s="151">
        <f>INDEX('FY 22 OFA Shell'!$V$27:$V$195,MATCH(Data!H16,'FY 22 OFA Shell'!$H$27:$H$195,0))</f>
        <v>1478593672.6700001</v>
      </c>
      <c r="O16" s="63">
        <f>INDEX('FY 22 OFA Shell'!$W$27:$W$195,MATCH(Data!H16,'FY 22 OFA Shell'!$H$27:$H$195,0))</f>
        <v>18860</v>
      </c>
      <c r="P16" s="65">
        <f>INDEX('FY 22 OFA Shell'!$Z$27:$Z$195,MATCH(Data!H16,'FY 22 OFA Shell'!$H$27:$H$195,0))</f>
        <v>53540</v>
      </c>
      <c r="Q16" s="63">
        <f>INDEX('FY 22 OFA Shell'!$AF$27:$AF$195,MATCH(Data!H16,'FY 22 OFA Shell'!$H$27:$H$195,0))</f>
        <v>0</v>
      </c>
      <c r="R16" s="66">
        <f>INDEX('FY 22 OFA Shell'!$AG$27:$AG$195,MATCH(Data!H16,'FY 22 OFA Shell'!$H$27:$H$195,0))</f>
        <v>0</v>
      </c>
      <c r="S16" s="66">
        <f>INDEX('FY 22 OFA Shell'!$AJ$27:$AJ$195,MATCH(Data!H16,'FY 22 OFA Shell'!$H$27:$H$195,0))</f>
        <v>0</v>
      </c>
      <c r="T16" s="66">
        <f>INDEX('FY 22 OFA Shell'!$AK$27:$AK$195,MATCH(Data!H16,'FY 22 OFA Shell'!$H$27:$H$195,0))</f>
        <v>0</v>
      </c>
      <c r="U16" s="135">
        <v>16473543</v>
      </c>
      <c r="V16" s="67">
        <f>ROUND(J16*Inputs!$E$22, 2)</f>
        <v>475.5</v>
      </c>
      <c r="W16" s="68">
        <f>I16+V16+K16*Inputs!$E$28+Data!M16</f>
        <v>2919.6437000000001</v>
      </c>
      <c r="X16" s="69">
        <f t="shared" si="2"/>
        <v>78398.39</v>
      </c>
      <c r="Y16" s="70">
        <f>ROUND(X16/Inputs!$E$32, 6)</f>
        <v>0.40720800000000001</v>
      </c>
      <c r="Z16" s="70">
        <f>ROUND(P16/Inputs!$E$33, 6)</f>
        <v>0.44433699999999998</v>
      </c>
      <c r="AA16" s="59">
        <f>ROUND(1-((Y16*Inputs!$E$29)+Z16*Inputs!$E$27), 6)</f>
        <v>0.58165299999999998</v>
      </c>
      <c r="AB16" s="59">
        <v>345.87379546229533</v>
      </c>
      <c r="AC16" s="73">
        <f>INDEX('FY 22 OFA Shell'!$G$27:$G$195,MATCH(Data!H16,'FY 22 OFA Shell'!$H$27:$H$195,0))</f>
        <v>10</v>
      </c>
      <c r="AD16" s="73">
        <f t="shared" ref="AD16:AD79" si="16">IF(AC16&gt;=1,IF(AC16&lt;=5,1,IF(AC16&lt;=10,2,IF(AC16&lt;=15,3,IF(AC16&lt;=19,4,5)))))</f>
        <v>2</v>
      </c>
      <c r="AE16" s="65">
        <v>16473543</v>
      </c>
      <c r="AF16" s="65">
        <f t="shared" si="3"/>
        <v>4780882</v>
      </c>
      <c r="AG16" s="65">
        <f t="shared" si="4"/>
        <v>4780882</v>
      </c>
      <c r="AH16" s="52">
        <v>16421595</v>
      </c>
      <c r="AI16" s="107">
        <v>16722773.267000001</v>
      </c>
      <c r="AJ16"/>
      <c r="AK16">
        <v>0</v>
      </c>
      <c r="AL16" s="165">
        <f>INDEX('FY 22 OFA Shell'!$AU$27:$AU$195,MATCH(Data!H16,'FY 22 OFA Shell'!$H$27:$H$195,0))</f>
        <v>17938428</v>
      </c>
      <c r="AM16" s="165">
        <f>Outputs!H21</f>
        <v>21254425</v>
      </c>
      <c r="AN16" s="165">
        <f>Outputs!G21+Outputs!D21+Outputs!F21</f>
        <v>21254425</v>
      </c>
      <c r="AO16" s="165">
        <v>17328188</v>
      </c>
      <c r="AP16" s="165">
        <f t="shared" si="5"/>
        <v>16722773.267000001</v>
      </c>
      <c r="AQ16" s="52" t="str">
        <f t="shared" si="6"/>
        <v>Yes</v>
      </c>
      <c r="AR16" s="308">
        <f>ABS(IF(AQ16="Yes",AF16*Inputs!$D$50,Data!AF16*Inputs!$D$51))</f>
        <v>509642.02120000002</v>
      </c>
      <c r="AS16" s="308">
        <f t="shared" ref="AS16:AS79" si="17">IF(AQ16="Yes",AL16+AR16,AL16-AR16)</f>
        <v>18448070.021200001</v>
      </c>
      <c r="AT16" s="308">
        <f t="shared" si="7"/>
        <v>18448070.021200001</v>
      </c>
      <c r="AU16" s="308"/>
      <c r="AV16" s="308">
        <f>ABS(IF($AQ16="Yes",$AF16*Inputs!E$50,Data!$AF16*Inputs!E$51))</f>
        <v>509642.02120000002</v>
      </c>
      <c r="AW16" s="308">
        <f>ABS(IF($AQ16="Yes",$AF16*Inputs!F$50,Data!$AF16*Inputs!F$51))</f>
        <v>509642.02120000002</v>
      </c>
      <c r="AX16" s="308">
        <f>ABS(IF($AQ16="Yes",$AF16*Inputs!G$50,Data!$AF16*Inputs!G$51))</f>
        <v>509642.02120000002</v>
      </c>
      <c r="AY16" s="308">
        <f>ABS(IF($AQ16="Yes",$AF16*Inputs!H$50,Data!$AF16*Inputs!H$51))</f>
        <v>509642.02120000002</v>
      </c>
      <c r="AZ16" s="308">
        <f>ABS(IF($AQ16="Yes",$AF16*Inputs!I$50,Data!$AF16*Inputs!I$51))</f>
        <v>509642.02120000002</v>
      </c>
      <c r="BA16" s="308">
        <f>ABS(IF($AQ16="Yes",$AF16*Inputs!J$50,Data!$AF16*Inputs!J$51))</f>
        <v>509642.02120000002</v>
      </c>
      <c r="BB16" s="308">
        <f>ABS(IF($AQ16="Yes",$AF16*Inputs!K$50,Data!$AF16*Inputs!K$51))</f>
        <v>0</v>
      </c>
      <c r="BC16" s="308">
        <f>ABS(IF($AQ16="Yes",$AF16*Inputs!L$50,Data!$AF16*Inputs!L$51))</f>
        <v>0</v>
      </c>
      <c r="BE16" s="308">
        <f t="shared" ref="BE16:BE79" si="18">IF(AQ16="Yes",AT16+AV16,AT16-AV16)</f>
        <v>18957712.042400002</v>
      </c>
      <c r="BF16" s="308">
        <f t="shared" ref="BF16:BF79" si="19">IF($AQ16="Yes",BE16+AW16,BE16-AW16)</f>
        <v>19467354.063600004</v>
      </c>
      <c r="BG16" s="308">
        <f t="shared" ref="BG16:BG79" si="20">IF($AQ16="Yes",BF16+AX16,BF16-AX16)</f>
        <v>19976996.084800005</v>
      </c>
      <c r="BH16" s="308">
        <f t="shared" ref="BH16:BH79" si="21">IF($AQ16="Yes",BG16+AY16,BG16-AY16)</f>
        <v>20486638.106000006</v>
      </c>
      <c r="BI16" s="308">
        <f t="shared" ref="BI16:BI79" si="22">IF($AQ16="Yes",BH16+AZ16,BH16-AZ16)</f>
        <v>20996280.127200007</v>
      </c>
      <c r="BJ16" s="308">
        <f t="shared" ref="BJ16:BJ79" si="23">IF($AQ16="Yes",AN16,BI16-BA16)</f>
        <v>21254425</v>
      </c>
      <c r="BK16" s="308">
        <f t="shared" ref="BK16:BK79" si="24">IF($AQ16="Yes",BJ16,BJ16-BB16)</f>
        <v>21254425</v>
      </c>
      <c r="BL16" s="308">
        <f t="shared" ref="BL16:BL79" si="25">AN16</f>
        <v>21254425</v>
      </c>
      <c r="BN16" s="308">
        <f t="shared" si="8"/>
        <v>18957712.042400002</v>
      </c>
      <c r="BO16" s="308">
        <f t="shared" si="9"/>
        <v>19467354.063600004</v>
      </c>
      <c r="BP16" s="308">
        <f t="shared" si="10"/>
        <v>19976996.084800005</v>
      </c>
      <c r="BQ16" s="308">
        <f t="shared" si="11"/>
        <v>20486638.106000006</v>
      </c>
      <c r="BR16" s="308">
        <f t="shared" si="12"/>
        <v>20996280.127200007</v>
      </c>
      <c r="BS16" s="308">
        <f t="shared" si="13"/>
        <v>21254425</v>
      </c>
      <c r="BT16" s="308">
        <f t="shared" si="14"/>
        <v>21254425</v>
      </c>
      <c r="BU16" s="308">
        <f t="shared" ref="BU16:BU79" si="26">AM16</f>
        <v>21254425</v>
      </c>
    </row>
    <row r="17" spans="1:73" ht="15" x14ac:dyDescent="0.2">
      <c r="A17" s="62" t="s">
        <v>9</v>
      </c>
      <c r="B17" s="55" t="s">
        <v>8</v>
      </c>
      <c r="C17" s="55"/>
      <c r="D17" s="55"/>
      <c r="E17" s="55"/>
      <c r="F17" s="55"/>
      <c r="G17" s="48">
        <v>8</v>
      </c>
      <c r="H17" s="55">
        <v>3</v>
      </c>
      <c r="I17" s="55">
        <f>INDEX('FY 22 OFA Shell'!$K$27:$K$195,MATCH(Data!H17,'FY 22 OFA Shell'!$H$27:$H$195,0))</f>
        <v>517.82000000000005</v>
      </c>
      <c r="J17" s="55">
        <f>INDEX('FY 22 OFA Shell'!$N$27:$N$195,MATCH(Data!H17,'FY 22 OFA Shell'!$H$27:$H$195,0))</f>
        <v>190</v>
      </c>
      <c r="K17" s="64">
        <f>INDEX('FY 22 OFA Shell'!$S$27:$S$195,MATCH(Data!H17,'FY 22 OFA Shell'!$H$27:$H$195,0))</f>
        <v>6</v>
      </c>
      <c r="L17" s="150">
        <f t="shared" si="15"/>
        <v>0.36692286895060056</v>
      </c>
      <c r="M17" s="149">
        <f>MAX(((L17-Inputs!$E$23)*Data!I17)*Inputs!$E$24,0)</f>
        <v>0</v>
      </c>
      <c r="N17" s="151">
        <f>INDEX('FY 22 OFA Shell'!$V$27:$V$195,MATCH(Data!H17,'FY 22 OFA Shell'!$H$27:$H$195,0))</f>
        <v>454121204.32999998</v>
      </c>
      <c r="O17" s="63">
        <f>INDEX('FY 22 OFA Shell'!$W$27:$W$195,MATCH(Data!H17,'FY 22 OFA Shell'!$H$27:$H$195,0))</f>
        <v>4234</v>
      </c>
      <c r="P17" s="65">
        <f>INDEX('FY 22 OFA Shell'!$Z$27:$Z$195,MATCH(Data!H17,'FY 22 OFA Shell'!$H$27:$H$195,0))</f>
        <v>68269</v>
      </c>
      <c r="Q17" s="63">
        <f>INDEX('FY 22 OFA Shell'!$AF$27:$AF$195,MATCH(Data!H17,'FY 22 OFA Shell'!$H$27:$H$195,0))</f>
        <v>165</v>
      </c>
      <c r="R17" s="66">
        <f>INDEX('FY 22 OFA Shell'!$AG$27:$AG$195,MATCH(Data!H17,'FY 22 OFA Shell'!$H$27:$H$195,0))</f>
        <v>4</v>
      </c>
      <c r="S17" s="66">
        <f>INDEX('FY 22 OFA Shell'!$AJ$27:$AJ$195,MATCH(Data!H17,'FY 22 OFA Shell'!$H$27:$H$195,0))</f>
        <v>0</v>
      </c>
      <c r="T17" s="66">
        <f>INDEX('FY 22 OFA Shell'!$AK$27:$AK$195,MATCH(Data!H17,'FY 22 OFA Shell'!$H$27:$H$195,0))</f>
        <v>0</v>
      </c>
      <c r="U17" s="135">
        <v>3859564</v>
      </c>
      <c r="V17" s="67">
        <f>ROUND(J17*Inputs!$E$22, 2)</f>
        <v>57</v>
      </c>
      <c r="W17" s="68">
        <f>I17+V17+K17*Inputs!$E$28+Data!M17</f>
        <v>576.32000000000005</v>
      </c>
      <c r="X17" s="69">
        <f t="shared" si="2"/>
        <v>107255.83</v>
      </c>
      <c r="Y17" s="70">
        <f>ROUND(X17/Inputs!$E$32, 6)</f>
        <v>0.55709600000000004</v>
      </c>
      <c r="Z17" s="70">
        <f>ROUND(P17/Inputs!$E$33, 6)</f>
        <v>0.56657500000000005</v>
      </c>
      <c r="AA17" s="59">
        <f>ROUND(1-((Y17*Inputs!$E$29)+Z17*Inputs!$E$27), 6)</f>
        <v>0.44006000000000001</v>
      </c>
      <c r="AB17" s="59">
        <v>248.11378942053898</v>
      </c>
      <c r="AC17" s="73">
        <f>INDEX('FY 22 OFA Shell'!$G$27:$G$195,MATCH(Data!H17,'FY 22 OFA Shell'!$H$27:$H$195,0))</f>
        <v>46</v>
      </c>
      <c r="AD17" s="73">
        <f t="shared" si="16"/>
        <v>5</v>
      </c>
      <c r="AE17" s="65">
        <v>3859564</v>
      </c>
      <c r="AF17" s="65">
        <f t="shared" si="3"/>
        <v>-870647</v>
      </c>
      <c r="AG17" s="65">
        <f t="shared" si="4"/>
        <v>-870647</v>
      </c>
      <c r="AH17" s="52">
        <v>3351242</v>
      </c>
      <c r="AI17" s="107">
        <v>3604370.25</v>
      </c>
      <c r="AJ17"/>
      <c r="AK17">
        <v>0</v>
      </c>
      <c r="AL17" s="165">
        <f>INDEX('FY 22 OFA Shell'!$AU$27:$AU$195,MATCH(Data!H17,'FY 22 OFA Shell'!$H$27:$H$195,0))</f>
        <v>3459062</v>
      </c>
      <c r="AM17" s="165">
        <f>Outputs!H22</f>
        <v>2988917</v>
      </c>
      <c r="AN17" s="165">
        <f>Outputs!G22+Outputs!D22+Outputs!F22</f>
        <v>2988917</v>
      </c>
      <c r="AO17" s="165">
        <v>3528606</v>
      </c>
      <c r="AP17" s="165">
        <f t="shared" si="5"/>
        <v>3604370.25</v>
      </c>
      <c r="AQ17" s="52" t="str">
        <f t="shared" si="6"/>
        <v>No</v>
      </c>
      <c r="AR17" s="308">
        <f>ABS(IF(AQ17="Yes",AF17*Inputs!$D$50,Data!AF17*Inputs!$D$51))</f>
        <v>0</v>
      </c>
      <c r="AS17" s="308">
        <f t="shared" si="17"/>
        <v>3459062</v>
      </c>
      <c r="AT17" s="308">
        <f t="shared" si="7"/>
        <v>3459062</v>
      </c>
      <c r="AU17" s="308"/>
      <c r="AV17" s="308">
        <f>ABS(IF($AQ17="Yes",$AF17*Inputs!E$50,Data!$AF17*Inputs!E$51))</f>
        <v>0</v>
      </c>
      <c r="AW17" s="308">
        <f>ABS(IF($AQ17="Yes",$AF17*Inputs!F$50,Data!$AF17*Inputs!F$51))</f>
        <v>72524.895099999994</v>
      </c>
      <c r="AX17" s="308">
        <f>ABS(IF($AQ17="Yes",$AF17*Inputs!G$50,Data!$AF17*Inputs!G$51))</f>
        <v>72524.895099999994</v>
      </c>
      <c r="AY17" s="308">
        <f>ABS(IF($AQ17="Yes",$AF17*Inputs!H$50,Data!$AF17*Inputs!H$51))</f>
        <v>72524.895099999994</v>
      </c>
      <c r="AZ17" s="308">
        <f>ABS(IF($AQ17="Yes",$AF17*Inputs!I$50,Data!$AF17*Inputs!I$51))</f>
        <v>72524.895099999994</v>
      </c>
      <c r="BA17" s="308">
        <f>ABS(IF($AQ17="Yes",$AF17*Inputs!J$50,Data!$AF17*Inputs!J$51))</f>
        <v>72524.895099999994</v>
      </c>
      <c r="BB17" s="308">
        <f>ABS(IF($AQ17="Yes",$AF17*Inputs!K$50,Data!$AF17*Inputs!K$51))</f>
        <v>72524.895099999994</v>
      </c>
      <c r="BC17" s="308">
        <f>ABS(IF($AQ17="Yes",$AF17*Inputs!L$50,Data!$AF17*Inputs!L$51))</f>
        <v>72524.895099999994</v>
      </c>
      <c r="BE17" s="308">
        <f t="shared" si="18"/>
        <v>3459062</v>
      </c>
      <c r="BF17" s="308">
        <f t="shared" si="19"/>
        <v>3386537.1049000002</v>
      </c>
      <c r="BG17" s="308">
        <f t="shared" si="20"/>
        <v>3314012.2098000003</v>
      </c>
      <c r="BH17" s="308">
        <f t="shared" si="21"/>
        <v>3241487.3147000005</v>
      </c>
      <c r="BI17" s="308">
        <f t="shared" si="22"/>
        <v>3168962.4196000006</v>
      </c>
      <c r="BJ17" s="308">
        <f t="shared" si="23"/>
        <v>3096437.5245000008</v>
      </c>
      <c r="BK17" s="308">
        <f t="shared" si="24"/>
        <v>3023912.6294000009</v>
      </c>
      <c r="BL17" s="308">
        <f t="shared" si="25"/>
        <v>2988917</v>
      </c>
      <c r="BN17" s="308">
        <f t="shared" si="8"/>
        <v>3459062</v>
      </c>
      <c r="BO17" s="308">
        <f t="shared" si="9"/>
        <v>3386537.1049000002</v>
      </c>
      <c r="BP17" s="308">
        <f t="shared" si="10"/>
        <v>3314012.2098000003</v>
      </c>
      <c r="BQ17" s="308">
        <f t="shared" si="11"/>
        <v>3241487.3147000005</v>
      </c>
      <c r="BR17" s="308">
        <f t="shared" si="12"/>
        <v>3168962.4196000006</v>
      </c>
      <c r="BS17" s="308">
        <f t="shared" si="13"/>
        <v>3096437.5245000008</v>
      </c>
      <c r="BT17" s="308">
        <f t="shared" si="14"/>
        <v>3023912.6294000009</v>
      </c>
      <c r="BU17" s="308">
        <f t="shared" si="26"/>
        <v>2988917</v>
      </c>
    </row>
    <row r="18" spans="1:73" ht="15" x14ac:dyDescent="0.2">
      <c r="A18" s="62" t="s">
        <v>11</v>
      </c>
      <c r="B18" s="55" t="s">
        <v>10</v>
      </c>
      <c r="C18" s="55"/>
      <c r="D18" s="55"/>
      <c r="E18" s="55"/>
      <c r="F18" s="55"/>
      <c r="G18" s="48">
        <v>2</v>
      </c>
      <c r="H18" s="55">
        <v>4</v>
      </c>
      <c r="I18" s="55">
        <f>INDEX('FY 22 OFA Shell'!$K$27:$K$195,MATCH(Data!H18,'FY 22 OFA Shell'!$H$27:$H$195,0))</f>
        <v>3133.65</v>
      </c>
      <c r="J18" s="55">
        <f>INDEX('FY 22 OFA Shell'!$N$27:$N$195,MATCH(Data!H18,'FY 22 OFA Shell'!$H$27:$H$195,0))</f>
        <v>179</v>
      </c>
      <c r="K18" s="64">
        <f>INDEX('FY 22 OFA Shell'!$S$27:$S$195,MATCH(Data!H18,'FY 22 OFA Shell'!$H$27:$H$195,0))</f>
        <v>92</v>
      </c>
      <c r="L18" s="150">
        <f t="shared" si="15"/>
        <v>5.7121886617841809E-2</v>
      </c>
      <c r="M18" s="149">
        <f>MAX(((L18-Inputs!$E$23)*Data!I18)*Inputs!$E$24,0)</f>
        <v>0</v>
      </c>
      <c r="N18" s="151">
        <f>INDEX('FY 22 OFA Shell'!$V$27:$V$195,MATCH(Data!H18,'FY 22 OFA Shell'!$H$27:$H$195,0))</f>
        <v>3689662670.6700001</v>
      </c>
      <c r="O18" s="63">
        <f>INDEX('FY 22 OFA Shell'!$W$27:$W$195,MATCH(Data!H18,'FY 22 OFA Shell'!$H$27:$H$195,0))</f>
        <v>18338</v>
      </c>
      <c r="P18" s="65">
        <f>INDEX('FY 22 OFA Shell'!$Z$27:$Z$195,MATCH(Data!H18,'FY 22 OFA Shell'!$H$27:$H$195,0))</f>
        <v>132500</v>
      </c>
      <c r="Q18" s="63">
        <f>INDEX('FY 22 OFA Shell'!$AF$27:$AF$195,MATCH(Data!H18,'FY 22 OFA Shell'!$H$27:$H$195,0))</f>
        <v>0</v>
      </c>
      <c r="R18" s="66">
        <f>INDEX('FY 22 OFA Shell'!$AG$27:$AG$195,MATCH(Data!H18,'FY 22 OFA Shell'!$H$27:$H$195,0))</f>
        <v>0</v>
      </c>
      <c r="S18" s="66">
        <f>INDEX('FY 22 OFA Shell'!$AJ$27:$AJ$195,MATCH(Data!H18,'FY 22 OFA Shell'!$H$27:$H$195,0))</f>
        <v>0</v>
      </c>
      <c r="T18" s="66">
        <f>INDEX('FY 22 OFA Shell'!$AK$27:$AK$195,MATCH(Data!H18,'FY 22 OFA Shell'!$H$27:$H$195,0))</f>
        <v>0</v>
      </c>
      <c r="U18" s="135">
        <v>731456</v>
      </c>
      <c r="V18" s="67">
        <f>ROUND(J18*Inputs!$E$22, 2)</f>
        <v>53.7</v>
      </c>
      <c r="W18" s="68">
        <f>I18+V18+K18*Inputs!$E$28+Data!M18</f>
        <v>3210.35</v>
      </c>
      <c r="X18" s="69">
        <f t="shared" si="2"/>
        <v>201203.11</v>
      </c>
      <c r="Y18" s="70">
        <f>ROUND(X18/Inputs!$E$32, 6)</f>
        <v>1.0450660000000001</v>
      </c>
      <c r="Z18" s="70">
        <f>ROUND(P18/Inputs!$E$33, 6)</f>
        <v>1.0996379999999999</v>
      </c>
      <c r="AA18" s="59">
        <f>ROUND(1-((Y18*Inputs!$E$29)+Z18*Inputs!$E$27), 6)</f>
        <v>-6.1438E-2</v>
      </c>
      <c r="AB18" s="59">
        <v>168.23820689420663</v>
      </c>
      <c r="AC18" s="73">
        <f>INDEX('FY 22 OFA Shell'!$G$27:$G$195,MATCH(Data!H18,'FY 22 OFA Shell'!$H$27:$H$195,0))</f>
        <v>153</v>
      </c>
      <c r="AD18" s="73">
        <f t="shared" si="16"/>
        <v>5</v>
      </c>
      <c r="AE18" s="65">
        <v>731456</v>
      </c>
      <c r="AF18" s="65">
        <f t="shared" si="3"/>
        <v>-361463</v>
      </c>
      <c r="AG18" s="65">
        <f t="shared" si="4"/>
        <v>-361463</v>
      </c>
      <c r="AH18" s="52">
        <v>617939</v>
      </c>
      <c r="AI18" s="107">
        <v>643197.75</v>
      </c>
      <c r="AJ18"/>
      <c r="AK18">
        <v>0</v>
      </c>
      <c r="AL18" s="165">
        <f>INDEX('FY 22 OFA Shell'!$AU$27:$AU$195,MATCH(Data!H18,'FY 22 OFA Shell'!$H$27:$H$195,0))</f>
        <v>584016</v>
      </c>
      <c r="AM18" s="165">
        <f>Outputs!H23</f>
        <v>369993</v>
      </c>
      <c r="AN18" s="165">
        <f>Outputs!G23+Outputs!D23+Outputs!F23</f>
        <v>369993</v>
      </c>
      <c r="AO18" s="165">
        <v>613536</v>
      </c>
      <c r="AP18" s="165">
        <f t="shared" si="5"/>
        <v>643197.75</v>
      </c>
      <c r="AQ18" s="52" t="str">
        <f t="shared" si="6"/>
        <v>No</v>
      </c>
      <c r="AR18" s="308">
        <f>ABS(IF(AQ18="Yes",AF18*Inputs!$D$50,Data!AF18*Inputs!$D$51))</f>
        <v>0</v>
      </c>
      <c r="AS18" s="308">
        <f t="shared" si="17"/>
        <v>584016</v>
      </c>
      <c r="AT18" s="308">
        <f t="shared" si="7"/>
        <v>584016</v>
      </c>
      <c r="AU18" s="308"/>
      <c r="AV18" s="308">
        <f>ABS(IF($AQ18="Yes",$AF18*Inputs!E$50,Data!$AF18*Inputs!E$51))</f>
        <v>0</v>
      </c>
      <c r="AW18" s="308">
        <f>ABS(IF($AQ18="Yes",$AF18*Inputs!F$50,Data!$AF18*Inputs!F$51))</f>
        <v>30109.867900000001</v>
      </c>
      <c r="AX18" s="308">
        <f>ABS(IF($AQ18="Yes",$AF18*Inputs!G$50,Data!$AF18*Inputs!G$51))</f>
        <v>30109.867900000001</v>
      </c>
      <c r="AY18" s="308">
        <f>ABS(IF($AQ18="Yes",$AF18*Inputs!H$50,Data!$AF18*Inputs!H$51))</f>
        <v>30109.867900000001</v>
      </c>
      <c r="AZ18" s="308">
        <f>ABS(IF($AQ18="Yes",$AF18*Inputs!I$50,Data!$AF18*Inputs!I$51))</f>
        <v>30109.867900000001</v>
      </c>
      <c r="BA18" s="308">
        <f>ABS(IF($AQ18="Yes",$AF18*Inputs!J$50,Data!$AF18*Inputs!J$51))</f>
        <v>30109.867900000001</v>
      </c>
      <c r="BB18" s="308">
        <f>ABS(IF($AQ18="Yes",$AF18*Inputs!K$50,Data!$AF18*Inputs!K$51))</f>
        <v>30109.867900000001</v>
      </c>
      <c r="BC18" s="308">
        <f>ABS(IF($AQ18="Yes",$AF18*Inputs!L$50,Data!$AF18*Inputs!L$51))</f>
        <v>30109.867900000001</v>
      </c>
      <c r="BE18" s="308">
        <f t="shared" si="18"/>
        <v>584016</v>
      </c>
      <c r="BF18" s="308">
        <f t="shared" si="19"/>
        <v>553906.13210000005</v>
      </c>
      <c r="BG18" s="308">
        <f t="shared" si="20"/>
        <v>523796.26420000003</v>
      </c>
      <c r="BH18" s="308">
        <f t="shared" si="21"/>
        <v>493686.39630000002</v>
      </c>
      <c r="BI18" s="308">
        <f t="shared" si="22"/>
        <v>463576.52840000001</v>
      </c>
      <c r="BJ18" s="308">
        <f t="shared" si="23"/>
        <v>433466.6605</v>
      </c>
      <c r="BK18" s="308">
        <f t="shared" si="24"/>
        <v>403356.79259999999</v>
      </c>
      <c r="BL18" s="308">
        <f t="shared" si="25"/>
        <v>369993</v>
      </c>
      <c r="BN18" s="308">
        <f t="shared" si="8"/>
        <v>584016</v>
      </c>
      <c r="BO18" s="308">
        <f t="shared" si="9"/>
        <v>553906.13210000005</v>
      </c>
      <c r="BP18" s="308">
        <f t="shared" si="10"/>
        <v>523796.26420000003</v>
      </c>
      <c r="BQ18" s="308">
        <f t="shared" si="11"/>
        <v>493686.39630000002</v>
      </c>
      <c r="BR18" s="308">
        <f t="shared" si="12"/>
        <v>463576.52840000001</v>
      </c>
      <c r="BS18" s="308">
        <f t="shared" si="13"/>
        <v>433466.6605</v>
      </c>
      <c r="BT18" s="308">
        <f t="shared" si="14"/>
        <v>403356.79259999999</v>
      </c>
      <c r="BU18" s="308">
        <f t="shared" si="26"/>
        <v>369993</v>
      </c>
    </row>
    <row r="19" spans="1:73" ht="15" x14ac:dyDescent="0.2">
      <c r="A19" s="62" t="s">
        <v>12</v>
      </c>
      <c r="B19" s="55" t="s">
        <v>4</v>
      </c>
      <c r="C19" s="55"/>
      <c r="D19" s="55"/>
      <c r="E19" s="55"/>
      <c r="F19" s="55"/>
      <c r="G19" s="48">
        <v>5</v>
      </c>
      <c r="H19" s="55">
        <v>5</v>
      </c>
      <c r="I19" s="55">
        <f>INDEX('FY 22 OFA Shell'!$K$27:$K$195,MATCH(Data!H19,'FY 22 OFA Shell'!$H$27:$H$195,0))</f>
        <v>476.42</v>
      </c>
      <c r="J19" s="55">
        <f>INDEX('FY 22 OFA Shell'!$N$27:$N$195,MATCH(Data!H19,'FY 22 OFA Shell'!$H$27:$H$195,0))</f>
        <v>94</v>
      </c>
      <c r="K19" s="64">
        <f>INDEX('FY 22 OFA Shell'!$S$27:$S$195,MATCH(Data!H19,'FY 22 OFA Shell'!$H$27:$H$195,0))</f>
        <v>1</v>
      </c>
      <c r="L19" s="150">
        <f t="shared" si="15"/>
        <v>0.19730489903866336</v>
      </c>
      <c r="M19" s="149">
        <f>MAX(((L19-Inputs!$E$23)*Data!I19)*Inputs!$E$24,0)</f>
        <v>0</v>
      </c>
      <c r="N19" s="151">
        <f>INDEX('FY 22 OFA Shell'!$V$27:$V$195,MATCH(Data!H19,'FY 22 OFA Shell'!$H$27:$H$195,0))</f>
        <v>524371704</v>
      </c>
      <c r="O19" s="63">
        <f>INDEX('FY 22 OFA Shell'!$W$27:$W$195,MATCH(Data!H19,'FY 22 OFA Shell'!$H$27:$H$195,0))</f>
        <v>3671</v>
      </c>
      <c r="P19" s="65">
        <f>INDEX('FY 22 OFA Shell'!$Z$27:$Z$195,MATCH(Data!H19,'FY 22 OFA Shell'!$H$27:$H$195,0))</f>
        <v>111071</v>
      </c>
      <c r="Q19" s="63">
        <f>INDEX('FY 22 OFA Shell'!$AF$27:$AF$195,MATCH(Data!H19,'FY 22 OFA Shell'!$H$27:$H$195,0))</f>
        <v>279</v>
      </c>
      <c r="R19" s="66">
        <f>INDEX('FY 22 OFA Shell'!$AG$27:$AG$195,MATCH(Data!H19,'FY 22 OFA Shell'!$H$27:$H$195,0))</f>
        <v>6</v>
      </c>
      <c r="S19" s="66">
        <f>INDEX('FY 22 OFA Shell'!$AJ$27:$AJ$195,MATCH(Data!H19,'FY 22 OFA Shell'!$H$27:$H$195,0))</f>
        <v>0</v>
      </c>
      <c r="T19" s="66">
        <f>INDEX('FY 22 OFA Shell'!$AK$27:$AK$195,MATCH(Data!H19,'FY 22 OFA Shell'!$H$27:$H$195,0))</f>
        <v>0</v>
      </c>
      <c r="U19" s="135">
        <v>1633686</v>
      </c>
      <c r="V19" s="67">
        <f>ROUND(J19*Inputs!$E$22, 2)</f>
        <v>28.2</v>
      </c>
      <c r="W19" s="68">
        <f>I19+V19+K19*Inputs!$E$28+Data!M19</f>
        <v>504.87</v>
      </c>
      <c r="X19" s="69">
        <f t="shared" si="2"/>
        <v>142841.65</v>
      </c>
      <c r="Y19" s="70">
        <f>ROUND(X19/Inputs!$E$32, 6)</f>
        <v>0.74193100000000001</v>
      </c>
      <c r="Z19" s="70">
        <f>ROUND(P19/Inputs!$E$33, 6)</f>
        <v>0.92179500000000003</v>
      </c>
      <c r="AA19" s="59">
        <f>ROUND(1-((Y19*Inputs!$E$29)+Z19*Inputs!$E$27), 6)</f>
        <v>0.20411000000000001</v>
      </c>
      <c r="AB19" s="59">
        <v>227.61582267336615</v>
      </c>
      <c r="AC19" s="73">
        <f>INDEX('FY 22 OFA Shell'!$G$27:$G$195,MATCH(Data!H19,'FY 22 OFA Shell'!$H$27:$H$195,0))</f>
        <v>91</v>
      </c>
      <c r="AD19" s="73">
        <f t="shared" si="16"/>
        <v>5</v>
      </c>
      <c r="AE19" s="65">
        <v>1633686</v>
      </c>
      <c r="AF19" s="65">
        <f t="shared" si="3"/>
        <v>-278646</v>
      </c>
      <c r="AG19" s="65">
        <f t="shared" si="4"/>
        <v>-278646</v>
      </c>
      <c r="AH19" s="52">
        <v>1420454</v>
      </c>
      <c r="AI19" s="107">
        <v>1576088.75</v>
      </c>
      <c r="AJ19"/>
      <c r="AK19">
        <v>0</v>
      </c>
      <c r="AL19" s="165">
        <f>INDEX('FY 22 OFA Shell'!$AU$27:$AU$195,MATCH(Data!H19,'FY 22 OFA Shell'!$H$27:$H$195,0))</f>
        <v>1494242</v>
      </c>
      <c r="AM19" s="165">
        <f>Outputs!H24</f>
        <v>1355040</v>
      </c>
      <c r="AN19" s="165">
        <f>Outputs!G24+Outputs!D24+Outputs!F24</f>
        <v>1355040</v>
      </c>
      <c r="AO19" s="165">
        <v>1542525</v>
      </c>
      <c r="AP19" s="165">
        <f t="shared" si="5"/>
        <v>1576088.75</v>
      </c>
      <c r="AQ19" s="52" t="str">
        <f t="shared" si="6"/>
        <v>No</v>
      </c>
      <c r="AR19" s="308">
        <f>ABS(IF(AQ19="Yes",AF19*Inputs!$D$50,Data!AF19*Inputs!$D$51))</f>
        <v>0</v>
      </c>
      <c r="AS19" s="308">
        <f t="shared" si="17"/>
        <v>1494242</v>
      </c>
      <c r="AT19" s="308">
        <f t="shared" si="7"/>
        <v>1494242</v>
      </c>
      <c r="AU19" s="308"/>
      <c r="AV19" s="308">
        <f>ABS(IF($AQ19="Yes",$AF19*Inputs!E$50,Data!$AF19*Inputs!E$51))</f>
        <v>0</v>
      </c>
      <c r="AW19" s="308">
        <f>ABS(IF($AQ19="Yes",$AF19*Inputs!F$50,Data!$AF19*Inputs!F$51))</f>
        <v>23211.211800000001</v>
      </c>
      <c r="AX19" s="308">
        <f>ABS(IF($AQ19="Yes",$AF19*Inputs!G$50,Data!$AF19*Inputs!G$51))</f>
        <v>23211.211800000001</v>
      </c>
      <c r="AY19" s="308">
        <f>ABS(IF($AQ19="Yes",$AF19*Inputs!H$50,Data!$AF19*Inputs!H$51))</f>
        <v>23211.211800000001</v>
      </c>
      <c r="AZ19" s="308">
        <f>ABS(IF($AQ19="Yes",$AF19*Inputs!I$50,Data!$AF19*Inputs!I$51))</f>
        <v>23211.211800000001</v>
      </c>
      <c r="BA19" s="308">
        <f>ABS(IF($AQ19="Yes",$AF19*Inputs!J$50,Data!$AF19*Inputs!J$51))</f>
        <v>23211.211800000001</v>
      </c>
      <c r="BB19" s="308">
        <f>ABS(IF($AQ19="Yes",$AF19*Inputs!K$50,Data!$AF19*Inputs!K$51))</f>
        <v>23211.211800000001</v>
      </c>
      <c r="BC19" s="308">
        <f>ABS(IF($AQ19="Yes",$AF19*Inputs!L$50,Data!$AF19*Inputs!L$51))</f>
        <v>23211.211800000001</v>
      </c>
      <c r="BE19" s="308">
        <f t="shared" si="18"/>
        <v>1494242</v>
      </c>
      <c r="BF19" s="308">
        <f t="shared" si="19"/>
        <v>1471030.7882000001</v>
      </c>
      <c r="BG19" s="308">
        <f t="shared" si="20"/>
        <v>1447819.5764000001</v>
      </c>
      <c r="BH19" s="308">
        <f t="shared" si="21"/>
        <v>1424608.3646000002</v>
      </c>
      <c r="BI19" s="308">
        <f t="shared" si="22"/>
        <v>1401397.1528000003</v>
      </c>
      <c r="BJ19" s="308">
        <f t="shared" si="23"/>
        <v>1378185.9410000003</v>
      </c>
      <c r="BK19" s="308">
        <f t="shared" si="24"/>
        <v>1354974.7292000004</v>
      </c>
      <c r="BL19" s="308">
        <f t="shared" si="25"/>
        <v>1355040</v>
      </c>
      <c r="BN19" s="308">
        <f t="shared" si="8"/>
        <v>1494242</v>
      </c>
      <c r="BO19" s="308">
        <f t="shared" si="9"/>
        <v>1471030.7882000001</v>
      </c>
      <c r="BP19" s="308">
        <f t="shared" si="10"/>
        <v>1447819.5764000001</v>
      </c>
      <c r="BQ19" s="308">
        <f t="shared" si="11"/>
        <v>1424608.3646000002</v>
      </c>
      <c r="BR19" s="308">
        <f t="shared" si="12"/>
        <v>1401397.1528000003</v>
      </c>
      <c r="BS19" s="308">
        <f t="shared" si="13"/>
        <v>1378185.9410000003</v>
      </c>
      <c r="BT19" s="308">
        <f t="shared" si="14"/>
        <v>1354974.7292000004</v>
      </c>
      <c r="BU19" s="308">
        <f t="shared" si="26"/>
        <v>1355040</v>
      </c>
    </row>
    <row r="20" spans="1:73" ht="15" x14ac:dyDescent="0.2">
      <c r="A20" s="62" t="s">
        <v>13</v>
      </c>
      <c r="B20" s="55" t="s">
        <v>8</v>
      </c>
      <c r="C20" s="55"/>
      <c r="D20" s="55"/>
      <c r="E20" s="55"/>
      <c r="F20" s="55"/>
      <c r="G20" s="48">
        <v>7</v>
      </c>
      <c r="H20" s="55">
        <v>6</v>
      </c>
      <c r="I20" s="55">
        <f>INDEX('FY 22 OFA Shell'!$K$27:$K$195,MATCH(Data!H20,'FY 22 OFA Shell'!$H$27:$H$195,0))</f>
        <v>724.27</v>
      </c>
      <c r="J20" s="55">
        <f>INDEX('FY 22 OFA Shell'!$N$27:$N$195,MATCH(Data!H20,'FY 22 OFA Shell'!$H$27:$H$195,0))</f>
        <v>190</v>
      </c>
      <c r="K20" s="64">
        <f>INDEX('FY 22 OFA Shell'!$S$27:$S$195,MATCH(Data!H20,'FY 22 OFA Shell'!$H$27:$H$195,0))</f>
        <v>11</v>
      </c>
      <c r="L20" s="150">
        <f t="shared" si="15"/>
        <v>0.26233310781890734</v>
      </c>
      <c r="M20" s="149">
        <f>MAX(((L20-Inputs!$E$23)*Data!I20)*Inputs!$E$24,0)</f>
        <v>0</v>
      </c>
      <c r="N20" s="151">
        <f>INDEX('FY 22 OFA Shell'!$V$27:$V$195,MATCH(Data!H20,'FY 22 OFA Shell'!$H$27:$H$195,0))</f>
        <v>713944682.33000004</v>
      </c>
      <c r="O20" s="63">
        <f>INDEX('FY 22 OFA Shell'!$W$27:$W$195,MATCH(Data!H20,'FY 22 OFA Shell'!$H$27:$H$195,0))</f>
        <v>6115</v>
      </c>
      <c r="P20" s="65">
        <f>INDEX('FY 22 OFA Shell'!$Z$27:$Z$195,MATCH(Data!H20,'FY 22 OFA Shell'!$H$27:$H$195,0))</f>
        <v>86842</v>
      </c>
      <c r="Q20" s="63">
        <f>INDEX('FY 22 OFA Shell'!$AF$27:$AF$195,MATCH(Data!H20,'FY 22 OFA Shell'!$H$27:$H$195,0))</f>
        <v>725</v>
      </c>
      <c r="R20" s="66">
        <f>INDEX('FY 22 OFA Shell'!$AG$27:$AG$195,MATCH(Data!H20,'FY 22 OFA Shell'!$H$27:$H$195,0))</f>
        <v>13</v>
      </c>
      <c r="S20" s="66">
        <f>INDEX('FY 22 OFA Shell'!$AJ$27:$AJ$195,MATCH(Data!H20,'FY 22 OFA Shell'!$H$27:$H$195,0))</f>
        <v>0</v>
      </c>
      <c r="T20" s="66">
        <f>INDEX('FY 22 OFA Shell'!$AK$27:$AK$195,MATCH(Data!H20,'FY 22 OFA Shell'!$H$27:$H$195,0))</f>
        <v>0</v>
      </c>
      <c r="U20" s="135">
        <v>4067920</v>
      </c>
      <c r="V20" s="67">
        <f>ROUND(J20*Inputs!$E$22, 2)</f>
        <v>57</v>
      </c>
      <c r="W20" s="68">
        <f>I20+V20+K20*Inputs!$E$28+Data!M20</f>
        <v>784.02</v>
      </c>
      <c r="X20" s="69">
        <f t="shared" si="2"/>
        <v>116753.01</v>
      </c>
      <c r="Y20" s="70">
        <f>ROUND(X20/Inputs!$E$32, 6)</f>
        <v>0.60642499999999999</v>
      </c>
      <c r="Z20" s="70">
        <f>ROUND(P20/Inputs!$E$33, 6)</f>
        <v>0.72071499999999999</v>
      </c>
      <c r="AA20" s="59">
        <f>ROUND(1-((Y20*Inputs!$E$29)+Z20*Inputs!$E$27), 6)</f>
        <v>0.359288</v>
      </c>
      <c r="AB20" s="59">
        <v>254.85118593356643</v>
      </c>
      <c r="AC20" s="73">
        <f>INDEX('FY 22 OFA Shell'!$G$27:$G$195,MATCH(Data!H20,'FY 22 OFA Shell'!$H$27:$H$195,0))</f>
        <v>48</v>
      </c>
      <c r="AD20" s="73">
        <f t="shared" si="16"/>
        <v>5</v>
      </c>
      <c r="AE20" s="65">
        <v>4067920</v>
      </c>
      <c r="AF20" s="65">
        <f t="shared" si="3"/>
        <v>121045</v>
      </c>
      <c r="AG20" s="65">
        <f t="shared" si="4"/>
        <v>121045</v>
      </c>
      <c r="AH20" s="52">
        <v>3536964</v>
      </c>
      <c r="AI20" s="107">
        <v>4021855.75</v>
      </c>
      <c r="AJ20">
        <v>1</v>
      </c>
      <c r="AK20">
        <v>1272.4879333040808</v>
      </c>
      <c r="AL20" s="165">
        <f>INDEX('FY 22 OFA Shell'!$AU$27:$AU$195,MATCH(Data!H20,'FY 22 OFA Shell'!$H$27:$H$195,0))</f>
        <v>3946560</v>
      </c>
      <c r="AM20" s="165">
        <f>Outputs!H25</f>
        <v>4188965</v>
      </c>
      <c r="AN20" s="165">
        <f>Outputs!G25+Outputs!D25+Outputs!F25</f>
        <v>4188965</v>
      </c>
      <c r="AO20" s="165">
        <v>3995130</v>
      </c>
      <c r="AP20" s="165">
        <f t="shared" si="5"/>
        <v>4023128.2379333042</v>
      </c>
      <c r="AQ20" s="52" t="str">
        <f t="shared" si="6"/>
        <v>Yes</v>
      </c>
      <c r="AR20" s="308">
        <f>ABS(IF(AQ20="Yes",AF20*Inputs!$D$50,Data!AF20*Inputs!$D$51))</f>
        <v>12903.397000000001</v>
      </c>
      <c r="AS20" s="308">
        <f t="shared" si="17"/>
        <v>3959463.3969999999</v>
      </c>
      <c r="AT20" s="308">
        <f t="shared" si="7"/>
        <v>3959463.3969999999</v>
      </c>
      <c r="AU20" s="308"/>
      <c r="AV20" s="308">
        <f>ABS(IF($AQ20="Yes",$AF20*Inputs!E$50,Data!$AF20*Inputs!E$51))</f>
        <v>12903.397000000001</v>
      </c>
      <c r="AW20" s="308">
        <f>ABS(IF($AQ20="Yes",$AF20*Inputs!F$50,Data!$AF20*Inputs!F$51))</f>
        <v>12903.397000000001</v>
      </c>
      <c r="AX20" s="308">
        <f>ABS(IF($AQ20="Yes",$AF20*Inputs!G$50,Data!$AF20*Inputs!G$51))</f>
        <v>12903.397000000001</v>
      </c>
      <c r="AY20" s="308">
        <f>ABS(IF($AQ20="Yes",$AF20*Inputs!H$50,Data!$AF20*Inputs!H$51))</f>
        <v>12903.397000000001</v>
      </c>
      <c r="AZ20" s="308">
        <f>ABS(IF($AQ20="Yes",$AF20*Inputs!I$50,Data!$AF20*Inputs!I$51))</f>
        <v>12903.397000000001</v>
      </c>
      <c r="BA20" s="308">
        <f>ABS(IF($AQ20="Yes",$AF20*Inputs!J$50,Data!$AF20*Inputs!J$51))</f>
        <v>12903.397000000001</v>
      </c>
      <c r="BB20" s="308">
        <f>ABS(IF($AQ20="Yes",$AF20*Inputs!K$50,Data!$AF20*Inputs!K$51))</f>
        <v>0</v>
      </c>
      <c r="BC20" s="308">
        <f>ABS(IF($AQ20="Yes",$AF20*Inputs!L$50,Data!$AF20*Inputs!L$51))</f>
        <v>0</v>
      </c>
      <c r="BE20" s="308">
        <f t="shared" si="18"/>
        <v>3972366.7939999998</v>
      </c>
      <c r="BF20" s="308">
        <f t="shared" si="19"/>
        <v>3985270.1909999996</v>
      </c>
      <c r="BG20" s="308">
        <f t="shared" si="20"/>
        <v>3998173.5879999995</v>
      </c>
      <c r="BH20" s="308">
        <f t="shared" si="21"/>
        <v>4011076.9849999994</v>
      </c>
      <c r="BI20" s="308">
        <f t="shared" si="22"/>
        <v>4023980.3819999993</v>
      </c>
      <c r="BJ20" s="308">
        <f t="shared" si="23"/>
        <v>4188965</v>
      </c>
      <c r="BK20" s="308">
        <f t="shared" si="24"/>
        <v>4188965</v>
      </c>
      <c r="BL20" s="308">
        <f t="shared" si="25"/>
        <v>4188965</v>
      </c>
      <c r="BN20" s="308">
        <f t="shared" si="8"/>
        <v>3972366.7939999998</v>
      </c>
      <c r="BO20" s="308">
        <f t="shared" si="9"/>
        <v>3985270.1909999996</v>
      </c>
      <c r="BP20" s="308">
        <f t="shared" si="10"/>
        <v>3998173.5879999995</v>
      </c>
      <c r="BQ20" s="308">
        <f t="shared" si="11"/>
        <v>4011076.9849999994</v>
      </c>
      <c r="BR20" s="308">
        <f t="shared" si="12"/>
        <v>4023980.3819999993</v>
      </c>
      <c r="BS20" s="308">
        <f t="shared" si="13"/>
        <v>4188965</v>
      </c>
      <c r="BT20" s="308">
        <f t="shared" si="14"/>
        <v>4188965</v>
      </c>
      <c r="BU20" s="308">
        <f t="shared" si="26"/>
        <v>4188965</v>
      </c>
    </row>
    <row r="21" spans="1:73" ht="15" x14ac:dyDescent="0.2">
      <c r="A21" s="62" t="s">
        <v>15</v>
      </c>
      <c r="B21" s="55" t="s">
        <v>14</v>
      </c>
      <c r="C21" s="55"/>
      <c r="D21" s="55"/>
      <c r="E21" s="55"/>
      <c r="F21" s="55"/>
      <c r="G21" s="48">
        <v>4</v>
      </c>
      <c r="H21" s="55">
        <v>7</v>
      </c>
      <c r="I21" s="55">
        <f>INDEX('FY 22 OFA Shell'!$K$27:$K$195,MATCH(Data!H21,'FY 22 OFA Shell'!$H$27:$H$195,0))</f>
        <v>2741.09</v>
      </c>
      <c r="J21" s="55">
        <f>INDEX('FY 22 OFA Shell'!$N$27:$N$195,MATCH(Data!H21,'FY 22 OFA Shell'!$H$27:$H$195,0))</f>
        <v>565</v>
      </c>
      <c r="K21" s="64">
        <f>INDEX('FY 22 OFA Shell'!$S$27:$S$195,MATCH(Data!H21,'FY 22 OFA Shell'!$H$27:$H$195,0))</f>
        <v>94</v>
      </c>
      <c r="L21" s="150">
        <f t="shared" si="15"/>
        <v>0.20612238197213517</v>
      </c>
      <c r="M21" s="149">
        <f>MAX(((L21-Inputs!$E$23)*Data!I21)*Inputs!$E$24,0)</f>
        <v>0</v>
      </c>
      <c r="N21" s="151">
        <f>INDEX('FY 22 OFA Shell'!$V$27:$V$195,MATCH(Data!H21,'FY 22 OFA Shell'!$H$27:$H$195,0))</f>
        <v>3349698440.6700001</v>
      </c>
      <c r="O21" s="63">
        <f>INDEX('FY 22 OFA Shell'!$W$27:$W$195,MATCH(Data!H21,'FY 22 OFA Shell'!$H$27:$H$195,0))</f>
        <v>20519</v>
      </c>
      <c r="P21" s="65">
        <f>INDEX('FY 22 OFA Shell'!$Z$27:$Z$195,MATCH(Data!H21,'FY 22 OFA Shell'!$H$27:$H$195,0))</f>
        <v>95996</v>
      </c>
      <c r="Q21" s="63">
        <f>INDEX('FY 22 OFA Shell'!$AF$27:$AF$195,MATCH(Data!H21,'FY 22 OFA Shell'!$H$27:$H$195,0))</f>
        <v>0</v>
      </c>
      <c r="R21" s="66">
        <f>INDEX('FY 22 OFA Shell'!$AG$27:$AG$195,MATCH(Data!H21,'FY 22 OFA Shell'!$H$27:$H$195,0))</f>
        <v>0</v>
      </c>
      <c r="S21" s="66">
        <f>INDEX('FY 22 OFA Shell'!$AJ$27:$AJ$195,MATCH(Data!H21,'FY 22 OFA Shell'!$H$27:$H$195,0))</f>
        <v>0</v>
      </c>
      <c r="T21" s="66">
        <f>INDEX('FY 22 OFA Shell'!$AK$27:$AK$195,MATCH(Data!H21,'FY 22 OFA Shell'!$H$27:$H$195,0))</f>
        <v>0</v>
      </c>
      <c r="U21" s="135">
        <v>6215712</v>
      </c>
      <c r="V21" s="67">
        <f>ROUND(J21*Inputs!$E$22, 2)</f>
        <v>169.5</v>
      </c>
      <c r="W21" s="68">
        <f>I21+V21+K21*Inputs!$E$28+Data!M21</f>
        <v>2934.09</v>
      </c>
      <c r="X21" s="69">
        <f t="shared" si="2"/>
        <v>163248.62</v>
      </c>
      <c r="Y21" s="70">
        <f>ROUND(X21/Inputs!$E$32, 6)</f>
        <v>0.84792699999999999</v>
      </c>
      <c r="Z21" s="70">
        <f>ROUND(P21/Inputs!$E$33, 6)</f>
        <v>0.79668499999999998</v>
      </c>
      <c r="AA21" s="59">
        <f>ROUND(1-((Y21*Inputs!$E$29)+Z21*Inputs!$E$27), 6)</f>
        <v>0.16744600000000001</v>
      </c>
      <c r="AB21" s="59">
        <v>226.93368644871452</v>
      </c>
      <c r="AC21" s="73">
        <f>INDEX('FY 22 OFA Shell'!$G$27:$G$195,MATCH(Data!H21,'FY 22 OFA Shell'!$H$27:$H$195,0))</f>
        <v>100</v>
      </c>
      <c r="AD21" s="73">
        <f t="shared" si="16"/>
        <v>5</v>
      </c>
      <c r="AE21" s="65">
        <v>6215712</v>
      </c>
      <c r="AF21" s="65">
        <f t="shared" si="3"/>
        <v>-553461</v>
      </c>
      <c r="AG21" s="65">
        <f t="shared" si="4"/>
        <v>-553461</v>
      </c>
      <c r="AH21" s="52">
        <v>5358974</v>
      </c>
      <c r="AI21" s="107">
        <v>6037873.5</v>
      </c>
      <c r="AJ21"/>
      <c r="AK21">
        <v>0</v>
      </c>
      <c r="AL21" s="165">
        <f>INDEX('FY 22 OFA Shell'!$AU$27:$AU$195,MATCH(Data!H21,'FY 22 OFA Shell'!$H$27:$H$195,0))</f>
        <v>5870600</v>
      </c>
      <c r="AM21" s="165">
        <f>Outputs!H26</f>
        <v>5662251</v>
      </c>
      <c r="AN21" s="165">
        <f>Outputs!G26+Outputs!D26+Outputs!F26</f>
        <v>5662251</v>
      </c>
      <c r="AO21" s="165">
        <v>5950709</v>
      </c>
      <c r="AP21" s="165">
        <f t="shared" si="5"/>
        <v>6037873.5</v>
      </c>
      <c r="AQ21" s="52" t="str">
        <f t="shared" si="6"/>
        <v>No</v>
      </c>
      <c r="AR21" s="308">
        <f>ABS(IF(AQ21="Yes",AF21*Inputs!$D$50,Data!AF21*Inputs!$D$51))</f>
        <v>0</v>
      </c>
      <c r="AS21" s="308">
        <f t="shared" si="17"/>
        <v>5870600</v>
      </c>
      <c r="AT21" s="308">
        <f t="shared" si="7"/>
        <v>5870600</v>
      </c>
      <c r="AU21" s="308"/>
      <c r="AV21" s="308">
        <f>ABS(IF($AQ21="Yes",$AF21*Inputs!E$50,Data!$AF21*Inputs!E$51))</f>
        <v>0</v>
      </c>
      <c r="AW21" s="308">
        <f>ABS(IF($AQ21="Yes",$AF21*Inputs!F$50,Data!$AF21*Inputs!F$51))</f>
        <v>46103.301299999999</v>
      </c>
      <c r="AX21" s="308">
        <f>ABS(IF($AQ21="Yes",$AF21*Inputs!G$50,Data!$AF21*Inputs!G$51))</f>
        <v>46103.301299999999</v>
      </c>
      <c r="AY21" s="308">
        <f>ABS(IF($AQ21="Yes",$AF21*Inputs!H$50,Data!$AF21*Inputs!H$51))</f>
        <v>46103.301299999999</v>
      </c>
      <c r="AZ21" s="308">
        <f>ABS(IF($AQ21="Yes",$AF21*Inputs!I$50,Data!$AF21*Inputs!I$51))</f>
        <v>46103.301299999999</v>
      </c>
      <c r="BA21" s="308">
        <f>ABS(IF($AQ21="Yes",$AF21*Inputs!J$50,Data!$AF21*Inputs!J$51))</f>
        <v>46103.301299999999</v>
      </c>
      <c r="BB21" s="308">
        <f>ABS(IF($AQ21="Yes",$AF21*Inputs!K$50,Data!$AF21*Inputs!K$51))</f>
        <v>46103.301299999999</v>
      </c>
      <c r="BC21" s="308">
        <f>ABS(IF($AQ21="Yes",$AF21*Inputs!L$50,Data!$AF21*Inputs!L$51))</f>
        <v>46103.301299999999</v>
      </c>
      <c r="BE21" s="308">
        <f t="shared" si="18"/>
        <v>5870600</v>
      </c>
      <c r="BF21" s="308">
        <f t="shared" si="19"/>
        <v>5824496.6986999996</v>
      </c>
      <c r="BG21" s="308">
        <f t="shared" si="20"/>
        <v>5778393.3973999992</v>
      </c>
      <c r="BH21" s="308">
        <f t="shared" si="21"/>
        <v>5732290.0960999988</v>
      </c>
      <c r="BI21" s="308">
        <f t="shared" si="22"/>
        <v>5686186.7947999984</v>
      </c>
      <c r="BJ21" s="308">
        <f t="shared" si="23"/>
        <v>5640083.493499998</v>
      </c>
      <c r="BK21" s="308">
        <f t="shared" si="24"/>
        <v>5593980.1921999976</v>
      </c>
      <c r="BL21" s="308">
        <f t="shared" si="25"/>
        <v>5662251</v>
      </c>
      <c r="BN21" s="308">
        <f t="shared" si="8"/>
        <v>5870600</v>
      </c>
      <c r="BO21" s="308">
        <f t="shared" si="9"/>
        <v>5824496.6986999996</v>
      </c>
      <c r="BP21" s="308">
        <f t="shared" si="10"/>
        <v>5778393.3973999992</v>
      </c>
      <c r="BQ21" s="308">
        <f t="shared" si="11"/>
        <v>5732290.0960999988</v>
      </c>
      <c r="BR21" s="308">
        <f t="shared" si="12"/>
        <v>5686186.7947999984</v>
      </c>
      <c r="BS21" s="308">
        <f t="shared" si="13"/>
        <v>5640083.493499998</v>
      </c>
      <c r="BT21" s="308">
        <f t="shared" si="14"/>
        <v>5593980.1921999976</v>
      </c>
      <c r="BU21" s="308">
        <f t="shared" si="26"/>
        <v>5662251</v>
      </c>
    </row>
    <row r="22" spans="1:73" ht="15" x14ac:dyDescent="0.2">
      <c r="A22" s="62" t="s">
        <v>16</v>
      </c>
      <c r="B22" s="55" t="s">
        <v>4</v>
      </c>
      <c r="C22" s="55"/>
      <c r="D22" s="55"/>
      <c r="E22" s="55"/>
      <c r="F22" s="55"/>
      <c r="G22" s="48">
        <v>3</v>
      </c>
      <c r="H22" s="55">
        <v>8</v>
      </c>
      <c r="I22" s="55">
        <f>INDEX('FY 22 OFA Shell'!$K$27:$K$195,MATCH(Data!H22,'FY 22 OFA Shell'!$H$27:$H$195,0))</f>
        <v>755.64</v>
      </c>
      <c r="J22" s="55">
        <f>INDEX('FY 22 OFA Shell'!$N$27:$N$195,MATCH(Data!H22,'FY 22 OFA Shell'!$H$27:$H$195,0))</f>
        <v>83</v>
      </c>
      <c r="K22" s="64">
        <f>INDEX('FY 22 OFA Shell'!$S$27:$S$195,MATCH(Data!H22,'FY 22 OFA Shell'!$H$27:$H$195,0))</f>
        <v>11</v>
      </c>
      <c r="L22" s="150">
        <f t="shared" si="15"/>
        <v>0.10984066486686782</v>
      </c>
      <c r="M22" s="149">
        <f>MAX(((L22-Inputs!$E$23)*Data!I22)*Inputs!$E$24,0)</f>
        <v>0</v>
      </c>
      <c r="N22" s="151">
        <f>INDEX('FY 22 OFA Shell'!$V$27:$V$195,MATCH(Data!H22,'FY 22 OFA Shell'!$H$27:$H$195,0))</f>
        <v>824860372.66999996</v>
      </c>
      <c r="O22" s="63">
        <f>INDEX('FY 22 OFA Shell'!$W$27:$W$195,MATCH(Data!H22,'FY 22 OFA Shell'!$H$27:$H$195,0))</f>
        <v>5504</v>
      </c>
      <c r="P22" s="65">
        <f>INDEX('FY 22 OFA Shell'!$Z$27:$Z$195,MATCH(Data!H22,'FY 22 OFA Shell'!$H$27:$H$195,0))</f>
        <v>119653</v>
      </c>
      <c r="Q22" s="63">
        <f>INDEX('FY 22 OFA Shell'!$AF$27:$AF$195,MATCH(Data!H22,'FY 22 OFA Shell'!$H$27:$H$195,0))</f>
        <v>390</v>
      </c>
      <c r="R22" s="66">
        <f>INDEX('FY 22 OFA Shell'!$AG$27:$AG$195,MATCH(Data!H22,'FY 22 OFA Shell'!$H$27:$H$195,0))</f>
        <v>6</v>
      </c>
      <c r="S22" s="66">
        <f>INDEX('FY 22 OFA Shell'!$AJ$27:$AJ$195,MATCH(Data!H22,'FY 22 OFA Shell'!$H$27:$H$195,0))</f>
        <v>0</v>
      </c>
      <c r="T22" s="66">
        <f>INDEX('FY 22 OFA Shell'!$AK$27:$AK$195,MATCH(Data!H22,'FY 22 OFA Shell'!$H$27:$H$195,0))</f>
        <v>0</v>
      </c>
      <c r="U22" s="135">
        <v>2000209</v>
      </c>
      <c r="V22" s="67">
        <f>ROUND(J22*Inputs!$E$22, 2)</f>
        <v>24.9</v>
      </c>
      <c r="W22" s="68">
        <f>I22+V22+K22*Inputs!$E$28+Data!M22</f>
        <v>783.29</v>
      </c>
      <c r="X22" s="69">
        <f t="shared" si="2"/>
        <v>149865.62</v>
      </c>
      <c r="Y22" s="70">
        <f>ROUND(X22/Inputs!$E$32, 6)</f>
        <v>0.77841400000000005</v>
      </c>
      <c r="Z22" s="70">
        <f>ROUND(P22/Inputs!$E$33, 6)</f>
        <v>0.99301799999999996</v>
      </c>
      <c r="AA22" s="59">
        <f>ROUND(1-((Y22*Inputs!$E$29)+Z22*Inputs!$E$27), 6)</f>
        <v>0.15720500000000001</v>
      </c>
      <c r="AB22" s="59">
        <v>221.33626868766842</v>
      </c>
      <c r="AC22" s="73">
        <f>INDEX('FY 22 OFA Shell'!$G$27:$G$195,MATCH(Data!H22,'FY 22 OFA Shell'!$H$27:$H$195,0))</f>
        <v>119</v>
      </c>
      <c r="AD22" s="73">
        <f t="shared" si="16"/>
        <v>5</v>
      </c>
      <c r="AE22" s="65">
        <v>2000209</v>
      </c>
      <c r="AF22" s="65">
        <f t="shared" si="3"/>
        <v>-347054</v>
      </c>
      <c r="AG22" s="65">
        <f t="shared" si="4"/>
        <v>-347054</v>
      </c>
      <c r="AH22" s="52">
        <v>1741182</v>
      </c>
      <c r="AI22" s="107">
        <v>1877633.25</v>
      </c>
      <c r="AJ22">
        <v>1</v>
      </c>
      <c r="AK22">
        <v>1272.4879333040808</v>
      </c>
      <c r="AL22" s="165">
        <f>INDEX('FY 22 OFA Shell'!$AU$27:$AU$195,MATCH(Data!H22,'FY 22 OFA Shell'!$H$27:$H$195,0))</f>
        <v>1764574</v>
      </c>
      <c r="AM22" s="165">
        <f>Outputs!H27</f>
        <v>1653155</v>
      </c>
      <c r="AN22" s="165">
        <f>Outputs!G27+Outputs!D27+Outputs!F27</f>
        <v>1653155</v>
      </c>
      <c r="AO22" s="165">
        <v>1819779</v>
      </c>
      <c r="AP22" s="165">
        <f t="shared" si="5"/>
        <v>1878905.7379333042</v>
      </c>
      <c r="AQ22" s="52" t="str">
        <f t="shared" si="6"/>
        <v>No</v>
      </c>
      <c r="AR22" s="308">
        <f>ABS(IF(AQ22="Yes",AF22*Inputs!$D$50,Data!AF22*Inputs!$D$51))</f>
        <v>0</v>
      </c>
      <c r="AS22" s="308">
        <f t="shared" si="17"/>
        <v>1764574</v>
      </c>
      <c r="AT22" s="308">
        <f t="shared" si="7"/>
        <v>1764574</v>
      </c>
      <c r="AU22" s="308"/>
      <c r="AV22" s="308">
        <f>ABS(IF($AQ22="Yes",$AF22*Inputs!E$50,Data!$AF22*Inputs!E$51))</f>
        <v>0</v>
      </c>
      <c r="AW22" s="308">
        <f>ABS(IF($AQ22="Yes",$AF22*Inputs!F$50,Data!$AF22*Inputs!F$51))</f>
        <v>28909.5982</v>
      </c>
      <c r="AX22" s="308">
        <f>ABS(IF($AQ22="Yes",$AF22*Inputs!G$50,Data!$AF22*Inputs!G$51))</f>
        <v>28909.5982</v>
      </c>
      <c r="AY22" s="308">
        <f>ABS(IF($AQ22="Yes",$AF22*Inputs!H$50,Data!$AF22*Inputs!H$51))</f>
        <v>28909.5982</v>
      </c>
      <c r="AZ22" s="308">
        <f>ABS(IF($AQ22="Yes",$AF22*Inputs!I$50,Data!$AF22*Inputs!I$51))</f>
        <v>28909.5982</v>
      </c>
      <c r="BA22" s="308">
        <f>ABS(IF($AQ22="Yes",$AF22*Inputs!J$50,Data!$AF22*Inputs!J$51))</f>
        <v>28909.5982</v>
      </c>
      <c r="BB22" s="308">
        <f>ABS(IF($AQ22="Yes",$AF22*Inputs!K$50,Data!$AF22*Inputs!K$51))</f>
        <v>28909.5982</v>
      </c>
      <c r="BC22" s="308">
        <f>ABS(IF($AQ22="Yes",$AF22*Inputs!L$50,Data!$AF22*Inputs!L$51))</f>
        <v>28909.5982</v>
      </c>
      <c r="BE22" s="308">
        <f t="shared" si="18"/>
        <v>1764574</v>
      </c>
      <c r="BF22" s="308">
        <f t="shared" si="19"/>
        <v>1735664.4018000001</v>
      </c>
      <c r="BG22" s="308">
        <f t="shared" si="20"/>
        <v>1706754.8036000002</v>
      </c>
      <c r="BH22" s="308">
        <f t="shared" si="21"/>
        <v>1677845.2054000003</v>
      </c>
      <c r="BI22" s="308">
        <f t="shared" si="22"/>
        <v>1648935.6072000004</v>
      </c>
      <c r="BJ22" s="308">
        <f t="shared" si="23"/>
        <v>1620026.0090000005</v>
      </c>
      <c r="BK22" s="308">
        <f t="shared" si="24"/>
        <v>1591116.4108000007</v>
      </c>
      <c r="BL22" s="308">
        <f t="shared" si="25"/>
        <v>1653155</v>
      </c>
      <c r="BN22" s="308">
        <f t="shared" si="8"/>
        <v>1764574</v>
      </c>
      <c r="BO22" s="308">
        <f t="shared" si="9"/>
        <v>1735664.4018000001</v>
      </c>
      <c r="BP22" s="308">
        <f t="shared" si="10"/>
        <v>1706754.8036000002</v>
      </c>
      <c r="BQ22" s="308">
        <f t="shared" si="11"/>
        <v>1677845.2054000003</v>
      </c>
      <c r="BR22" s="308">
        <f t="shared" si="12"/>
        <v>1648935.6072000004</v>
      </c>
      <c r="BS22" s="308">
        <f t="shared" si="13"/>
        <v>1620026.0090000005</v>
      </c>
      <c r="BT22" s="308">
        <f t="shared" si="14"/>
        <v>1591116.4108000007</v>
      </c>
      <c r="BU22" s="308">
        <f t="shared" si="26"/>
        <v>1653155</v>
      </c>
    </row>
    <row r="23" spans="1:73" ht="15" x14ac:dyDescent="0.2">
      <c r="A23" s="62" t="s">
        <v>17</v>
      </c>
      <c r="B23" s="55" t="s">
        <v>14</v>
      </c>
      <c r="C23" s="55"/>
      <c r="D23" s="55"/>
      <c r="E23" s="55"/>
      <c r="F23" s="55"/>
      <c r="G23" s="48">
        <v>4</v>
      </c>
      <c r="H23" s="55">
        <v>9</v>
      </c>
      <c r="I23" s="55">
        <f>INDEX('FY 22 OFA Shell'!$K$27:$K$195,MATCH(Data!H23,'FY 22 OFA Shell'!$H$27:$H$195,0))</f>
        <v>3056.47</v>
      </c>
      <c r="J23" s="55">
        <f>INDEX('FY 22 OFA Shell'!$N$27:$N$195,MATCH(Data!H23,'FY 22 OFA Shell'!$H$27:$H$195,0))</f>
        <v>991</v>
      </c>
      <c r="K23" s="64">
        <f>INDEX('FY 22 OFA Shell'!$S$27:$S$195,MATCH(Data!H23,'FY 22 OFA Shell'!$H$27:$H$195,0))</f>
        <v>183</v>
      </c>
      <c r="L23" s="150">
        <f t="shared" si="15"/>
        <v>0.32423023945924551</v>
      </c>
      <c r="M23" s="149">
        <f>MAX(((L23-Inputs!$E$23)*Data!I23)*Inputs!$E$24,0)</f>
        <v>0</v>
      </c>
      <c r="N23" s="151">
        <f>INDEX('FY 22 OFA Shell'!$V$27:$V$195,MATCH(Data!H23,'FY 22 OFA Shell'!$H$27:$H$195,0))</f>
        <v>2974067644.6700001</v>
      </c>
      <c r="O23" s="63">
        <f>INDEX('FY 22 OFA Shell'!$W$27:$W$195,MATCH(Data!H23,'FY 22 OFA Shell'!$H$27:$H$195,0))</f>
        <v>19551</v>
      </c>
      <c r="P23" s="65">
        <f>INDEX('FY 22 OFA Shell'!$Z$27:$Z$195,MATCH(Data!H23,'FY 22 OFA Shell'!$H$27:$H$195,0))</f>
        <v>101473</v>
      </c>
      <c r="Q23" s="63">
        <f>INDEX('FY 22 OFA Shell'!$AF$27:$AF$195,MATCH(Data!H23,'FY 22 OFA Shell'!$H$27:$H$195,0))</f>
        <v>0</v>
      </c>
      <c r="R23" s="66">
        <f>INDEX('FY 22 OFA Shell'!$AG$27:$AG$195,MATCH(Data!H23,'FY 22 OFA Shell'!$H$27:$H$195,0))</f>
        <v>0</v>
      </c>
      <c r="S23" s="66">
        <f>INDEX('FY 22 OFA Shell'!$AJ$27:$AJ$195,MATCH(Data!H23,'FY 22 OFA Shell'!$H$27:$H$195,0))</f>
        <v>0</v>
      </c>
      <c r="T23" s="66">
        <f>INDEX('FY 22 OFA Shell'!$AK$27:$AK$195,MATCH(Data!H23,'FY 22 OFA Shell'!$H$27:$H$195,0))</f>
        <v>0</v>
      </c>
      <c r="U23" s="135">
        <v>8087732</v>
      </c>
      <c r="V23" s="67">
        <f>ROUND(J23*Inputs!$E$22, 2)</f>
        <v>297.3</v>
      </c>
      <c r="W23" s="68">
        <f>I23+V23+K23*Inputs!$E$28+Data!M23</f>
        <v>3399.52</v>
      </c>
      <c r="X23" s="69">
        <f t="shared" si="2"/>
        <v>152118.44</v>
      </c>
      <c r="Y23" s="70">
        <f>ROUND(X23/Inputs!$E$32, 6)</f>
        <v>0.79011600000000004</v>
      </c>
      <c r="Z23" s="70">
        <f>ROUND(P23/Inputs!$E$33, 6)</f>
        <v>0.84214</v>
      </c>
      <c r="AA23" s="59">
        <f>ROUND(1-((Y23*Inputs!$E$29)+Z23*Inputs!$E$27), 6)</f>
        <v>0.19427700000000001</v>
      </c>
      <c r="AB23" s="59">
        <v>233.53107681353217</v>
      </c>
      <c r="AC23" s="73">
        <f>INDEX('FY 22 OFA Shell'!$G$27:$G$195,MATCH(Data!H23,'FY 22 OFA Shell'!$H$27:$H$195,0))</f>
        <v>73</v>
      </c>
      <c r="AD23" s="73">
        <f t="shared" si="16"/>
        <v>5</v>
      </c>
      <c r="AE23" s="65">
        <v>8087732</v>
      </c>
      <c r="AF23" s="65">
        <f t="shared" si="3"/>
        <v>-476062</v>
      </c>
      <c r="AG23" s="65">
        <f t="shared" si="4"/>
        <v>-476062</v>
      </c>
      <c r="AH23" s="52">
        <v>7006649</v>
      </c>
      <c r="AI23" s="107">
        <v>7914298.5</v>
      </c>
      <c r="AJ23">
        <v>2</v>
      </c>
      <c r="AK23">
        <v>2544.9758666081616</v>
      </c>
      <c r="AL23" s="165">
        <f>INDEX('FY 22 OFA Shell'!$AU$27:$AU$195,MATCH(Data!H23,'FY 22 OFA Shell'!$H$27:$H$195,0))</f>
        <v>7880729</v>
      </c>
      <c r="AM23" s="165">
        <f>Outputs!H28</f>
        <v>7611670</v>
      </c>
      <c r="AN23" s="165">
        <f>Outputs!G28+Outputs!D28+Outputs!F28</f>
        <v>7611670</v>
      </c>
      <c r="AO23" s="165">
        <v>7873429</v>
      </c>
      <c r="AP23" s="165">
        <f t="shared" si="5"/>
        <v>7916843.4758666083</v>
      </c>
      <c r="AQ23" s="52" t="str">
        <f t="shared" si="6"/>
        <v>No</v>
      </c>
      <c r="AR23" s="308">
        <f>ABS(IF(AQ23="Yes",AF23*Inputs!$D$50,Data!AF23*Inputs!$D$51))</f>
        <v>0</v>
      </c>
      <c r="AS23" s="308">
        <f t="shared" si="17"/>
        <v>7880729</v>
      </c>
      <c r="AT23" s="308">
        <f t="shared" si="7"/>
        <v>7880729</v>
      </c>
      <c r="AU23" s="308"/>
      <c r="AV23" s="308">
        <f>ABS(IF($AQ23="Yes",$AF23*Inputs!E$50,Data!$AF23*Inputs!E$51))</f>
        <v>0</v>
      </c>
      <c r="AW23" s="308">
        <f>ABS(IF($AQ23="Yes",$AF23*Inputs!F$50,Data!$AF23*Inputs!F$51))</f>
        <v>39655.964599999999</v>
      </c>
      <c r="AX23" s="308">
        <f>ABS(IF($AQ23="Yes",$AF23*Inputs!G$50,Data!$AF23*Inputs!G$51))</f>
        <v>39655.964599999999</v>
      </c>
      <c r="AY23" s="308">
        <f>ABS(IF($AQ23="Yes",$AF23*Inputs!H$50,Data!$AF23*Inputs!H$51))</f>
        <v>39655.964599999999</v>
      </c>
      <c r="AZ23" s="308">
        <f>ABS(IF($AQ23="Yes",$AF23*Inputs!I$50,Data!$AF23*Inputs!I$51))</f>
        <v>39655.964599999999</v>
      </c>
      <c r="BA23" s="308">
        <f>ABS(IF($AQ23="Yes",$AF23*Inputs!J$50,Data!$AF23*Inputs!J$51))</f>
        <v>39655.964599999999</v>
      </c>
      <c r="BB23" s="308">
        <f>ABS(IF($AQ23="Yes",$AF23*Inputs!K$50,Data!$AF23*Inputs!K$51))</f>
        <v>39655.964599999999</v>
      </c>
      <c r="BC23" s="308">
        <f>ABS(IF($AQ23="Yes",$AF23*Inputs!L$50,Data!$AF23*Inputs!L$51))</f>
        <v>39655.964599999999</v>
      </c>
      <c r="BE23" s="308">
        <f t="shared" si="18"/>
        <v>7880729</v>
      </c>
      <c r="BF23" s="308">
        <f t="shared" si="19"/>
        <v>7841073.0354000004</v>
      </c>
      <c r="BG23" s="308">
        <f t="shared" si="20"/>
        <v>7801417.0708000008</v>
      </c>
      <c r="BH23" s="308">
        <f t="shared" si="21"/>
        <v>7761761.1062000012</v>
      </c>
      <c r="BI23" s="308">
        <f t="shared" si="22"/>
        <v>7722105.1416000016</v>
      </c>
      <c r="BJ23" s="308">
        <f t="shared" si="23"/>
        <v>7682449.177000002</v>
      </c>
      <c r="BK23" s="308">
        <f t="shared" si="24"/>
        <v>7642793.2124000024</v>
      </c>
      <c r="BL23" s="308">
        <f t="shared" si="25"/>
        <v>7611670</v>
      </c>
      <c r="BN23" s="308">
        <f t="shared" si="8"/>
        <v>7880729</v>
      </c>
      <c r="BO23" s="308">
        <f t="shared" si="9"/>
        <v>7841073.0354000004</v>
      </c>
      <c r="BP23" s="308">
        <f t="shared" si="10"/>
        <v>7801417.0708000008</v>
      </c>
      <c r="BQ23" s="308">
        <f t="shared" si="11"/>
        <v>7761761.1062000012</v>
      </c>
      <c r="BR23" s="308">
        <f t="shared" si="12"/>
        <v>7722105.1416000016</v>
      </c>
      <c r="BS23" s="308">
        <f t="shared" si="13"/>
        <v>7682449.177000002</v>
      </c>
      <c r="BT23" s="308">
        <f t="shared" si="14"/>
        <v>7642793.2124000024</v>
      </c>
      <c r="BU23" s="308">
        <f t="shared" si="26"/>
        <v>7611670</v>
      </c>
    </row>
    <row r="24" spans="1:73" ht="15" x14ac:dyDescent="0.2">
      <c r="A24" s="62" t="s">
        <v>18</v>
      </c>
      <c r="B24" s="55" t="s">
        <v>4</v>
      </c>
      <c r="C24" s="55"/>
      <c r="D24" s="55"/>
      <c r="E24" s="55"/>
      <c r="F24" s="55"/>
      <c r="G24" s="48">
        <v>5</v>
      </c>
      <c r="H24" s="55">
        <v>10</v>
      </c>
      <c r="I24" s="55">
        <f>INDEX('FY 22 OFA Shell'!$K$27:$K$195,MATCH(Data!H24,'FY 22 OFA Shell'!$H$27:$H$195,0))</f>
        <v>363.14</v>
      </c>
      <c r="J24" s="55">
        <f>INDEX('FY 22 OFA Shell'!$N$27:$N$195,MATCH(Data!H24,'FY 22 OFA Shell'!$H$27:$H$195,0))</f>
        <v>100</v>
      </c>
      <c r="K24" s="64">
        <f>INDEX('FY 22 OFA Shell'!$S$27:$S$195,MATCH(Data!H24,'FY 22 OFA Shell'!$H$27:$H$195,0))</f>
        <v>3</v>
      </c>
      <c r="L24" s="150">
        <f t="shared" si="15"/>
        <v>0.27537588808723912</v>
      </c>
      <c r="M24" s="149">
        <f>MAX(((L24-Inputs!$E$23)*Data!I24)*Inputs!$E$24,0)</f>
        <v>0</v>
      </c>
      <c r="N24" s="151">
        <f>INDEX('FY 22 OFA Shell'!$V$27:$V$195,MATCH(Data!H24,'FY 22 OFA Shell'!$H$27:$H$195,0))</f>
        <v>523151700.67000002</v>
      </c>
      <c r="O24" s="63">
        <f>INDEX('FY 22 OFA Shell'!$W$27:$W$195,MATCH(Data!H24,'FY 22 OFA Shell'!$H$27:$H$195,0))</f>
        <v>3452</v>
      </c>
      <c r="P24" s="65">
        <f>INDEX('FY 22 OFA Shell'!$Z$27:$Z$195,MATCH(Data!H24,'FY 22 OFA Shell'!$H$27:$H$195,0))</f>
        <v>93750</v>
      </c>
      <c r="Q24" s="63">
        <f>INDEX('FY 22 OFA Shell'!$AF$27:$AF$195,MATCH(Data!H24,'FY 22 OFA Shell'!$H$27:$H$195,0))</f>
        <v>363</v>
      </c>
      <c r="R24" s="66">
        <f>INDEX('FY 22 OFA Shell'!$AG$27:$AG$195,MATCH(Data!H24,'FY 22 OFA Shell'!$H$27:$H$195,0))</f>
        <v>13</v>
      </c>
      <c r="S24" s="66">
        <f>INDEX('FY 22 OFA Shell'!$AJ$27:$AJ$195,MATCH(Data!H24,'FY 22 OFA Shell'!$H$27:$H$195,0))</f>
        <v>0</v>
      </c>
      <c r="T24" s="66">
        <f>INDEX('FY 22 OFA Shell'!$AK$27:$AK$195,MATCH(Data!H24,'FY 22 OFA Shell'!$H$27:$H$195,0))</f>
        <v>0</v>
      </c>
      <c r="U24" s="135">
        <v>1278838</v>
      </c>
      <c r="V24" s="67">
        <f>ROUND(J24*Inputs!$E$22, 2)</f>
        <v>30</v>
      </c>
      <c r="W24" s="68">
        <f>I24+V24+K24*Inputs!$E$28+Data!M24</f>
        <v>393.89</v>
      </c>
      <c r="X24" s="69">
        <f t="shared" si="2"/>
        <v>151550.32</v>
      </c>
      <c r="Y24" s="70">
        <f>ROUND(X24/Inputs!$E$32, 6)</f>
        <v>0.787165</v>
      </c>
      <c r="Z24" s="70">
        <f>ROUND(P24/Inputs!$E$33, 6)</f>
        <v>0.77804499999999999</v>
      </c>
      <c r="AA24" s="59">
        <f>ROUND(1-((Y24*Inputs!$E$29)+Z24*Inputs!$E$27), 6)</f>
        <v>0.21557100000000001</v>
      </c>
      <c r="AB24" s="59">
        <v>205.32740614031175</v>
      </c>
      <c r="AC24" s="73">
        <f>INDEX('FY 22 OFA Shell'!$G$27:$G$195,MATCH(Data!H24,'FY 22 OFA Shell'!$H$27:$H$195,0))</f>
        <v>102</v>
      </c>
      <c r="AD24" s="73">
        <f t="shared" si="16"/>
        <v>5</v>
      </c>
      <c r="AE24" s="65">
        <v>1278838</v>
      </c>
      <c r="AF24" s="65">
        <f t="shared" si="3"/>
        <v>171664</v>
      </c>
      <c r="AG24" s="65">
        <f t="shared" si="4"/>
        <v>171664</v>
      </c>
      <c r="AH24" s="52">
        <v>1107720</v>
      </c>
      <c r="AI24" s="107">
        <v>1184697</v>
      </c>
      <c r="AJ24"/>
      <c r="AK24">
        <v>0</v>
      </c>
      <c r="AL24" s="165">
        <f>INDEX('FY 22 OFA Shell'!$AU$27:$AU$195,MATCH(Data!H24,'FY 22 OFA Shell'!$H$27:$H$195,0))</f>
        <v>1128527</v>
      </c>
      <c r="AM24" s="165">
        <f>Outputs!H29</f>
        <v>1450502</v>
      </c>
      <c r="AN24" s="165">
        <f>Outputs!G29+Outputs!D29+Outputs!F29</f>
        <v>1450502</v>
      </c>
      <c r="AO24" s="165">
        <v>1158471</v>
      </c>
      <c r="AP24" s="165">
        <f t="shared" si="5"/>
        <v>1184697</v>
      </c>
      <c r="AQ24" s="52" t="str">
        <f t="shared" si="6"/>
        <v>Yes</v>
      </c>
      <c r="AR24" s="308">
        <f>ABS(IF(AQ24="Yes",AF24*Inputs!$D$50,Data!AF24*Inputs!$D$51))</f>
        <v>18299.382399999999</v>
      </c>
      <c r="AS24" s="308">
        <f t="shared" si="17"/>
        <v>1146826.3824</v>
      </c>
      <c r="AT24" s="308">
        <f t="shared" si="7"/>
        <v>1146826.3824</v>
      </c>
      <c r="AU24" s="308"/>
      <c r="AV24" s="308">
        <f>ABS(IF($AQ24="Yes",$AF24*Inputs!E$50,Data!$AF24*Inputs!E$51))</f>
        <v>18299.382399999999</v>
      </c>
      <c r="AW24" s="308">
        <f>ABS(IF($AQ24="Yes",$AF24*Inputs!F$50,Data!$AF24*Inputs!F$51))</f>
        <v>18299.382399999999</v>
      </c>
      <c r="AX24" s="308">
        <f>ABS(IF($AQ24="Yes",$AF24*Inputs!G$50,Data!$AF24*Inputs!G$51))</f>
        <v>18299.382399999999</v>
      </c>
      <c r="AY24" s="308">
        <f>ABS(IF($AQ24="Yes",$AF24*Inputs!H$50,Data!$AF24*Inputs!H$51))</f>
        <v>18299.382399999999</v>
      </c>
      <c r="AZ24" s="308">
        <f>ABS(IF($AQ24="Yes",$AF24*Inputs!I$50,Data!$AF24*Inputs!I$51))</f>
        <v>18299.382399999999</v>
      </c>
      <c r="BA24" s="308">
        <f>ABS(IF($AQ24="Yes",$AF24*Inputs!J$50,Data!$AF24*Inputs!J$51))</f>
        <v>18299.382399999999</v>
      </c>
      <c r="BB24" s="308">
        <f>ABS(IF($AQ24="Yes",$AF24*Inputs!K$50,Data!$AF24*Inputs!K$51))</f>
        <v>0</v>
      </c>
      <c r="BC24" s="308">
        <f>ABS(IF($AQ24="Yes",$AF24*Inputs!L$50,Data!$AF24*Inputs!L$51))</f>
        <v>0</v>
      </c>
      <c r="BE24" s="308">
        <f t="shared" si="18"/>
        <v>1165125.7648</v>
      </c>
      <c r="BF24" s="308">
        <f t="shared" si="19"/>
        <v>1183425.1472</v>
      </c>
      <c r="BG24" s="308">
        <f t="shared" si="20"/>
        <v>1201724.5296</v>
      </c>
      <c r="BH24" s="308">
        <f t="shared" si="21"/>
        <v>1220023.912</v>
      </c>
      <c r="BI24" s="308">
        <f t="shared" si="22"/>
        <v>1238323.2944</v>
      </c>
      <c r="BJ24" s="308">
        <f t="shared" si="23"/>
        <v>1450502</v>
      </c>
      <c r="BK24" s="308">
        <f t="shared" si="24"/>
        <v>1450502</v>
      </c>
      <c r="BL24" s="308">
        <f t="shared" si="25"/>
        <v>1450502</v>
      </c>
      <c r="BN24" s="308">
        <f t="shared" si="8"/>
        <v>1165125.7648</v>
      </c>
      <c r="BO24" s="308">
        <f t="shared" si="9"/>
        <v>1183425.1472</v>
      </c>
      <c r="BP24" s="308">
        <f t="shared" si="10"/>
        <v>1201724.5296</v>
      </c>
      <c r="BQ24" s="308">
        <f t="shared" si="11"/>
        <v>1220023.912</v>
      </c>
      <c r="BR24" s="308">
        <f t="shared" si="12"/>
        <v>1238323.2944</v>
      </c>
      <c r="BS24" s="308">
        <f t="shared" si="13"/>
        <v>1450502</v>
      </c>
      <c r="BT24" s="308">
        <f t="shared" si="14"/>
        <v>1450502</v>
      </c>
      <c r="BU24" s="308">
        <f t="shared" si="26"/>
        <v>1450502</v>
      </c>
    </row>
    <row r="25" spans="1:73" ht="15" x14ac:dyDescent="0.2">
      <c r="A25" s="62" t="s">
        <v>20</v>
      </c>
      <c r="B25" s="55" t="s">
        <v>19</v>
      </c>
      <c r="C25" s="55"/>
      <c r="D25" s="55">
        <v>1</v>
      </c>
      <c r="E25" s="55">
        <v>1</v>
      </c>
      <c r="F25" s="55"/>
      <c r="G25" s="48">
        <v>6</v>
      </c>
      <c r="H25" s="55">
        <v>11</v>
      </c>
      <c r="I25" s="55">
        <f>INDEX('FY 22 OFA Shell'!$K$27:$K$195,MATCH(Data!H25,'FY 22 OFA Shell'!$H$27:$H$195,0))</f>
        <v>2294.5</v>
      </c>
      <c r="J25" s="55">
        <f>INDEX('FY 22 OFA Shell'!$N$27:$N$195,MATCH(Data!H25,'FY 22 OFA Shell'!$H$27:$H$195,0))</f>
        <v>1372</v>
      </c>
      <c r="K25" s="64">
        <f>INDEX('FY 22 OFA Shell'!$S$27:$S$195,MATCH(Data!H25,'FY 22 OFA Shell'!$H$27:$H$195,0))</f>
        <v>67</v>
      </c>
      <c r="L25" s="150">
        <f t="shared" si="15"/>
        <v>0.59795162344737418</v>
      </c>
      <c r="M25" s="149">
        <f>MAX(((L25-Inputs!$E$23)*Data!I25)*Inputs!$E$24,0)</f>
        <v>0</v>
      </c>
      <c r="N25" s="151">
        <f>INDEX('FY 22 OFA Shell'!$V$27:$V$195,MATCH(Data!H25,'FY 22 OFA Shell'!$H$27:$H$195,0))</f>
        <v>3245061416</v>
      </c>
      <c r="O25" s="63">
        <f>INDEX('FY 22 OFA Shell'!$W$27:$W$195,MATCH(Data!H25,'FY 22 OFA Shell'!$H$27:$H$195,0))</f>
        <v>20952</v>
      </c>
      <c r="P25" s="65">
        <f>INDEX('FY 22 OFA Shell'!$Z$27:$Z$195,MATCH(Data!H25,'FY 22 OFA Shell'!$H$27:$H$195,0))</f>
        <v>76952</v>
      </c>
      <c r="Q25" s="63">
        <f>INDEX('FY 22 OFA Shell'!$AF$27:$AF$195,MATCH(Data!H25,'FY 22 OFA Shell'!$H$27:$H$195,0))</f>
        <v>0</v>
      </c>
      <c r="R25" s="66">
        <f>INDEX('FY 22 OFA Shell'!$AG$27:$AG$195,MATCH(Data!H25,'FY 22 OFA Shell'!$H$27:$H$195,0))</f>
        <v>0</v>
      </c>
      <c r="S25" s="66">
        <f>INDEX('FY 22 OFA Shell'!$AJ$27:$AJ$195,MATCH(Data!H25,'FY 22 OFA Shell'!$H$27:$H$195,0))</f>
        <v>0</v>
      </c>
      <c r="T25" s="66">
        <f>INDEX('FY 22 OFA Shell'!$AK$27:$AK$195,MATCH(Data!H25,'FY 22 OFA Shell'!$H$27:$H$195,0))</f>
        <v>0</v>
      </c>
      <c r="U25" s="135">
        <v>6160837</v>
      </c>
      <c r="V25" s="67">
        <f>ROUND(J25*Inputs!$E$22, 2)</f>
        <v>411.6</v>
      </c>
      <c r="W25" s="68">
        <f>I25+V25+K25*Inputs!$E$28+Data!M25</f>
        <v>2722.85</v>
      </c>
      <c r="X25" s="69">
        <f t="shared" si="2"/>
        <v>154880.75</v>
      </c>
      <c r="Y25" s="70">
        <f>ROUND(X25/Inputs!$E$32, 6)</f>
        <v>0.80446300000000004</v>
      </c>
      <c r="Z25" s="70">
        <f>ROUND(P25/Inputs!$E$33, 6)</f>
        <v>0.63863599999999998</v>
      </c>
      <c r="AA25" s="59">
        <f>ROUND(1-((Y25*Inputs!$E$29)+Z25*Inputs!$E$27), 6)</f>
        <v>0.245285</v>
      </c>
      <c r="AB25" s="59">
        <v>278.01560307242596</v>
      </c>
      <c r="AC25" s="73">
        <f>INDEX('FY 22 OFA Shell'!$G$27:$G$195,MATCH(Data!H25,'FY 22 OFA Shell'!$H$27:$H$195,0))</f>
        <v>37</v>
      </c>
      <c r="AD25" s="73">
        <f t="shared" si="16"/>
        <v>5</v>
      </c>
      <c r="AE25" s="65">
        <v>6160837</v>
      </c>
      <c r="AF25" s="65">
        <f t="shared" si="3"/>
        <v>1536414</v>
      </c>
      <c r="AG25" s="65">
        <f t="shared" si="4"/>
        <v>1536414</v>
      </c>
      <c r="AH25" s="52">
        <v>6070860</v>
      </c>
      <c r="AI25" s="107">
        <v>6225401.5860000001</v>
      </c>
      <c r="AJ25">
        <v>5</v>
      </c>
      <c r="AK25">
        <v>6362.439666520404</v>
      </c>
      <c r="AL25" s="165">
        <f>INDEX('FY 22 OFA Shell'!$AU$27:$AU$195,MATCH(Data!H25,'FY 22 OFA Shell'!$H$27:$H$195,0))</f>
        <v>6700683</v>
      </c>
      <c r="AM25" s="165">
        <f>Outputs!H30</f>
        <v>7697251</v>
      </c>
      <c r="AN25" s="165">
        <f>Outputs!G30+Outputs!D30+Outputs!F30</f>
        <v>7697251</v>
      </c>
      <c r="AO25" s="165">
        <v>6421768</v>
      </c>
      <c r="AP25" s="165">
        <f t="shared" si="5"/>
        <v>6231764.0256665209</v>
      </c>
      <c r="AQ25" s="52" t="str">
        <f t="shared" si="6"/>
        <v>Yes</v>
      </c>
      <c r="AR25" s="308">
        <f>ABS(IF(AQ25="Yes",AF25*Inputs!$D$50,Data!AF25*Inputs!$D$51))</f>
        <v>163781.73240000001</v>
      </c>
      <c r="AS25" s="308">
        <f t="shared" si="17"/>
        <v>6864464.7324000001</v>
      </c>
      <c r="AT25" s="308">
        <f t="shared" si="7"/>
        <v>6864464.7324000001</v>
      </c>
      <c r="AU25" s="308"/>
      <c r="AV25" s="308">
        <f>ABS(IF($AQ25="Yes",$AF25*Inputs!E$50,Data!$AF25*Inputs!E$51))</f>
        <v>163781.73240000001</v>
      </c>
      <c r="AW25" s="308">
        <f>ABS(IF($AQ25="Yes",$AF25*Inputs!F$50,Data!$AF25*Inputs!F$51))</f>
        <v>163781.73240000001</v>
      </c>
      <c r="AX25" s="308">
        <f>ABS(IF($AQ25="Yes",$AF25*Inputs!G$50,Data!$AF25*Inputs!G$51))</f>
        <v>163781.73240000001</v>
      </c>
      <c r="AY25" s="308">
        <f>ABS(IF($AQ25="Yes",$AF25*Inputs!H$50,Data!$AF25*Inputs!H$51))</f>
        <v>163781.73240000001</v>
      </c>
      <c r="AZ25" s="308">
        <f>ABS(IF($AQ25="Yes",$AF25*Inputs!I$50,Data!$AF25*Inputs!I$51))</f>
        <v>163781.73240000001</v>
      </c>
      <c r="BA25" s="308">
        <f>ABS(IF($AQ25="Yes",$AF25*Inputs!J$50,Data!$AF25*Inputs!J$51))</f>
        <v>163781.73240000001</v>
      </c>
      <c r="BB25" s="308">
        <f>ABS(IF($AQ25="Yes",$AF25*Inputs!K$50,Data!$AF25*Inputs!K$51))</f>
        <v>0</v>
      </c>
      <c r="BC25" s="308">
        <f>ABS(IF($AQ25="Yes",$AF25*Inputs!L$50,Data!$AF25*Inputs!L$51))</f>
        <v>0</v>
      </c>
      <c r="BE25" s="308">
        <f t="shared" si="18"/>
        <v>7028246.4648000002</v>
      </c>
      <c r="BF25" s="308">
        <f t="shared" si="19"/>
        <v>7192028.1972000003</v>
      </c>
      <c r="BG25" s="308">
        <f t="shared" si="20"/>
        <v>7355809.9296000004</v>
      </c>
      <c r="BH25" s="308">
        <f t="shared" si="21"/>
        <v>7519591.6620000005</v>
      </c>
      <c r="BI25" s="308">
        <f t="shared" si="22"/>
        <v>7683373.3944000006</v>
      </c>
      <c r="BJ25" s="308">
        <f t="shared" si="23"/>
        <v>7697251</v>
      </c>
      <c r="BK25" s="308">
        <f t="shared" si="24"/>
        <v>7697251</v>
      </c>
      <c r="BL25" s="308">
        <f t="shared" si="25"/>
        <v>7697251</v>
      </c>
      <c r="BN25" s="308">
        <f t="shared" si="8"/>
        <v>7028246.4648000002</v>
      </c>
      <c r="BO25" s="308">
        <f t="shared" si="9"/>
        <v>7192028.1972000003</v>
      </c>
      <c r="BP25" s="308">
        <f t="shared" si="10"/>
        <v>7355809.9296000004</v>
      </c>
      <c r="BQ25" s="308">
        <f t="shared" si="11"/>
        <v>7519591.6620000005</v>
      </c>
      <c r="BR25" s="308">
        <f t="shared" si="12"/>
        <v>7683373.3944000006</v>
      </c>
      <c r="BS25" s="308">
        <f t="shared" si="13"/>
        <v>7697251</v>
      </c>
      <c r="BT25" s="308">
        <f t="shared" si="14"/>
        <v>7697251</v>
      </c>
      <c r="BU25" s="308">
        <f t="shared" si="26"/>
        <v>7697251</v>
      </c>
    </row>
    <row r="26" spans="1:73" ht="15" x14ac:dyDescent="0.2">
      <c r="A26" s="62" t="s">
        <v>21</v>
      </c>
      <c r="B26" s="55" t="s">
        <v>4</v>
      </c>
      <c r="C26" s="55"/>
      <c r="D26" s="55"/>
      <c r="E26" s="55"/>
      <c r="F26" s="55"/>
      <c r="G26" s="48">
        <v>5</v>
      </c>
      <c r="H26" s="55">
        <v>12</v>
      </c>
      <c r="I26" s="55">
        <f>INDEX('FY 22 OFA Shell'!$K$27:$K$195,MATCH(Data!H26,'FY 22 OFA Shell'!$H$27:$H$195,0))</f>
        <v>701.57</v>
      </c>
      <c r="J26" s="55">
        <f>INDEX('FY 22 OFA Shell'!$N$27:$N$195,MATCH(Data!H26,'FY 22 OFA Shell'!$H$27:$H$195,0))</f>
        <v>142</v>
      </c>
      <c r="K26" s="64">
        <f>INDEX('FY 22 OFA Shell'!$S$27:$S$195,MATCH(Data!H26,'FY 22 OFA Shell'!$H$27:$H$195,0))</f>
        <v>9</v>
      </c>
      <c r="L26" s="150">
        <f t="shared" si="15"/>
        <v>0.20240318143592229</v>
      </c>
      <c r="M26" s="149">
        <f>MAX(((L26-Inputs!$E$23)*Data!I26)*Inputs!$E$24,0)</f>
        <v>0</v>
      </c>
      <c r="N26" s="151">
        <f>INDEX('FY 22 OFA Shell'!$V$27:$V$195,MATCH(Data!H26,'FY 22 OFA Shell'!$H$27:$H$195,0))</f>
        <v>633531617.66999996</v>
      </c>
      <c r="O26" s="63">
        <f>INDEX('FY 22 OFA Shell'!$W$27:$W$195,MATCH(Data!H26,'FY 22 OFA Shell'!$H$27:$H$195,0))</f>
        <v>4928</v>
      </c>
      <c r="P26" s="65">
        <f>INDEX('FY 22 OFA Shell'!$Z$27:$Z$195,MATCH(Data!H26,'FY 22 OFA Shell'!$H$27:$H$195,0))</f>
        <v>105417</v>
      </c>
      <c r="Q26" s="63">
        <f>INDEX('FY 22 OFA Shell'!$AF$27:$AF$195,MATCH(Data!H26,'FY 22 OFA Shell'!$H$27:$H$195,0))</f>
        <v>0</v>
      </c>
      <c r="R26" s="66">
        <f>INDEX('FY 22 OFA Shell'!$AG$27:$AG$195,MATCH(Data!H26,'FY 22 OFA Shell'!$H$27:$H$195,0))</f>
        <v>0</v>
      </c>
      <c r="S26" s="66">
        <f>INDEX('FY 22 OFA Shell'!$AJ$27:$AJ$195,MATCH(Data!H26,'FY 22 OFA Shell'!$H$27:$H$195,0))</f>
        <v>0</v>
      </c>
      <c r="T26" s="66">
        <f>INDEX('FY 22 OFA Shell'!$AK$27:$AK$195,MATCH(Data!H26,'FY 22 OFA Shell'!$H$27:$H$195,0))</f>
        <v>0</v>
      </c>
      <c r="U26" s="135">
        <v>2983350</v>
      </c>
      <c r="V26" s="67">
        <f>ROUND(J26*Inputs!$E$22, 2)</f>
        <v>42.6</v>
      </c>
      <c r="W26" s="68">
        <f>I26+V26+K26*Inputs!$E$28+Data!M26</f>
        <v>746.42000000000007</v>
      </c>
      <c r="X26" s="69">
        <f t="shared" si="2"/>
        <v>128557.55</v>
      </c>
      <c r="Y26" s="70">
        <f>ROUND(X26/Inputs!$E$32, 6)</f>
        <v>0.66773899999999997</v>
      </c>
      <c r="Z26" s="70">
        <f>ROUND(P26/Inputs!$E$33, 6)</f>
        <v>0.87487199999999998</v>
      </c>
      <c r="AA26" s="59">
        <f>ROUND(1-((Y26*Inputs!$E$29)+Z26*Inputs!$E$27), 6)</f>
        <v>0.270121</v>
      </c>
      <c r="AB26" s="59">
        <v>224.12241786718985</v>
      </c>
      <c r="AC26" s="73">
        <f>INDEX('FY 22 OFA Shell'!$G$27:$G$195,MATCH(Data!H26,'FY 22 OFA Shell'!$H$27:$H$195,0))</f>
        <v>109</v>
      </c>
      <c r="AD26" s="73">
        <f t="shared" si="16"/>
        <v>5</v>
      </c>
      <c r="AE26" s="65">
        <v>2983350</v>
      </c>
      <c r="AF26" s="65">
        <f t="shared" si="3"/>
        <v>-659637</v>
      </c>
      <c r="AG26" s="65">
        <f t="shared" si="4"/>
        <v>-659637</v>
      </c>
      <c r="AH26" s="52">
        <v>2595642</v>
      </c>
      <c r="AI26" s="107">
        <v>2795888.25</v>
      </c>
      <c r="AJ26"/>
      <c r="AK26">
        <v>0</v>
      </c>
      <c r="AL26" s="165">
        <f>INDEX('FY 22 OFA Shell'!$AU$27:$AU$195,MATCH(Data!H26,'FY 22 OFA Shell'!$H$27:$H$195,0))</f>
        <v>2683216</v>
      </c>
      <c r="AM26" s="165">
        <f>Outputs!H31</f>
        <v>2323713</v>
      </c>
      <c r="AN26" s="165">
        <f>Outputs!G31+Outputs!D31+Outputs!F31</f>
        <v>2323713</v>
      </c>
      <c r="AO26" s="165">
        <v>2747057</v>
      </c>
      <c r="AP26" s="165">
        <f t="shared" si="5"/>
        <v>2795888.25</v>
      </c>
      <c r="AQ26" s="52" t="str">
        <f t="shared" si="6"/>
        <v>No</v>
      </c>
      <c r="AR26" s="308">
        <f>ABS(IF(AQ26="Yes",AF26*Inputs!$D$50,Data!AF26*Inputs!$D$51))</f>
        <v>0</v>
      </c>
      <c r="AS26" s="308">
        <f t="shared" si="17"/>
        <v>2683216</v>
      </c>
      <c r="AT26" s="308">
        <f t="shared" si="7"/>
        <v>2683216</v>
      </c>
      <c r="AU26" s="308"/>
      <c r="AV26" s="308">
        <f>ABS(IF($AQ26="Yes",$AF26*Inputs!E$50,Data!$AF26*Inputs!E$51))</f>
        <v>0</v>
      </c>
      <c r="AW26" s="308">
        <f>ABS(IF($AQ26="Yes",$AF26*Inputs!F$50,Data!$AF26*Inputs!F$51))</f>
        <v>54947.7621</v>
      </c>
      <c r="AX26" s="308">
        <f>ABS(IF($AQ26="Yes",$AF26*Inputs!G$50,Data!$AF26*Inputs!G$51))</f>
        <v>54947.7621</v>
      </c>
      <c r="AY26" s="308">
        <f>ABS(IF($AQ26="Yes",$AF26*Inputs!H$50,Data!$AF26*Inputs!H$51))</f>
        <v>54947.7621</v>
      </c>
      <c r="AZ26" s="308">
        <f>ABS(IF($AQ26="Yes",$AF26*Inputs!I$50,Data!$AF26*Inputs!I$51))</f>
        <v>54947.7621</v>
      </c>
      <c r="BA26" s="308">
        <f>ABS(IF($AQ26="Yes",$AF26*Inputs!J$50,Data!$AF26*Inputs!J$51))</f>
        <v>54947.7621</v>
      </c>
      <c r="BB26" s="308">
        <f>ABS(IF($AQ26="Yes",$AF26*Inputs!K$50,Data!$AF26*Inputs!K$51))</f>
        <v>54947.7621</v>
      </c>
      <c r="BC26" s="308">
        <f>ABS(IF($AQ26="Yes",$AF26*Inputs!L$50,Data!$AF26*Inputs!L$51))</f>
        <v>54947.7621</v>
      </c>
      <c r="BE26" s="308">
        <f t="shared" si="18"/>
        <v>2683216</v>
      </c>
      <c r="BF26" s="308">
        <f t="shared" si="19"/>
        <v>2628268.2379000001</v>
      </c>
      <c r="BG26" s="308">
        <f t="shared" si="20"/>
        <v>2573320.4758000001</v>
      </c>
      <c r="BH26" s="308">
        <f t="shared" si="21"/>
        <v>2518372.7137000002</v>
      </c>
      <c r="BI26" s="308">
        <f t="shared" si="22"/>
        <v>2463424.9516000003</v>
      </c>
      <c r="BJ26" s="308">
        <f t="shared" si="23"/>
        <v>2408477.1895000003</v>
      </c>
      <c r="BK26" s="308">
        <f t="shared" si="24"/>
        <v>2353529.4274000004</v>
      </c>
      <c r="BL26" s="308">
        <f t="shared" si="25"/>
        <v>2323713</v>
      </c>
      <c r="BN26" s="308">
        <f t="shared" si="8"/>
        <v>2683216</v>
      </c>
      <c r="BO26" s="308">
        <f t="shared" si="9"/>
        <v>2628268.2379000001</v>
      </c>
      <c r="BP26" s="308">
        <f t="shared" si="10"/>
        <v>2573320.4758000001</v>
      </c>
      <c r="BQ26" s="308">
        <f t="shared" si="11"/>
        <v>2518372.7137000002</v>
      </c>
      <c r="BR26" s="308">
        <f t="shared" si="12"/>
        <v>2463424.9516000003</v>
      </c>
      <c r="BS26" s="308">
        <f t="shared" si="13"/>
        <v>2408477.1895000003</v>
      </c>
      <c r="BT26" s="308">
        <f t="shared" si="14"/>
        <v>2353529.4274000004</v>
      </c>
      <c r="BU26" s="308">
        <f t="shared" si="26"/>
        <v>2323713</v>
      </c>
    </row>
    <row r="27" spans="1:73" ht="15" x14ac:dyDescent="0.2">
      <c r="A27" s="62" t="s">
        <v>22</v>
      </c>
      <c r="B27" s="55" t="s">
        <v>8</v>
      </c>
      <c r="C27" s="55"/>
      <c r="D27" s="55"/>
      <c r="E27" s="55"/>
      <c r="F27" s="55"/>
      <c r="G27" s="48">
        <v>7</v>
      </c>
      <c r="H27" s="55">
        <v>13</v>
      </c>
      <c r="I27" s="55">
        <f>INDEX('FY 22 OFA Shell'!$K$27:$K$195,MATCH(Data!H27,'FY 22 OFA Shell'!$H$27:$H$195,0))</f>
        <v>258.86</v>
      </c>
      <c r="J27" s="55">
        <f>INDEX('FY 22 OFA Shell'!$N$27:$N$195,MATCH(Data!H27,'FY 22 OFA Shell'!$H$27:$H$195,0))</f>
        <v>95</v>
      </c>
      <c r="K27" s="64">
        <f>INDEX('FY 22 OFA Shell'!$S$27:$S$195,MATCH(Data!H27,'FY 22 OFA Shell'!$H$27:$H$195,0))</f>
        <v>7</v>
      </c>
      <c r="L27" s="150">
        <f t="shared" si="15"/>
        <v>0.36699374179092942</v>
      </c>
      <c r="M27" s="149">
        <f>MAX(((L27-Inputs!$E$23)*Data!I27)*Inputs!$E$24,0)</f>
        <v>0</v>
      </c>
      <c r="N27" s="151">
        <f>INDEX('FY 22 OFA Shell'!$V$27:$V$195,MATCH(Data!H27,'FY 22 OFA Shell'!$H$27:$H$195,0))</f>
        <v>343635194.32999998</v>
      </c>
      <c r="O27" s="63">
        <f>INDEX('FY 22 OFA Shell'!$W$27:$W$195,MATCH(Data!H27,'FY 22 OFA Shell'!$H$27:$H$195,0))</f>
        <v>2567</v>
      </c>
      <c r="P27" s="65">
        <f>INDEX('FY 22 OFA Shell'!$Z$27:$Z$195,MATCH(Data!H27,'FY 22 OFA Shell'!$H$27:$H$195,0))</f>
        <v>87109</v>
      </c>
      <c r="Q27" s="63">
        <f>INDEX('FY 22 OFA Shell'!$AF$27:$AF$195,MATCH(Data!H27,'FY 22 OFA Shell'!$H$27:$H$195,0))</f>
        <v>0</v>
      </c>
      <c r="R27" s="66">
        <f>INDEX('FY 22 OFA Shell'!$AG$27:$AG$195,MATCH(Data!H27,'FY 22 OFA Shell'!$H$27:$H$195,0))</f>
        <v>0</v>
      </c>
      <c r="S27" s="66">
        <f>INDEX('FY 22 OFA Shell'!$AJ$27:$AJ$195,MATCH(Data!H27,'FY 22 OFA Shell'!$H$27:$H$195,0))</f>
        <v>63</v>
      </c>
      <c r="T27" s="66">
        <f>INDEX('FY 22 OFA Shell'!$AK$27:$AK$195,MATCH(Data!H27,'FY 22 OFA Shell'!$H$27:$H$195,0))</f>
        <v>4</v>
      </c>
      <c r="U27" s="135">
        <v>1223830</v>
      </c>
      <c r="V27" s="67">
        <f>ROUND(J27*Inputs!$E$22, 2)</f>
        <v>28.5</v>
      </c>
      <c r="W27" s="68">
        <f>I27+V27+K27*Inputs!$E$28+Data!M27</f>
        <v>289.11</v>
      </c>
      <c r="X27" s="69">
        <f t="shared" si="2"/>
        <v>133866.46</v>
      </c>
      <c r="Y27" s="70">
        <f>ROUND(X27/Inputs!$E$32, 6)</f>
        <v>0.69531299999999996</v>
      </c>
      <c r="Z27" s="70">
        <f>ROUND(P27/Inputs!$E$33, 6)</f>
        <v>0.72293099999999999</v>
      </c>
      <c r="AA27" s="59">
        <f>ROUND(1-((Y27*Inputs!$E$29)+Z27*Inputs!$E$27), 6)</f>
        <v>0.296402</v>
      </c>
      <c r="AB27" s="59">
        <v>246.29863862934687</v>
      </c>
      <c r="AC27" s="73">
        <f>INDEX('FY 22 OFA Shell'!$G$27:$G$195,MATCH(Data!H27,'FY 22 OFA Shell'!$H$27:$H$195,0))</f>
        <v>52</v>
      </c>
      <c r="AD27" s="73">
        <f t="shared" si="16"/>
        <v>5</v>
      </c>
      <c r="AE27" s="65">
        <v>1223830</v>
      </c>
      <c r="AF27" s="65">
        <f t="shared" si="3"/>
        <v>-211021</v>
      </c>
      <c r="AG27" s="65">
        <f t="shared" si="4"/>
        <v>-211021</v>
      </c>
      <c r="AH27" s="52">
        <v>1065228</v>
      </c>
      <c r="AI27" s="107">
        <v>1222673</v>
      </c>
      <c r="AJ27"/>
      <c r="AK27">
        <v>0</v>
      </c>
      <c r="AL27" s="165">
        <f>INDEX('FY 22 OFA Shell'!$AU$27:$AU$195,MATCH(Data!H27,'FY 22 OFA Shell'!$H$27:$H$195,0))</f>
        <v>1190095</v>
      </c>
      <c r="AM27" s="165">
        <f>Outputs!H32</f>
        <v>1012809</v>
      </c>
      <c r="AN27" s="165">
        <f>Outputs!G32+Outputs!D32+Outputs!F32</f>
        <v>1012809</v>
      </c>
      <c r="AO27" s="165">
        <v>1207585</v>
      </c>
      <c r="AP27" s="165">
        <f t="shared" si="5"/>
        <v>1222673</v>
      </c>
      <c r="AQ27" s="52" t="str">
        <f t="shared" si="6"/>
        <v>No</v>
      </c>
      <c r="AR27" s="308">
        <f>ABS(IF(AQ27="Yes",AF27*Inputs!$D$50,Data!AF27*Inputs!$D$51))</f>
        <v>0</v>
      </c>
      <c r="AS27" s="308">
        <f t="shared" si="17"/>
        <v>1190095</v>
      </c>
      <c r="AT27" s="308">
        <f t="shared" si="7"/>
        <v>1190095</v>
      </c>
      <c r="AU27" s="308"/>
      <c r="AV27" s="308">
        <f>ABS(IF($AQ27="Yes",$AF27*Inputs!E$50,Data!$AF27*Inputs!E$51))</f>
        <v>0</v>
      </c>
      <c r="AW27" s="308">
        <f>ABS(IF($AQ27="Yes",$AF27*Inputs!F$50,Data!$AF27*Inputs!F$51))</f>
        <v>17578.049299999999</v>
      </c>
      <c r="AX27" s="308">
        <f>ABS(IF($AQ27="Yes",$AF27*Inputs!G$50,Data!$AF27*Inputs!G$51))</f>
        <v>17578.049299999999</v>
      </c>
      <c r="AY27" s="308">
        <f>ABS(IF($AQ27="Yes",$AF27*Inputs!H$50,Data!$AF27*Inputs!H$51))</f>
        <v>17578.049299999999</v>
      </c>
      <c r="AZ27" s="308">
        <f>ABS(IF($AQ27="Yes",$AF27*Inputs!I$50,Data!$AF27*Inputs!I$51))</f>
        <v>17578.049299999999</v>
      </c>
      <c r="BA27" s="308">
        <f>ABS(IF($AQ27="Yes",$AF27*Inputs!J$50,Data!$AF27*Inputs!J$51))</f>
        <v>17578.049299999999</v>
      </c>
      <c r="BB27" s="308">
        <f>ABS(IF($AQ27="Yes",$AF27*Inputs!K$50,Data!$AF27*Inputs!K$51))</f>
        <v>17578.049299999999</v>
      </c>
      <c r="BC27" s="308">
        <f>ABS(IF($AQ27="Yes",$AF27*Inputs!L$50,Data!$AF27*Inputs!L$51))</f>
        <v>17578.049299999999</v>
      </c>
      <c r="BE27" s="308">
        <f t="shared" si="18"/>
        <v>1190095</v>
      </c>
      <c r="BF27" s="308">
        <f t="shared" si="19"/>
        <v>1172516.9506999999</v>
      </c>
      <c r="BG27" s="308">
        <f t="shared" si="20"/>
        <v>1154938.9013999999</v>
      </c>
      <c r="BH27" s="308">
        <f t="shared" si="21"/>
        <v>1137360.8520999998</v>
      </c>
      <c r="BI27" s="308">
        <f t="shared" si="22"/>
        <v>1119782.8027999997</v>
      </c>
      <c r="BJ27" s="308">
        <f t="shared" si="23"/>
        <v>1102204.7534999996</v>
      </c>
      <c r="BK27" s="308">
        <f t="shared" si="24"/>
        <v>1084626.7041999996</v>
      </c>
      <c r="BL27" s="308">
        <f t="shared" si="25"/>
        <v>1012809</v>
      </c>
      <c r="BN27" s="308">
        <f t="shared" si="8"/>
        <v>1190095</v>
      </c>
      <c r="BO27" s="308">
        <f t="shared" si="9"/>
        <v>1172516.9506999999</v>
      </c>
      <c r="BP27" s="308">
        <f t="shared" si="10"/>
        <v>1154938.9013999999</v>
      </c>
      <c r="BQ27" s="308">
        <f t="shared" si="11"/>
        <v>1137360.8520999998</v>
      </c>
      <c r="BR27" s="308">
        <f t="shared" si="12"/>
        <v>1119782.8027999997</v>
      </c>
      <c r="BS27" s="308">
        <f t="shared" si="13"/>
        <v>1102204.7534999996</v>
      </c>
      <c r="BT27" s="308">
        <f t="shared" si="14"/>
        <v>1084626.7041999996</v>
      </c>
      <c r="BU27" s="308">
        <f t="shared" si="26"/>
        <v>1012809</v>
      </c>
    </row>
    <row r="28" spans="1:73" ht="15" x14ac:dyDescent="0.2">
      <c r="A28" s="62" t="s">
        <v>23</v>
      </c>
      <c r="B28" s="55" t="s">
        <v>14</v>
      </c>
      <c r="C28" s="55"/>
      <c r="D28" s="55"/>
      <c r="E28" s="55"/>
      <c r="F28" s="55"/>
      <c r="G28" s="48">
        <v>4</v>
      </c>
      <c r="H28" s="55">
        <v>14</v>
      </c>
      <c r="I28" s="55">
        <f>INDEX('FY 22 OFA Shell'!$K$27:$K$195,MATCH(Data!H28,'FY 22 OFA Shell'!$H$27:$H$195,0))</f>
        <v>2622.38</v>
      </c>
      <c r="J28" s="55">
        <f>INDEX('FY 22 OFA Shell'!$N$27:$N$195,MATCH(Data!H28,'FY 22 OFA Shell'!$H$27:$H$195,0))</f>
        <v>953</v>
      </c>
      <c r="K28" s="64">
        <f>INDEX('FY 22 OFA Shell'!$S$27:$S$195,MATCH(Data!H28,'FY 22 OFA Shell'!$H$27:$H$195,0))</f>
        <v>149</v>
      </c>
      <c r="L28" s="150">
        <f t="shared" si="15"/>
        <v>0.36341033717462762</v>
      </c>
      <c r="M28" s="149">
        <f>MAX(((L28-Inputs!$E$23)*Data!I28)*Inputs!$E$24,0)</f>
        <v>0</v>
      </c>
      <c r="N28" s="151">
        <f>INDEX('FY 22 OFA Shell'!$V$27:$V$195,MATCH(Data!H28,'FY 22 OFA Shell'!$H$27:$H$195,0))</f>
        <v>5385857224.3299999</v>
      </c>
      <c r="O28" s="63">
        <f>INDEX('FY 22 OFA Shell'!$W$27:$W$195,MATCH(Data!H28,'FY 22 OFA Shell'!$H$27:$H$195,0))</f>
        <v>28094</v>
      </c>
      <c r="P28" s="65">
        <f>INDEX('FY 22 OFA Shell'!$Z$27:$Z$195,MATCH(Data!H28,'FY 22 OFA Shell'!$H$27:$H$195,0))</f>
        <v>80167</v>
      </c>
      <c r="Q28" s="63">
        <f>INDEX('FY 22 OFA Shell'!$AF$27:$AF$195,MATCH(Data!H28,'FY 22 OFA Shell'!$H$27:$H$195,0))</f>
        <v>0</v>
      </c>
      <c r="R28" s="66">
        <f>INDEX('FY 22 OFA Shell'!$AG$27:$AG$195,MATCH(Data!H28,'FY 22 OFA Shell'!$H$27:$H$195,0))</f>
        <v>0</v>
      </c>
      <c r="S28" s="66">
        <f>INDEX('FY 22 OFA Shell'!$AJ$27:$AJ$195,MATCH(Data!H28,'FY 22 OFA Shell'!$H$27:$H$195,0))</f>
        <v>0</v>
      </c>
      <c r="T28" s="66">
        <f>INDEX('FY 22 OFA Shell'!$AK$27:$AK$195,MATCH(Data!H28,'FY 22 OFA Shell'!$H$27:$H$195,0))</f>
        <v>0</v>
      </c>
      <c r="U28" s="135">
        <v>2211848</v>
      </c>
      <c r="V28" s="67">
        <f>ROUND(J28*Inputs!$E$22, 2)</f>
        <v>285.89999999999998</v>
      </c>
      <c r="W28" s="68">
        <f>I28+V28+K28*Inputs!$E$28+Data!M28</f>
        <v>2945.53</v>
      </c>
      <c r="X28" s="69">
        <f t="shared" si="2"/>
        <v>191708.45</v>
      </c>
      <c r="Y28" s="70">
        <f>ROUND(X28/Inputs!$E$32, 6)</f>
        <v>0.995749</v>
      </c>
      <c r="Z28" s="70">
        <f>ROUND(P28/Inputs!$E$33, 6)</f>
        <v>0.66531799999999996</v>
      </c>
      <c r="AA28" s="59">
        <f>ROUND(1-((Y28*Inputs!$E$29)+Z28*Inputs!$E$27), 6)</f>
        <v>0.10338</v>
      </c>
      <c r="AB28" s="59">
        <v>222.85510570848723</v>
      </c>
      <c r="AC28" s="73">
        <f>INDEX('FY 22 OFA Shell'!$G$27:$G$195,MATCH(Data!H28,'FY 22 OFA Shell'!$H$27:$H$195,0))</f>
        <v>97</v>
      </c>
      <c r="AD28" s="73">
        <f t="shared" si="16"/>
        <v>5</v>
      </c>
      <c r="AE28" s="65">
        <v>2211848</v>
      </c>
      <c r="AF28" s="65">
        <f t="shared" si="3"/>
        <v>1297617</v>
      </c>
      <c r="AG28" s="65">
        <f t="shared" si="4"/>
        <v>1297617</v>
      </c>
      <c r="AH28" s="52">
        <v>1847951</v>
      </c>
      <c r="AI28" s="107">
        <v>2288421.9369999999</v>
      </c>
      <c r="AJ28"/>
      <c r="AK28">
        <v>0</v>
      </c>
      <c r="AL28" s="165">
        <f>INDEX('FY 22 OFA Shell'!$AU$27:$AU$195,MATCH(Data!H28,'FY 22 OFA Shell'!$H$27:$H$195,0))</f>
        <v>2619087</v>
      </c>
      <c r="AM28" s="165">
        <f>Outputs!H33</f>
        <v>3509465</v>
      </c>
      <c r="AN28" s="165">
        <f>Outputs!G33+Outputs!D33+Outputs!F33</f>
        <v>3509465</v>
      </c>
      <c r="AO28" s="165">
        <v>2483809</v>
      </c>
      <c r="AP28" s="165">
        <f t="shared" si="5"/>
        <v>2288421.9369999999</v>
      </c>
      <c r="AQ28" s="52" t="str">
        <f t="shared" si="6"/>
        <v>Yes</v>
      </c>
      <c r="AR28" s="308">
        <f>ABS(IF(AQ28="Yes",AF28*Inputs!$D$50,Data!AF28*Inputs!$D$51))</f>
        <v>138325.97219999999</v>
      </c>
      <c r="AS28" s="308">
        <f t="shared" si="17"/>
        <v>2757412.9722000002</v>
      </c>
      <c r="AT28" s="308">
        <f t="shared" si="7"/>
        <v>2757412.9722000002</v>
      </c>
      <c r="AU28" s="308"/>
      <c r="AV28" s="308">
        <f>ABS(IF($AQ28="Yes",$AF28*Inputs!E$50,Data!$AF28*Inputs!E$51))</f>
        <v>138325.97219999999</v>
      </c>
      <c r="AW28" s="308">
        <f>ABS(IF($AQ28="Yes",$AF28*Inputs!F$50,Data!$AF28*Inputs!F$51))</f>
        <v>138325.97219999999</v>
      </c>
      <c r="AX28" s="308">
        <f>ABS(IF($AQ28="Yes",$AF28*Inputs!G$50,Data!$AF28*Inputs!G$51))</f>
        <v>138325.97219999999</v>
      </c>
      <c r="AY28" s="308">
        <f>ABS(IF($AQ28="Yes",$AF28*Inputs!H$50,Data!$AF28*Inputs!H$51))</f>
        <v>138325.97219999999</v>
      </c>
      <c r="AZ28" s="308">
        <f>ABS(IF($AQ28="Yes",$AF28*Inputs!I$50,Data!$AF28*Inputs!I$51))</f>
        <v>138325.97219999999</v>
      </c>
      <c r="BA28" s="308">
        <f>ABS(IF($AQ28="Yes",$AF28*Inputs!J$50,Data!$AF28*Inputs!J$51))</f>
        <v>138325.97219999999</v>
      </c>
      <c r="BB28" s="308">
        <f>ABS(IF($AQ28="Yes",$AF28*Inputs!K$50,Data!$AF28*Inputs!K$51))</f>
        <v>0</v>
      </c>
      <c r="BC28" s="308">
        <f>ABS(IF($AQ28="Yes",$AF28*Inputs!L$50,Data!$AF28*Inputs!L$51))</f>
        <v>0</v>
      </c>
      <c r="BE28" s="308">
        <f t="shared" si="18"/>
        <v>2895738.9444000004</v>
      </c>
      <c r="BF28" s="308">
        <f t="shared" si="19"/>
        <v>3034064.9166000006</v>
      </c>
      <c r="BG28" s="308">
        <f t="shared" si="20"/>
        <v>3172390.8888000008</v>
      </c>
      <c r="BH28" s="308">
        <f t="shared" si="21"/>
        <v>3310716.861000001</v>
      </c>
      <c r="BI28" s="308">
        <f t="shared" si="22"/>
        <v>3449042.8332000012</v>
      </c>
      <c r="BJ28" s="308">
        <f t="shared" si="23"/>
        <v>3509465</v>
      </c>
      <c r="BK28" s="308">
        <f t="shared" si="24"/>
        <v>3509465</v>
      </c>
      <c r="BL28" s="308">
        <f t="shared" si="25"/>
        <v>3509465</v>
      </c>
      <c r="BN28" s="308">
        <f t="shared" si="8"/>
        <v>2895738.9444000004</v>
      </c>
      <c r="BO28" s="308">
        <f t="shared" si="9"/>
        <v>3034064.9166000006</v>
      </c>
      <c r="BP28" s="308">
        <f t="shared" si="10"/>
        <v>3172390.8888000008</v>
      </c>
      <c r="BQ28" s="308">
        <f t="shared" si="11"/>
        <v>3310716.861000001</v>
      </c>
      <c r="BR28" s="308">
        <f t="shared" si="12"/>
        <v>3449042.8332000012</v>
      </c>
      <c r="BS28" s="308">
        <f t="shared" si="13"/>
        <v>3509465</v>
      </c>
      <c r="BT28" s="308">
        <f t="shared" si="14"/>
        <v>3509465</v>
      </c>
      <c r="BU28" s="308">
        <f t="shared" si="26"/>
        <v>3509465</v>
      </c>
    </row>
    <row r="29" spans="1:73" ht="15" x14ac:dyDescent="0.2">
      <c r="A29" s="62" t="s">
        <v>25</v>
      </c>
      <c r="B29" s="55" t="s">
        <v>24</v>
      </c>
      <c r="C29" s="55">
        <v>1</v>
      </c>
      <c r="D29" s="55">
        <v>1</v>
      </c>
      <c r="E29" s="55">
        <v>0</v>
      </c>
      <c r="F29" s="55">
        <v>1</v>
      </c>
      <c r="G29" s="48">
        <v>10</v>
      </c>
      <c r="H29" s="55">
        <v>15</v>
      </c>
      <c r="I29" s="55">
        <f>INDEX('FY 22 OFA Shell'!$K$27:$K$195,MATCH(Data!H29,'FY 22 OFA Shell'!$H$27:$H$195,0))</f>
        <v>19150.59</v>
      </c>
      <c r="J29" s="55">
        <f>INDEX('FY 22 OFA Shell'!$N$27:$N$195,MATCH(Data!H29,'FY 22 OFA Shell'!$H$27:$H$195,0))</f>
        <v>13000</v>
      </c>
      <c r="K29" s="64">
        <f>INDEX('FY 22 OFA Shell'!$S$27:$S$195,MATCH(Data!H29,'FY 22 OFA Shell'!$H$27:$H$195,0))</f>
        <v>3972</v>
      </c>
      <c r="L29" s="150">
        <f t="shared" si="15"/>
        <v>0.67883026058204998</v>
      </c>
      <c r="M29" s="149">
        <f>MAX(((L29-Inputs!$E$23)*Data!I29)*Inputs!$E$24,0)</f>
        <v>226.44690000000017</v>
      </c>
      <c r="N29" s="151">
        <f>INDEX('FY 22 OFA Shell'!$V$27:$V$195,MATCH(Data!H29,'FY 22 OFA Shell'!$H$27:$H$195,0))</f>
        <v>9990188970</v>
      </c>
      <c r="O29" s="63">
        <f>INDEX('FY 22 OFA Shell'!$W$27:$W$195,MATCH(Data!H29,'FY 22 OFA Shell'!$H$27:$H$195,0))</f>
        <v>146417</v>
      </c>
      <c r="P29" s="65">
        <f>INDEX('FY 22 OFA Shell'!$Z$27:$Z$195,MATCH(Data!H29,'FY 22 OFA Shell'!$H$27:$H$195,0))</f>
        <v>45441</v>
      </c>
      <c r="Q29" s="63">
        <f>INDEX('FY 22 OFA Shell'!$AF$27:$AF$195,MATCH(Data!H29,'FY 22 OFA Shell'!$H$27:$H$195,0))</f>
        <v>0</v>
      </c>
      <c r="R29" s="66">
        <f>INDEX('FY 22 OFA Shell'!$AG$27:$AG$195,MATCH(Data!H29,'FY 22 OFA Shell'!$H$27:$H$195,0))</f>
        <v>0</v>
      </c>
      <c r="S29" s="66">
        <f>INDEX('FY 22 OFA Shell'!$AJ$27:$AJ$195,MATCH(Data!H29,'FY 22 OFA Shell'!$H$27:$H$195,0))</f>
        <v>0</v>
      </c>
      <c r="T29" s="66">
        <f>INDEX('FY 22 OFA Shell'!$AK$27:$AK$195,MATCH(Data!H29,'FY 22 OFA Shell'!$H$27:$H$195,0))</f>
        <v>0</v>
      </c>
      <c r="U29" s="135">
        <v>181105390</v>
      </c>
      <c r="V29" s="67">
        <f>ROUND(J29*Inputs!$E$22, 2)</f>
        <v>3900</v>
      </c>
      <c r="W29" s="68">
        <f>I29+V29+K29*Inputs!$E$28+Data!M29</f>
        <v>24270.036899999999</v>
      </c>
      <c r="X29" s="69">
        <f t="shared" si="2"/>
        <v>68231.070000000007</v>
      </c>
      <c r="Y29" s="70">
        <f>ROUND(X29/Inputs!$E$32, 6)</f>
        <v>0.35439799999999999</v>
      </c>
      <c r="Z29" s="70">
        <f>ROUND(P29/Inputs!$E$33, 6)</f>
        <v>0.37712200000000001</v>
      </c>
      <c r="AA29" s="59">
        <f>ROUND(1-((Y29*Inputs!$E$29)+Z29*Inputs!$E$27), 6)</f>
        <v>0.63878500000000005</v>
      </c>
      <c r="AB29" s="59">
        <v>397.81711319548151</v>
      </c>
      <c r="AC29" s="73">
        <f>INDEX('FY 22 OFA Shell'!$G$27:$G$195,MATCH(Data!H29,'FY 22 OFA Shell'!$H$27:$H$195,0))</f>
        <v>5</v>
      </c>
      <c r="AD29" s="73">
        <f t="shared" si="16"/>
        <v>1</v>
      </c>
      <c r="AE29" s="65">
        <v>181105390</v>
      </c>
      <c r="AF29" s="65">
        <f t="shared" si="3"/>
        <v>14353282</v>
      </c>
      <c r="AG29" s="65">
        <f t="shared" si="4"/>
        <v>14353282</v>
      </c>
      <c r="AH29" s="52">
        <v>180855390</v>
      </c>
      <c r="AI29" s="107">
        <v>182231356.43599999</v>
      </c>
      <c r="AJ29">
        <v>206</v>
      </c>
      <c r="AK29">
        <v>262132.51426064063</v>
      </c>
      <c r="AL29" s="165">
        <f>INDEX('FY 22 OFA Shell'!$AU$27:$AU$195,MATCH(Data!H29,'FY 22 OFA Shell'!$H$27:$H$195,0))</f>
        <v>187414378</v>
      </c>
      <c r="AM29" s="165">
        <f>Outputs!H34</f>
        <v>195458672</v>
      </c>
      <c r="AN29" s="165">
        <f>Outputs!G34+Outputs!D34+Outputs!F34</f>
        <v>195458672</v>
      </c>
      <c r="AO29" s="165">
        <v>185090874</v>
      </c>
      <c r="AP29" s="165">
        <f t="shared" si="5"/>
        <v>182493488.95026064</v>
      </c>
      <c r="AQ29" s="52" t="str">
        <f t="shared" si="6"/>
        <v>Yes</v>
      </c>
      <c r="AR29" s="308">
        <f>ABS(IF(AQ29="Yes",AF29*Inputs!$D$50,Data!AF29*Inputs!$D$51))</f>
        <v>1530059.8611999999</v>
      </c>
      <c r="AS29" s="308">
        <f t="shared" si="17"/>
        <v>188944437.8612</v>
      </c>
      <c r="AT29" s="308">
        <f t="shared" si="7"/>
        <v>188944437.8612</v>
      </c>
      <c r="AU29" s="308"/>
      <c r="AV29" s="308">
        <f>ABS(IF($AQ29="Yes",$AF29*Inputs!E$50,Data!$AF29*Inputs!E$51))</f>
        <v>1530059.8611999999</v>
      </c>
      <c r="AW29" s="308">
        <f>ABS(IF($AQ29="Yes",$AF29*Inputs!F$50,Data!$AF29*Inputs!F$51))</f>
        <v>1530059.8611999999</v>
      </c>
      <c r="AX29" s="308">
        <f>ABS(IF($AQ29="Yes",$AF29*Inputs!G$50,Data!$AF29*Inputs!G$51))</f>
        <v>1530059.8611999999</v>
      </c>
      <c r="AY29" s="308">
        <f>ABS(IF($AQ29="Yes",$AF29*Inputs!H$50,Data!$AF29*Inputs!H$51))</f>
        <v>1530059.8611999999</v>
      </c>
      <c r="AZ29" s="308">
        <f>ABS(IF($AQ29="Yes",$AF29*Inputs!I$50,Data!$AF29*Inputs!I$51))</f>
        <v>1530059.8611999999</v>
      </c>
      <c r="BA29" s="308">
        <f>ABS(IF($AQ29="Yes",$AF29*Inputs!J$50,Data!$AF29*Inputs!J$51))</f>
        <v>1530059.8611999999</v>
      </c>
      <c r="BB29" s="308">
        <f>ABS(IF($AQ29="Yes",$AF29*Inputs!K$50,Data!$AF29*Inputs!K$51))</f>
        <v>0</v>
      </c>
      <c r="BC29" s="308">
        <f>ABS(IF($AQ29="Yes",$AF29*Inputs!L$50,Data!$AF29*Inputs!L$51))</f>
        <v>0</v>
      </c>
      <c r="BE29" s="308">
        <f t="shared" si="18"/>
        <v>190474497.72240001</v>
      </c>
      <c r="BF29" s="308">
        <f t="shared" si="19"/>
        <v>192004557.58360001</v>
      </c>
      <c r="BG29" s="308">
        <f t="shared" si="20"/>
        <v>193534617.44480002</v>
      </c>
      <c r="BH29" s="308">
        <f t="shared" si="21"/>
        <v>195064677.30600002</v>
      </c>
      <c r="BI29" s="308">
        <f t="shared" si="22"/>
        <v>196594737.16720003</v>
      </c>
      <c r="BJ29" s="308">
        <f t="shared" si="23"/>
        <v>195458672</v>
      </c>
      <c r="BK29" s="308">
        <f t="shared" si="24"/>
        <v>195458672</v>
      </c>
      <c r="BL29" s="308">
        <f t="shared" si="25"/>
        <v>195458672</v>
      </c>
      <c r="BN29" s="308">
        <f t="shared" si="8"/>
        <v>190474497.72240001</v>
      </c>
      <c r="BO29" s="308">
        <f t="shared" si="9"/>
        <v>192004557.58360001</v>
      </c>
      <c r="BP29" s="308">
        <f t="shared" si="10"/>
        <v>193534617.44480002</v>
      </c>
      <c r="BQ29" s="308">
        <f t="shared" si="11"/>
        <v>195064677.30600002</v>
      </c>
      <c r="BR29" s="308">
        <f t="shared" si="12"/>
        <v>196594737.16720003</v>
      </c>
      <c r="BS29" s="308">
        <f t="shared" si="13"/>
        <v>195458672</v>
      </c>
      <c r="BT29" s="308">
        <f t="shared" si="14"/>
        <v>195458672</v>
      </c>
      <c r="BU29" s="308">
        <f t="shared" si="26"/>
        <v>195458672</v>
      </c>
    </row>
    <row r="30" spans="1:73" ht="15" x14ac:dyDescent="0.2">
      <c r="A30" s="62" t="s">
        <v>26</v>
      </c>
      <c r="B30" s="55" t="s">
        <v>4</v>
      </c>
      <c r="C30" s="55"/>
      <c r="D30" s="55"/>
      <c r="E30" s="55"/>
      <c r="F30" s="55"/>
      <c r="G30" s="48">
        <v>2</v>
      </c>
      <c r="H30" s="55">
        <v>16</v>
      </c>
      <c r="I30" s="55">
        <f>INDEX('FY 22 OFA Shell'!$K$27:$K$195,MATCH(Data!H30,'FY 22 OFA Shell'!$H$27:$H$195,0))</f>
        <v>112</v>
      </c>
      <c r="J30" s="55">
        <f>INDEX('FY 22 OFA Shell'!$N$27:$N$195,MATCH(Data!H30,'FY 22 OFA Shell'!$H$27:$H$195,0))</f>
        <v>11</v>
      </c>
      <c r="K30" s="64">
        <f>INDEX('FY 22 OFA Shell'!$S$27:$S$195,MATCH(Data!H30,'FY 22 OFA Shell'!$H$27:$H$195,0))</f>
        <v>0</v>
      </c>
      <c r="L30" s="150">
        <f t="shared" si="15"/>
        <v>9.8214285714285712E-2</v>
      </c>
      <c r="M30" s="149">
        <f>MAX(((L30-Inputs!$E$23)*Data!I30)*Inputs!$E$24,0)</f>
        <v>0</v>
      </c>
      <c r="N30" s="151">
        <f>INDEX('FY 22 OFA Shell'!$V$27:$V$195,MATCH(Data!H30,'FY 22 OFA Shell'!$H$27:$H$195,0))</f>
        <v>531347514.67000002</v>
      </c>
      <c r="O30" s="63">
        <f>INDEX('FY 22 OFA Shell'!$W$27:$W$195,MATCH(Data!H30,'FY 22 OFA Shell'!$H$27:$H$195,0))</f>
        <v>1706</v>
      </c>
      <c r="P30" s="65">
        <f>INDEX('FY 22 OFA Shell'!$Z$27:$Z$195,MATCH(Data!H30,'FY 22 OFA Shell'!$H$27:$H$195,0))</f>
        <v>106429</v>
      </c>
      <c r="Q30" s="63">
        <f>INDEX('FY 22 OFA Shell'!$AF$27:$AF$195,MATCH(Data!H30,'FY 22 OFA Shell'!$H$27:$H$195,0))</f>
        <v>112</v>
      </c>
      <c r="R30" s="66">
        <f>INDEX('FY 22 OFA Shell'!$AG$27:$AG$195,MATCH(Data!H30,'FY 22 OFA Shell'!$H$27:$H$195,0))</f>
        <v>13</v>
      </c>
      <c r="S30" s="66">
        <f>INDEX('FY 22 OFA Shell'!$AJ$27:$AJ$195,MATCH(Data!H30,'FY 22 OFA Shell'!$H$27:$H$195,0))</f>
        <v>0</v>
      </c>
      <c r="T30" s="66">
        <f>INDEX('FY 22 OFA Shell'!$AK$27:$AK$195,MATCH(Data!H30,'FY 22 OFA Shell'!$H$27:$H$195,0))</f>
        <v>0</v>
      </c>
      <c r="U30" s="135">
        <v>23014</v>
      </c>
      <c r="V30" s="67">
        <f>ROUND(J30*Inputs!$E$22, 2)</f>
        <v>3.3</v>
      </c>
      <c r="W30" s="68">
        <f>I30+V30+K30*Inputs!$E$28+Data!M30</f>
        <v>115.3</v>
      </c>
      <c r="X30" s="69">
        <f t="shared" si="2"/>
        <v>311458.09999999998</v>
      </c>
      <c r="Y30" s="70">
        <f>ROUND(X30/Inputs!$E$32, 6)</f>
        <v>1.617739</v>
      </c>
      <c r="Z30" s="70">
        <f>ROUND(P30/Inputs!$E$33, 6)</f>
        <v>0.88327</v>
      </c>
      <c r="AA30" s="59">
        <f>ROUND(1-((Y30*Inputs!$E$29)+Z30*Inputs!$E$27), 6)</f>
        <v>-0.39739799999999997</v>
      </c>
      <c r="AB30" s="59">
        <v>150.0220998260566</v>
      </c>
      <c r="AC30" s="73">
        <f>INDEX('FY 22 OFA Shell'!$G$27:$G$195,MATCH(Data!H30,'FY 22 OFA Shell'!$H$27:$H$195,0))</f>
        <v>155</v>
      </c>
      <c r="AD30" s="73">
        <f t="shared" si="16"/>
        <v>5</v>
      </c>
      <c r="AE30" s="65">
        <v>23014</v>
      </c>
      <c r="AF30" s="65">
        <f t="shared" si="3"/>
        <v>135874</v>
      </c>
      <c r="AG30" s="65">
        <f t="shared" si="4"/>
        <v>135874</v>
      </c>
      <c r="AH30" s="52">
        <v>19802</v>
      </c>
      <c r="AI30" s="107">
        <v>23078.534</v>
      </c>
      <c r="AJ30"/>
      <c r="AK30">
        <v>0</v>
      </c>
      <c r="AL30" s="165">
        <f>INDEX('FY 22 OFA Shell'!$AU$27:$AU$195,MATCH(Data!H30,'FY 22 OFA Shell'!$H$27:$H$195,0))</f>
        <v>23564</v>
      </c>
      <c r="AM30" s="165">
        <f>Outputs!H35</f>
        <v>158888</v>
      </c>
      <c r="AN30" s="165">
        <f>Outputs!G35+Outputs!D35+Outputs!F35</f>
        <v>158888</v>
      </c>
      <c r="AO30" s="165">
        <v>23267</v>
      </c>
      <c r="AP30" s="165">
        <f t="shared" si="5"/>
        <v>23078.534</v>
      </c>
      <c r="AQ30" s="52" t="str">
        <f t="shared" si="6"/>
        <v>Yes</v>
      </c>
      <c r="AR30" s="308">
        <f>ABS(IF(AQ30="Yes",AF30*Inputs!$D$50,Data!AF30*Inputs!$D$51))</f>
        <v>14484.1684</v>
      </c>
      <c r="AS30" s="308">
        <f t="shared" si="17"/>
        <v>38048.168400000002</v>
      </c>
      <c r="AT30" s="308">
        <f t="shared" si="7"/>
        <v>38048.168400000002</v>
      </c>
      <c r="AU30" s="308"/>
      <c r="AV30" s="308">
        <f>ABS(IF($AQ30="Yes",$AF30*Inputs!E$50,Data!$AF30*Inputs!E$51))</f>
        <v>14484.1684</v>
      </c>
      <c r="AW30" s="308">
        <f>ABS(IF($AQ30="Yes",$AF30*Inputs!F$50,Data!$AF30*Inputs!F$51))</f>
        <v>14484.1684</v>
      </c>
      <c r="AX30" s="308">
        <f>ABS(IF($AQ30="Yes",$AF30*Inputs!G$50,Data!$AF30*Inputs!G$51))</f>
        <v>14484.1684</v>
      </c>
      <c r="AY30" s="308">
        <f>ABS(IF($AQ30="Yes",$AF30*Inputs!H$50,Data!$AF30*Inputs!H$51))</f>
        <v>14484.1684</v>
      </c>
      <c r="AZ30" s="308">
        <f>ABS(IF($AQ30="Yes",$AF30*Inputs!I$50,Data!$AF30*Inputs!I$51))</f>
        <v>14484.1684</v>
      </c>
      <c r="BA30" s="308">
        <f>ABS(IF($AQ30="Yes",$AF30*Inputs!J$50,Data!$AF30*Inputs!J$51))</f>
        <v>14484.1684</v>
      </c>
      <c r="BB30" s="308">
        <f>ABS(IF($AQ30="Yes",$AF30*Inputs!K$50,Data!$AF30*Inputs!K$51))</f>
        <v>0</v>
      </c>
      <c r="BC30" s="308">
        <f>ABS(IF($AQ30="Yes",$AF30*Inputs!L$50,Data!$AF30*Inputs!L$51))</f>
        <v>0</v>
      </c>
      <c r="BE30" s="308">
        <f t="shared" si="18"/>
        <v>52532.336800000005</v>
      </c>
      <c r="BF30" s="308">
        <f t="shared" si="19"/>
        <v>67016.5052</v>
      </c>
      <c r="BG30" s="308">
        <f t="shared" si="20"/>
        <v>81500.673599999995</v>
      </c>
      <c r="BH30" s="308">
        <f t="shared" si="21"/>
        <v>95984.84199999999</v>
      </c>
      <c r="BI30" s="308">
        <f t="shared" si="22"/>
        <v>110469.01039999998</v>
      </c>
      <c r="BJ30" s="308">
        <f t="shared" si="23"/>
        <v>158888</v>
      </c>
      <c r="BK30" s="308">
        <f t="shared" si="24"/>
        <v>158888</v>
      </c>
      <c r="BL30" s="308">
        <f t="shared" si="25"/>
        <v>158888</v>
      </c>
      <c r="BN30" s="308">
        <f t="shared" si="8"/>
        <v>52532.336800000005</v>
      </c>
      <c r="BO30" s="308">
        <f t="shared" si="9"/>
        <v>67016.5052</v>
      </c>
      <c r="BP30" s="308">
        <f t="shared" si="10"/>
        <v>81500.673599999995</v>
      </c>
      <c r="BQ30" s="308">
        <f t="shared" si="11"/>
        <v>95984.84199999999</v>
      </c>
      <c r="BR30" s="308">
        <f t="shared" si="12"/>
        <v>110469.01039999998</v>
      </c>
      <c r="BS30" s="308">
        <f t="shared" si="13"/>
        <v>158888</v>
      </c>
      <c r="BT30" s="308">
        <f t="shared" si="14"/>
        <v>158888</v>
      </c>
      <c r="BU30" s="308">
        <f t="shared" si="26"/>
        <v>158888</v>
      </c>
    </row>
    <row r="31" spans="1:73" ht="15" x14ac:dyDescent="0.2">
      <c r="A31" s="62" t="s">
        <v>27</v>
      </c>
      <c r="B31" s="55" t="s">
        <v>19</v>
      </c>
      <c r="C31" s="55"/>
      <c r="D31" s="55">
        <v>1</v>
      </c>
      <c r="E31" s="55">
        <v>1</v>
      </c>
      <c r="F31" s="55"/>
      <c r="G31" s="48">
        <v>9</v>
      </c>
      <c r="H31" s="55">
        <v>17</v>
      </c>
      <c r="I31" s="55">
        <f>INDEX('FY 22 OFA Shell'!$K$27:$K$195,MATCH(Data!H31,'FY 22 OFA Shell'!$H$27:$H$195,0))</f>
        <v>7929.3</v>
      </c>
      <c r="J31" s="55">
        <f>INDEX('FY 22 OFA Shell'!$N$27:$N$195,MATCH(Data!H31,'FY 22 OFA Shell'!$H$27:$H$195,0))</f>
        <v>4333</v>
      </c>
      <c r="K31" s="64">
        <f>INDEX('FY 22 OFA Shell'!$S$27:$S$195,MATCH(Data!H31,'FY 22 OFA Shell'!$H$27:$H$195,0))</f>
        <v>407</v>
      </c>
      <c r="L31" s="150">
        <f t="shared" si="15"/>
        <v>0.54645428978598365</v>
      </c>
      <c r="M31" s="149">
        <f>MAX(((L31-Inputs!$E$23)*Data!I31)*Inputs!$E$24,0)</f>
        <v>0</v>
      </c>
      <c r="N31" s="151">
        <f>INDEX('FY 22 OFA Shell'!$V$27:$V$195,MATCH(Data!H31,'FY 22 OFA Shell'!$H$27:$H$195,0))</f>
        <v>5870571310.3299999</v>
      </c>
      <c r="O31" s="63">
        <f>INDEX('FY 22 OFA Shell'!$W$27:$W$195,MATCH(Data!H31,'FY 22 OFA Shell'!$H$27:$H$195,0))</f>
        <v>60308</v>
      </c>
      <c r="P31" s="65">
        <f>INDEX('FY 22 OFA Shell'!$Z$27:$Z$195,MATCH(Data!H31,'FY 22 OFA Shell'!$H$27:$H$195,0))</f>
        <v>66829</v>
      </c>
      <c r="Q31" s="63">
        <f>INDEX('FY 22 OFA Shell'!$AF$27:$AF$195,MATCH(Data!H31,'FY 22 OFA Shell'!$H$27:$H$195,0))</f>
        <v>0</v>
      </c>
      <c r="R31" s="66">
        <f>INDEX('FY 22 OFA Shell'!$AG$27:$AG$195,MATCH(Data!H31,'FY 22 OFA Shell'!$H$27:$H$195,0))</f>
        <v>0</v>
      </c>
      <c r="S31" s="66">
        <f>INDEX('FY 22 OFA Shell'!$AJ$27:$AJ$195,MATCH(Data!H31,'FY 22 OFA Shell'!$H$27:$H$195,0))</f>
        <v>0</v>
      </c>
      <c r="T31" s="66">
        <f>INDEX('FY 22 OFA Shell'!$AK$27:$AK$195,MATCH(Data!H31,'FY 22 OFA Shell'!$H$27:$H$195,0))</f>
        <v>0</v>
      </c>
      <c r="U31" s="135">
        <v>44853676</v>
      </c>
      <c r="V31" s="67">
        <f>ROUND(J31*Inputs!$E$22, 2)</f>
        <v>1299.9000000000001</v>
      </c>
      <c r="W31" s="68">
        <f>I31+V31+K31*Inputs!$E$28+Data!M31</f>
        <v>9330.9500000000007</v>
      </c>
      <c r="X31" s="69">
        <f t="shared" si="2"/>
        <v>97343.16</v>
      </c>
      <c r="Y31" s="70">
        <f>ROUND(X31/Inputs!$E$32, 6)</f>
        <v>0.50560799999999995</v>
      </c>
      <c r="Z31" s="70">
        <f>ROUND(P31/Inputs!$E$33, 6)</f>
        <v>0.55462400000000001</v>
      </c>
      <c r="AA31" s="59">
        <f>ROUND(1-((Y31*Inputs!$E$29)+Z31*Inputs!$E$27), 6)</f>
        <v>0.47968699999999997</v>
      </c>
      <c r="AB31" s="59">
        <v>306.66985383575292</v>
      </c>
      <c r="AC31" s="73">
        <f>INDEX('FY 22 OFA Shell'!$G$27:$G$195,MATCH(Data!H31,'FY 22 OFA Shell'!$H$27:$H$195,0))</f>
        <v>20</v>
      </c>
      <c r="AD31" s="73">
        <f t="shared" si="16"/>
        <v>5</v>
      </c>
      <c r="AE31" s="65">
        <v>44853676</v>
      </c>
      <c r="AF31" s="65">
        <f t="shared" si="3"/>
        <v>6731480</v>
      </c>
      <c r="AG31" s="65">
        <f t="shared" si="4"/>
        <v>6731480</v>
      </c>
      <c r="AH31" s="52">
        <v>44603676</v>
      </c>
      <c r="AI31" s="107">
        <v>45264508.997000001</v>
      </c>
      <c r="AJ31">
        <v>47</v>
      </c>
      <c r="AK31">
        <v>59806.932865291797</v>
      </c>
      <c r="AL31" s="165">
        <f>INDEX('FY 22 OFA Shell'!$AU$27:$AU$195,MATCH(Data!H31,'FY 22 OFA Shell'!$H$27:$H$195,0))</f>
        <v>47424566</v>
      </c>
      <c r="AM31" s="165">
        <f>Outputs!H36</f>
        <v>51585156</v>
      </c>
      <c r="AN31" s="165">
        <f>Outputs!G36+Outputs!D36+Outputs!F36</f>
        <v>51585156</v>
      </c>
      <c r="AO31" s="165">
        <v>46286500</v>
      </c>
      <c r="AP31" s="165">
        <f t="shared" si="5"/>
        <v>45324315.929865293</v>
      </c>
      <c r="AQ31" s="52" t="str">
        <f t="shared" si="6"/>
        <v>Yes</v>
      </c>
      <c r="AR31" s="308">
        <f>ABS(IF(AQ31="Yes",AF31*Inputs!$D$50,Data!AF31*Inputs!$D$51))</f>
        <v>717575.76800000004</v>
      </c>
      <c r="AS31" s="308">
        <f t="shared" si="17"/>
        <v>48142141.767999999</v>
      </c>
      <c r="AT31" s="308">
        <f t="shared" si="7"/>
        <v>48142141.767999999</v>
      </c>
      <c r="AU31" s="308"/>
      <c r="AV31" s="308">
        <f>ABS(IF($AQ31="Yes",$AF31*Inputs!E$50,Data!$AF31*Inputs!E$51))</f>
        <v>717575.76800000004</v>
      </c>
      <c r="AW31" s="308">
        <f>ABS(IF($AQ31="Yes",$AF31*Inputs!F$50,Data!$AF31*Inputs!F$51))</f>
        <v>717575.76800000004</v>
      </c>
      <c r="AX31" s="308">
        <f>ABS(IF($AQ31="Yes",$AF31*Inputs!G$50,Data!$AF31*Inputs!G$51))</f>
        <v>717575.76800000004</v>
      </c>
      <c r="AY31" s="308">
        <f>ABS(IF($AQ31="Yes",$AF31*Inputs!H$50,Data!$AF31*Inputs!H$51))</f>
        <v>717575.76800000004</v>
      </c>
      <c r="AZ31" s="308">
        <f>ABS(IF($AQ31="Yes",$AF31*Inputs!I$50,Data!$AF31*Inputs!I$51))</f>
        <v>717575.76800000004</v>
      </c>
      <c r="BA31" s="308">
        <f>ABS(IF($AQ31="Yes",$AF31*Inputs!J$50,Data!$AF31*Inputs!J$51))</f>
        <v>717575.76800000004</v>
      </c>
      <c r="BB31" s="308">
        <f>ABS(IF($AQ31="Yes",$AF31*Inputs!K$50,Data!$AF31*Inputs!K$51))</f>
        <v>0</v>
      </c>
      <c r="BC31" s="308">
        <f>ABS(IF($AQ31="Yes",$AF31*Inputs!L$50,Data!$AF31*Inputs!L$51))</f>
        <v>0</v>
      </c>
      <c r="BE31" s="308">
        <f t="shared" si="18"/>
        <v>48859717.535999998</v>
      </c>
      <c r="BF31" s="308">
        <f t="shared" si="19"/>
        <v>49577293.303999998</v>
      </c>
      <c r="BG31" s="308">
        <f t="shared" si="20"/>
        <v>50294869.071999997</v>
      </c>
      <c r="BH31" s="308">
        <f t="shared" si="21"/>
        <v>51012444.839999996</v>
      </c>
      <c r="BI31" s="308">
        <f t="shared" si="22"/>
        <v>51730020.607999995</v>
      </c>
      <c r="BJ31" s="308">
        <f t="shared" si="23"/>
        <v>51585156</v>
      </c>
      <c r="BK31" s="308">
        <f t="shared" si="24"/>
        <v>51585156</v>
      </c>
      <c r="BL31" s="308">
        <f t="shared" si="25"/>
        <v>51585156</v>
      </c>
      <c r="BN31" s="308">
        <f t="shared" si="8"/>
        <v>48859717.535999998</v>
      </c>
      <c r="BO31" s="308">
        <f t="shared" si="9"/>
        <v>49577293.303999998</v>
      </c>
      <c r="BP31" s="308">
        <f t="shared" si="10"/>
        <v>50294869.071999997</v>
      </c>
      <c r="BQ31" s="308">
        <f t="shared" si="11"/>
        <v>51012444.839999996</v>
      </c>
      <c r="BR31" s="308">
        <f t="shared" si="12"/>
        <v>51730020.607999995</v>
      </c>
      <c r="BS31" s="308">
        <f t="shared" si="13"/>
        <v>51585156</v>
      </c>
      <c r="BT31" s="308">
        <f t="shared" si="14"/>
        <v>51585156</v>
      </c>
      <c r="BU31" s="308">
        <f t="shared" si="26"/>
        <v>51585156</v>
      </c>
    </row>
    <row r="32" spans="1:73" ht="15" x14ac:dyDescent="0.2">
      <c r="A32" s="62" t="s">
        <v>28</v>
      </c>
      <c r="B32" s="55" t="s">
        <v>10</v>
      </c>
      <c r="C32" s="55"/>
      <c r="D32" s="55"/>
      <c r="E32" s="55"/>
      <c r="F32" s="55"/>
      <c r="G32" s="48">
        <v>2</v>
      </c>
      <c r="H32" s="55">
        <v>18</v>
      </c>
      <c r="I32" s="55">
        <f>INDEX('FY 22 OFA Shell'!$K$27:$K$195,MATCH(Data!H32,'FY 22 OFA Shell'!$H$27:$H$195,0))</f>
        <v>2601.5</v>
      </c>
      <c r="J32" s="55">
        <f>INDEX('FY 22 OFA Shell'!$N$27:$N$195,MATCH(Data!H32,'FY 22 OFA Shell'!$H$27:$H$195,0))</f>
        <v>540</v>
      </c>
      <c r="K32" s="64">
        <f>INDEX('FY 22 OFA Shell'!$S$27:$S$195,MATCH(Data!H32,'FY 22 OFA Shell'!$H$27:$H$195,0))</f>
        <v>92</v>
      </c>
      <c r="L32" s="150">
        <f t="shared" si="15"/>
        <v>0.2075725542955987</v>
      </c>
      <c r="M32" s="149">
        <f>MAX(((L32-Inputs!$E$23)*Data!I32)*Inputs!$E$24,0)</f>
        <v>0</v>
      </c>
      <c r="N32" s="151">
        <f>INDEX('FY 22 OFA Shell'!$V$27:$V$195,MATCH(Data!H32,'FY 22 OFA Shell'!$H$27:$H$195,0))</f>
        <v>3411056588</v>
      </c>
      <c r="O32" s="63">
        <f>INDEX('FY 22 OFA Shell'!$W$27:$W$195,MATCH(Data!H32,'FY 22 OFA Shell'!$H$27:$H$195,0))</f>
        <v>17013</v>
      </c>
      <c r="P32" s="65">
        <f>INDEX('FY 22 OFA Shell'!$Z$27:$Z$195,MATCH(Data!H32,'FY 22 OFA Shell'!$H$27:$H$195,0))</f>
        <v>107255</v>
      </c>
      <c r="Q32" s="63">
        <f>INDEX('FY 22 OFA Shell'!$AF$27:$AF$195,MATCH(Data!H32,'FY 22 OFA Shell'!$H$27:$H$195,0))</f>
        <v>0</v>
      </c>
      <c r="R32" s="66">
        <f>INDEX('FY 22 OFA Shell'!$AG$27:$AG$195,MATCH(Data!H32,'FY 22 OFA Shell'!$H$27:$H$195,0))</f>
        <v>0</v>
      </c>
      <c r="S32" s="66">
        <f>INDEX('FY 22 OFA Shell'!$AJ$27:$AJ$195,MATCH(Data!H32,'FY 22 OFA Shell'!$H$27:$H$195,0))</f>
        <v>0</v>
      </c>
      <c r="T32" s="66">
        <f>INDEX('FY 22 OFA Shell'!$AK$27:$AK$195,MATCH(Data!H32,'FY 22 OFA Shell'!$H$27:$H$195,0))</f>
        <v>0</v>
      </c>
      <c r="U32" s="135">
        <v>1417583</v>
      </c>
      <c r="V32" s="67">
        <f>ROUND(J32*Inputs!$E$22, 2)</f>
        <v>162</v>
      </c>
      <c r="W32" s="68">
        <f>I32+V32+K32*Inputs!$E$28+Data!M32</f>
        <v>2786.5</v>
      </c>
      <c r="X32" s="69">
        <f t="shared" si="2"/>
        <v>200497.07</v>
      </c>
      <c r="Y32" s="70">
        <f>ROUND(X32/Inputs!$E$32, 6)</f>
        <v>1.041398</v>
      </c>
      <c r="Z32" s="70">
        <f>ROUND(P32/Inputs!$E$33, 6)</f>
        <v>0.89012500000000006</v>
      </c>
      <c r="AA32" s="59">
        <f>ROUND(1-((Y32*Inputs!$E$29)+Z32*Inputs!$E$27), 6)</f>
        <v>3.9839999999999997E-3</v>
      </c>
      <c r="AB32" s="59">
        <v>196.94139952463658</v>
      </c>
      <c r="AC32" s="73">
        <f>INDEX('FY 22 OFA Shell'!$G$27:$G$195,MATCH(Data!H32,'FY 22 OFA Shell'!$H$27:$H$195,0))</f>
        <v>112</v>
      </c>
      <c r="AD32" s="73">
        <f t="shared" si="16"/>
        <v>5</v>
      </c>
      <c r="AE32" s="65">
        <v>1417583</v>
      </c>
      <c r="AF32" s="65">
        <f t="shared" si="3"/>
        <v>-1096439</v>
      </c>
      <c r="AG32" s="65">
        <f t="shared" si="4"/>
        <v>-1096439</v>
      </c>
      <c r="AH32" s="52">
        <v>1224764</v>
      </c>
      <c r="AI32" s="107">
        <v>1143823</v>
      </c>
      <c r="AJ32">
        <v>1</v>
      </c>
      <c r="AK32">
        <v>1272.4879333040808</v>
      </c>
      <c r="AL32" s="165">
        <f>INDEX('FY 22 OFA Shell'!$AU$27:$AU$195,MATCH(Data!H32,'FY 22 OFA Shell'!$H$27:$H$195,0))</f>
        <v>962317</v>
      </c>
      <c r="AM32" s="165">
        <f>Outputs!H37</f>
        <v>321144</v>
      </c>
      <c r="AN32" s="165">
        <f>Outputs!G37+Outputs!D37+Outputs!F37</f>
        <v>321144</v>
      </c>
      <c r="AO32" s="165">
        <v>1052942</v>
      </c>
      <c r="AP32" s="165">
        <f t="shared" si="5"/>
        <v>1145095.4879333042</v>
      </c>
      <c r="AQ32" s="52" t="str">
        <f t="shared" si="6"/>
        <v>No</v>
      </c>
      <c r="AR32" s="308">
        <f>ABS(IF(AQ32="Yes",AF32*Inputs!$D$50,Data!AF32*Inputs!$D$51))</f>
        <v>0</v>
      </c>
      <c r="AS32" s="308">
        <f t="shared" si="17"/>
        <v>962317</v>
      </c>
      <c r="AT32" s="308">
        <f t="shared" si="7"/>
        <v>962317</v>
      </c>
      <c r="AU32" s="308"/>
      <c r="AV32" s="308">
        <f>ABS(IF($AQ32="Yes",$AF32*Inputs!E$50,Data!$AF32*Inputs!E$51))</f>
        <v>0</v>
      </c>
      <c r="AW32" s="308">
        <f>ABS(IF($AQ32="Yes",$AF32*Inputs!F$50,Data!$AF32*Inputs!F$51))</f>
        <v>91333.368699999992</v>
      </c>
      <c r="AX32" s="308">
        <f>ABS(IF($AQ32="Yes",$AF32*Inputs!G$50,Data!$AF32*Inputs!G$51))</f>
        <v>91333.368699999992</v>
      </c>
      <c r="AY32" s="308">
        <f>ABS(IF($AQ32="Yes",$AF32*Inputs!H$50,Data!$AF32*Inputs!H$51))</f>
        <v>91333.368699999992</v>
      </c>
      <c r="AZ32" s="308">
        <f>ABS(IF($AQ32="Yes",$AF32*Inputs!I$50,Data!$AF32*Inputs!I$51))</f>
        <v>91333.368699999992</v>
      </c>
      <c r="BA32" s="308">
        <f>ABS(IF($AQ32="Yes",$AF32*Inputs!J$50,Data!$AF32*Inputs!J$51))</f>
        <v>91333.368699999992</v>
      </c>
      <c r="BB32" s="308">
        <f>ABS(IF($AQ32="Yes",$AF32*Inputs!K$50,Data!$AF32*Inputs!K$51))</f>
        <v>91333.368699999992</v>
      </c>
      <c r="BC32" s="308">
        <f>ABS(IF($AQ32="Yes",$AF32*Inputs!L$50,Data!$AF32*Inputs!L$51))</f>
        <v>91333.368699999992</v>
      </c>
      <c r="BE32" s="308">
        <f t="shared" si="18"/>
        <v>962317</v>
      </c>
      <c r="BF32" s="308">
        <f t="shared" si="19"/>
        <v>870983.63130000001</v>
      </c>
      <c r="BG32" s="308">
        <f t="shared" si="20"/>
        <v>779650.26260000002</v>
      </c>
      <c r="BH32" s="308">
        <f t="shared" si="21"/>
        <v>688316.89390000002</v>
      </c>
      <c r="BI32" s="308">
        <f t="shared" si="22"/>
        <v>596983.52520000003</v>
      </c>
      <c r="BJ32" s="308">
        <f t="shared" si="23"/>
        <v>505650.15650000004</v>
      </c>
      <c r="BK32" s="308">
        <f t="shared" si="24"/>
        <v>414316.78780000005</v>
      </c>
      <c r="BL32" s="308">
        <f t="shared" si="25"/>
        <v>321144</v>
      </c>
      <c r="BN32" s="308">
        <f t="shared" si="8"/>
        <v>962317</v>
      </c>
      <c r="BO32" s="308">
        <f t="shared" si="9"/>
        <v>870983.63130000001</v>
      </c>
      <c r="BP32" s="308">
        <f t="shared" si="10"/>
        <v>779650.26260000002</v>
      </c>
      <c r="BQ32" s="308">
        <f t="shared" si="11"/>
        <v>688316.89390000002</v>
      </c>
      <c r="BR32" s="308">
        <f t="shared" si="12"/>
        <v>596983.52520000003</v>
      </c>
      <c r="BS32" s="308">
        <f t="shared" si="13"/>
        <v>505650.15650000004</v>
      </c>
      <c r="BT32" s="308">
        <f t="shared" si="14"/>
        <v>414316.78780000005</v>
      </c>
      <c r="BU32" s="308">
        <f t="shared" si="26"/>
        <v>321144</v>
      </c>
    </row>
    <row r="33" spans="1:73" ht="15" x14ac:dyDescent="0.2">
      <c r="A33" s="62" t="s">
        <v>29</v>
      </c>
      <c r="B33" s="55" t="s">
        <v>8</v>
      </c>
      <c r="C33" s="55"/>
      <c r="D33" s="55"/>
      <c r="E33" s="55"/>
      <c r="F33" s="55"/>
      <c r="G33" s="48">
        <v>9</v>
      </c>
      <c r="H33" s="55">
        <v>19</v>
      </c>
      <c r="I33" s="55">
        <f>INDEX('FY 22 OFA Shell'!$K$27:$K$195,MATCH(Data!H33,'FY 22 OFA Shell'!$H$27:$H$195,0))</f>
        <v>1154.98</v>
      </c>
      <c r="J33" s="55">
        <f>INDEX('FY 22 OFA Shell'!$N$27:$N$195,MATCH(Data!H33,'FY 22 OFA Shell'!$H$27:$H$195,0))</f>
        <v>377</v>
      </c>
      <c r="K33" s="64">
        <f>INDEX('FY 22 OFA Shell'!$S$27:$S$195,MATCH(Data!H33,'FY 22 OFA Shell'!$H$27:$H$195,0))</f>
        <v>14</v>
      </c>
      <c r="L33" s="150">
        <f t="shared" si="15"/>
        <v>0.32641257857278916</v>
      </c>
      <c r="M33" s="149">
        <f>MAX(((L33-Inputs!$E$23)*Data!I33)*Inputs!$E$24,0)</f>
        <v>0</v>
      </c>
      <c r="N33" s="151">
        <f>INDEX('FY 22 OFA Shell'!$V$27:$V$195,MATCH(Data!H33,'FY 22 OFA Shell'!$H$27:$H$195,0))</f>
        <v>903194473.33000004</v>
      </c>
      <c r="O33" s="63">
        <f>INDEX('FY 22 OFA Shell'!$W$27:$W$195,MATCH(Data!H33,'FY 22 OFA Shell'!$H$27:$H$195,0))</f>
        <v>8243</v>
      </c>
      <c r="P33" s="65">
        <f>INDEX('FY 22 OFA Shell'!$Z$27:$Z$195,MATCH(Data!H33,'FY 22 OFA Shell'!$H$27:$H$195,0))</f>
        <v>72090</v>
      </c>
      <c r="Q33" s="63">
        <f>INDEX('FY 22 OFA Shell'!$AF$27:$AF$195,MATCH(Data!H33,'FY 22 OFA Shell'!$H$27:$H$195,0))</f>
        <v>0</v>
      </c>
      <c r="R33" s="66">
        <f>INDEX('FY 22 OFA Shell'!$AG$27:$AG$195,MATCH(Data!H33,'FY 22 OFA Shell'!$H$27:$H$195,0))</f>
        <v>0</v>
      </c>
      <c r="S33" s="66">
        <f>INDEX('FY 22 OFA Shell'!$AJ$27:$AJ$195,MATCH(Data!H33,'FY 22 OFA Shell'!$H$27:$H$195,0))</f>
        <v>202</v>
      </c>
      <c r="T33" s="66">
        <f>INDEX('FY 22 OFA Shell'!$AK$27:$AK$195,MATCH(Data!H33,'FY 22 OFA Shell'!$H$27:$H$195,0))</f>
        <v>4</v>
      </c>
      <c r="U33" s="135">
        <v>6975373</v>
      </c>
      <c r="V33" s="67">
        <f>ROUND(J33*Inputs!$E$22, 2)</f>
        <v>113.1</v>
      </c>
      <c r="W33" s="68">
        <f>I33+V33+K33*Inputs!$E$28+Data!M33</f>
        <v>1271.58</v>
      </c>
      <c r="X33" s="69">
        <f t="shared" si="2"/>
        <v>109571.09</v>
      </c>
      <c r="Y33" s="70">
        <f>ROUND(X33/Inputs!$E$32, 6)</f>
        <v>0.56912099999999999</v>
      </c>
      <c r="Z33" s="70">
        <f>ROUND(P33/Inputs!$E$33, 6)</f>
        <v>0.59828599999999998</v>
      </c>
      <c r="AA33" s="59">
        <f>ROUND(1-((Y33*Inputs!$E$29)+Z33*Inputs!$E$27), 6)</f>
        <v>0.42213000000000001</v>
      </c>
      <c r="AB33" s="59">
        <v>261.80863813688472</v>
      </c>
      <c r="AC33" s="73">
        <f>INDEX('FY 22 OFA Shell'!$G$27:$G$195,MATCH(Data!H33,'FY 22 OFA Shell'!$H$27:$H$195,0))</f>
        <v>54</v>
      </c>
      <c r="AD33" s="73">
        <f t="shared" si="16"/>
        <v>5</v>
      </c>
      <c r="AE33" s="65">
        <v>6975373</v>
      </c>
      <c r="AF33" s="65">
        <f t="shared" si="3"/>
        <v>-708275</v>
      </c>
      <c r="AG33" s="65">
        <f t="shared" si="4"/>
        <v>-708275</v>
      </c>
      <c r="AH33" s="52">
        <v>6049412</v>
      </c>
      <c r="AI33" s="107">
        <v>6982946.233</v>
      </c>
      <c r="AJ33">
        <v>1</v>
      </c>
      <c r="AK33">
        <v>1272.4879333040808</v>
      </c>
      <c r="AL33" s="165">
        <f>INDEX('FY 22 OFA Shell'!$AU$27:$AU$195,MATCH(Data!H33,'FY 22 OFA Shell'!$H$27:$H$195,0))</f>
        <v>6926095</v>
      </c>
      <c r="AM33" s="165">
        <f>Outputs!H38</f>
        <v>6267098</v>
      </c>
      <c r="AN33" s="165">
        <f>Outputs!G38+Outputs!D38+Outputs!F38</f>
        <v>6267098</v>
      </c>
      <c r="AO33" s="165">
        <v>6956457</v>
      </c>
      <c r="AP33" s="165">
        <f t="shared" si="5"/>
        <v>6984218.7209333042</v>
      </c>
      <c r="AQ33" s="52" t="str">
        <f t="shared" si="6"/>
        <v>No</v>
      </c>
      <c r="AR33" s="308">
        <f>ABS(IF(AQ33="Yes",AF33*Inputs!$D$50,Data!AF33*Inputs!$D$51))</f>
        <v>0</v>
      </c>
      <c r="AS33" s="308">
        <f t="shared" si="17"/>
        <v>6926095</v>
      </c>
      <c r="AT33" s="308">
        <f t="shared" si="7"/>
        <v>6926095</v>
      </c>
      <c r="AU33" s="308"/>
      <c r="AV33" s="308">
        <f>ABS(IF($AQ33="Yes",$AF33*Inputs!E$50,Data!$AF33*Inputs!E$51))</f>
        <v>0</v>
      </c>
      <c r="AW33" s="308">
        <f>ABS(IF($AQ33="Yes",$AF33*Inputs!F$50,Data!$AF33*Inputs!F$51))</f>
        <v>58999.307500000003</v>
      </c>
      <c r="AX33" s="308">
        <f>ABS(IF($AQ33="Yes",$AF33*Inputs!G$50,Data!$AF33*Inputs!G$51))</f>
        <v>58999.307500000003</v>
      </c>
      <c r="AY33" s="308">
        <f>ABS(IF($AQ33="Yes",$AF33*Inputs!H$50,Data!$AF33*Inputs!H$51))</f>
        <v>58999.307500000003</v>
      </c>
      <c r="AZ33" s="308">
        <f>ABS(IF($AQ33="Yes",$AF33*Inputs!I$50,Data!$AF33*Inputs!I$51))</f>
        <v>58999.307500000003</v>
      </c>
      <c r="BA33" s="308">
        <f>ABS(IF($AQ33="Yes",$AF33*Inputs!J$50,Data!$AF33*Inputs!J$51))</f>
        <v>58999.307500000003</v>
      </c>
      <c r="BB33" s="308">
        <f>ABS(IF($AQ33="Yes",$AF33*Inputs!K$50,Data!$AF33*Inputs!K$51))</f>
        <v>58999.307500000003</v>
      </c>
      <c r="BC33" s="308">
        <f>ABS(IF($AQ33="Yes",$AF33*Inputs!L$50,Data!$AF33*Inputs!L$51))</f>
        <v>58999.307500000003</v>
      </c>
      <c r="BE33" s="308">
        <f t="shared" si="18"/>
        <v>6926095</v>
      </c>
      <c r="BF33" s="308">
        <f t="shared" si="19"/>
        <v>6867095.6924999999</v>
      </c>
      <c r="BG33" s="308">
        <f t="shared" si="20"/>
        <v>6808096.3849999998</v>
      </c>
      <c r="BH33" s="308">
        <f t="shared" si="21"/>
        <v>6749097.0774999997</v>
      </c>
      <c r="BI33" s="308">
        <f t="shared" si="22"/>
        <v>6690097.7699999996</v>
      </c>
      <c r="BJ33" s="308">
        <f t="shared" si="23"/>
        <v>6631098.4624999994</v>
      </c>
      <c r="BK33" s="308">
        <f t="shared" si="24"/>
        <v>6572099.1549999993</v>
      </c>
      <c r="BL33" s="308">
        <f t="shared" si="25"/>
        <v>6267098</v>
      </c>
      <c r="BN33" s="308">
        <f t="shared" si="8"/>
        <v>6926095</v>
      </c>
      <c r="BO33" s="308">
        <f t="shared" si="9"/>
        <v>6867095.6924999999</v>
      </c>
      <c r="BP33" s="308">
        <f t="shared" si="10"/>
        <v>6808096.3849999998</v>
      </c>
      <c r="BQ33" s="308">
        <f t="shared" si="11"/>
        <v>6749097.0774999997</v>
      </c>
      <c r="BR33" s="308">
        <f t="shared" si="12"/>
        <v>6690097.7699999996</v>
      </c>
      <c r="BS33" s="308">
        <f t="shared" si="13"/>
        <v>6631098.4624999994</v>
      </c>
      <c r="BT33" s="308">
        <f t="shared" si="14"/>
        <v>6572099.1549999993</v>
      </c>
      <c r="BU33" s="308">
        <f t="shared" si="26"/>
        <v>6267098</v>
      </c>
    </row>
    <row r="34" spans="1:73" ht="15" x14ac:dyDescent="0.2">
      <c r="A34" s="62" t="s">
        <v>30</v>
      </c>
      <c r="B34" s="55" t="s">
        <v>4</v>
      </c>
      <c r="C34" s="55"/>
      <c r="D34" s="55"/>
      <c r="E34" s="55"/>
      <c r="F34" s="55"/>
      <c r="G34" s="48">
        <v>3</v>
      </c>
      <c r="H34" s="55">
        <v>20</v>
      </c>
      <c r="I34" s="55">
        <f>INDEX('FY 22 OFA Shell'!$K$27:$K$195,MATCH(Data!H34,'FY 22 OFA Shell'!$H$27:$H$195,0))</f>
        <v>1492.32</v>
      </c>
      <c r="J34" s="55">
        <f>INDEX('FY 22 OFA Shell'!$N$27:$N$195,MATCH(Data!H34,'FY 22 OFA Shell'!$H$27:$H$195,0))</f>
        <v>170</v>
      </c>
      <c r="K34" s="64">
        <f>INDEX('FY 22 OFA Shell'!$S$27:$S$195,MATCH(Data!H34,'FY 22 OFA Shell'!$H$27:$H$195,0))</f>
        <v>31</v>
      </c>
      <c r="L34" s="150">
        <f t="shared" si="15"/>
        <v>0.11391658625495872</v>
      </c>
      <c r="M34" s="149">
        <f>MAX(((L34-Inputs!$E$23)*Data!I34)*Inputs!$E$24,0)</f>
        <v>0</v>
      </c>
      <c r="N34" s="151">
        <f>INDEX('FY 22 OFA Shell'!$V$27:$V$195,MATCH(Data!H34,'FY 22 OFA Shell'!$H$27:$H$195,0))</f>
        <v>1354355903.3299999</v>
      </c>
      <c r="O34" s="63">
        <f>INDEX('FY 22 OFA Shell'!$W$27:$W$195,MATCH(Data!H34,'FY 22 OFA Shell'!$H$27:$H$195,0))</f>
        <v>9607</v>
      </c>
      <c r="P34" s="65">
        <f>INDEX('FY 22 OFA Shell'!$Z$27:$Z$195,MATCH(Data!H34,'FY 22 OFA Shell'!$H$27:$H$195,0))</f>
        <v>126341</v>
      </c>
      <c r="Q34" s="63">
        <f>INDEX('FY 22 OFA Shell'!$AF$27:$AF$195,MATCH(Data!H34,'FY 22 OFA Shell'!$H$27:$H$195,0))</f>
        <v>1493</v>
      </c>
      <c r="R34" s="66">
        <f>INDEX('FY 22 OFA Shell'!$AG$27:$AG$195,MATCH(Data!H34,'FY 22 OFA Shell'!$H$27:$H$195,0))</f>
        <v>13</v>
      </c>
      <c r="S34" s="66">
        <f>INDEX('FY 22 OFA Shell'!$AJ$27:$AJ$195,MATCH(Data!H34,'FY 22 OFA Shell'!$H$27:$H$195,0))</f>
        <v>0</v>
      </c>
      <c r="T34" s="66">
        <f>INDEX('FY 22 OFA Shell'!$AK$27:$AK$195,MATCH(Data!H34,'FY 22 OFA Shell'!$H$27:$H$195,0))</f>
        <v>0</v>
      </c>
      <c r="U34" s="135">
        <v>4359350</v>
      </c>
      <c r="V34" s="67">
        <f>ROUND(J34*Inputs!$E$22, 2)</f>
        <v>51</v>
      </c>
      <c r="W34" s="68">
        <f>I34+V34+K34*Inputs!$E$28+Data!M34</f>
        <v>1551.07</v>
      </c>
      <c r="X34" s="69">
        <f t="shared" si="2"/>
        <v>140975.94</v>
      </c>
      <c r="Y34" s="70">
        <f>ROUND(X34/Inputs!$E$32, 6)</f>
        <v>0.73224100000000003</v>
      </c>
      <c r="Z34" s="70">
        <f>ROUND(P34/Inputs!$E$33, 6)</f>
        <v>1.0485230000000001</v>
      </c>
      <c r="AA34" s="59">
        <f>ROUND(1-((Y34*Inputs!$E$29)+Z34*Inputs!$E$27), 6)</f>
        <v>0.172874</v>
      </c>
      <c r="AB34" s="59">
        <v>218.23193314650044</v>
      </c>
      <c r="AC34" s="73">
        <f>INDEX('FY 22 OFA Shell'!$G$27:$G$195,MATCH(Data!H34,'FY 22 OFA Shell'!$H$27:$H$195,0))</f>
        <v>128</v>
      </c>
      <c r="AD34" s="73">
        <f t="shared" si="16"/>
        <v>5</v>
      </c>
      <c r="AE34" s="65">
        <v>4359350</v>
      </c>
      <c r="AF34" s="65">
        <f t="shared" si="3"/>
        <v>671860</v>
      </c>
      <c r="AG34" s="65">
        <f t="shared" si="4"/>
        <v>671860</v>
      </c>
      <c r="AH34" s="52">
        <v>3792912</v>
      </c>
      <c r="AI34" s="107">
        <v>4118158</v>
      </c>
      <c r="AJ34"/>
      <c r="AK34">
        <v>0</v>
      </c>
      <c r="AL34" s="165">
        <f>INDEX('FY 22 OFA Shell'!$AU$27:$AU$195,MATCH(Data!H34,'FY 22 OFA Shell'!$H$27:$H$195,0))</f>
        <v>3923648</v>
      </c>
      <c r="AM34" s="165">
        <f>Outputs!H39</f>
        <v>5031210</v>
      </c>
      <c r="AN34" s="165">
        <f>Outputs!G39+Outputs!D39+Outputs!F39</f>
        <v>5031210</v>
      </c>
      <c r="AO34" s="165">
        <v>4022950</v>
      </c>
      <c r="AP34" s="165">
        <f t="shared" si="5"/>
        <v>4118158</v>
      </c>
      <c r="AQ34" s="52" t="str">
        <f t="shared" si="6"/>
        <v>Yes</v>
      </c>
      <c r="AR34" s="308">
        <f>ABS(IF(AQ34="Yes",AF34*Inputs!$D$50,Data!AF34*Inputs!$D$51))</f>
        <v>71620.275999999998</v>
      </c>
      <c r="AS34" s="308">
        <f t="shared" si="17"/>
        <v>3995268.2760000001</v>
      </c>
      <c r="AT34" s="308">
        <f t="shared" si="7"/>
        <v>3995268.2760000001</v>
      </c>
      <c r="AU34" s="308"/>
      <c r="AV34" s="308">
        <f>ABS(IF($AQ34="Yes",$AF34*Inputs!E$50,Data!$AF34*Inputs!E$51))</f>
        <v>71620.275999999998</v>
      </c>
      <c r="AW34" s="308">
        <f>ABS(IF($AQ34="Yes",$AF34*Inputs!F$50,Data!$AF34*Inputs!F$51))</f>
        <v>71620.275999999998</v>
      </c>
      <c r="AX34" s="308">
        <f>ABS(IF($AQ34="Yes",$AF34*Inputs!G$50,Data!$AF34*Inputs!G$51))</f>
        <v>71620.275999999998</v>
      </c>
      <c r="AY34" s="308">
        <f>ABS(IF($AQ34="Yes",$AF34*Inputs!H$50,Data!$AF34*Inputs!H$51))</f>
        <v>71620.275999999998</v>
      </c>
      <c r="AZ34" s="308">
        <f>ABS(IF($AQ34="Yes",$AF34*Inputs!I$50,Data!$AF34*Inputs!I$51))</f>
        <v>71620.275999999998</v>
      </c>
      <c r="BA34" s="308">
        <f>ABS(IF($AQ34="Yes",$AF34*Inputs!J$50,Data!$AF34*Inputs!J$51))</f>
        <v>71620.275999999998</v>
      </c>
      <c r="BB34" s="308">
        <f>ABS(IF($AQ34="Yes",$AF34*Inputs!K$50,Data!$AF34*Inputs!K$51))</f>
        <v>0</v>
      </c>
      <c r="BC34" s="308">
        <f>ABS(IF($AQ34="Yes",$AF34*Inputs!L$50,Data!$AF34*Inputs!L$51))</f>
        <v>0</v>
      </c>
      <c r="BE34" s="308">
        <f t="shared" si="18"/>
        <v>4066888.5520000001</v>
      </c>
      <c r="BF34" s="308">
        <f t="shared" si="19"/>
        <v>4138508.8280000002</v>
      </c>
      <c r="BG34" s="308">
        <f t="shared" si="20"/>
        <v>4210129.1040000003</v>
      </c>
      <c r="BH34" s="308">
        <f t="shared" si="21"/>
        <v>4281749.38</v>
      </c>
      <c r="BI34" s="308">
        <f t="shared" si="22"/>
        <v>4353369.6559999995</v>
      </c>
      <c r="BJ34" s="308">
        <f t="shared" si="23"/>
        <v>5031210</v>
      </c>
      <c r="BK34" s="308">
        <f t="shared" si="24"/>
        <v>5031210</v>
      </c>
      <c r="BL34" s="308">
        <f t="shared" si="25"/>
        <v>5031210</v>
      </c>
      <c r="BN34" s="308">
        <f t="shared" si="8"/>
        <v>4066888.5520000001</v>
      </c>
      <c r="BO34" s="308">
        <f t="shared" si="9"/>
        <v>4138508.8280000002</v>
      </c>
      <c r="BP34" s="308">
        <f t="shared" si="10"/>
        <v>4210129.1040000003</v>
      </c>
      <c r="BQ34" s="308">
        <f t="shared" si="11"/>
        <v>4281749.38</v>
      </c>
      <c r="BR34" s="308">
        <f t="shared" si="12"/>
        <v>4353369.6559999995</v>
      </c>
      <c r="BS34" s="308">
        <f t="shared" si="13"/>
        <v>5031210</v>
      </c>
      <c r="BT34" s="308">
        <f t="shared" si="14"/>
        <v>5031210</v>
      </c>
      <c r="BU34" s="308">
        <f t="shared" si="26"/>
        <v>5031210</v>
      </c>
    </row>
    <row r="35" spans="1:73" ht="15" x14ac:dyDescent="0.2">
      <c r="A35" s="62" t="s">
        <v>31</v>
      </c>
      <c r="B35" s="55" t="s">
        <v>8</v>
      </c>
      <c r="C35" s="55"/>
      <c r="D35" s="55"/>
      <c r="E35" s="55"/>
      <c r="F35" s="55"/>
      <c r="G35" s="48">
        <v>4</v>
      </c>
      <c r="H35" s="55">
        <v>21</v>
      </c>
      <c r="I35" s="55">
        <f>INDEX('FY 22 OFA Shell'!$K$27:$K$195,MATCH(Data!H35,'FY 22 OFA Shell'!$H$27:$H$195,0))</f>
        <v>99.1</v>
      </c>
      <c r="J35" s="55">
        <f>INDEX('FY 22 OFA Shell'!$N$27:$N$195,MATCH(Data!H35,'FY 22 OFA Shell'!$H$27:$H$195,0))</f>
        <v>38</v>
      </c>
      <c r="K35" s="64">
        <f>INDEX('FY 22 OFA Shell'!$S$27:$S$195,MATCH(Data!H35,'FY 22 OFA Shell'!$H$27:$H$195,0))</f>
        <v>2</v>
      </c>
      <c r="L35" s="150">
        <f t="shared" si="15"/>
        <v>0.38345105953582242</v>
      </c>
      <c r="M35" s="149">
        <f>MAX(((L35-Inputs!$E$23)*Data!I35)*Inputs!$E$24,0)</f>
        <v>0</v>
      </c>
      <c r="N35" s="151">
        <f>INDEX('FY 22 OFA Shell'!$V$27:$V$195,MATCH(Data!H35,'FY 22 OFA Shell'!$H$27:$H$195,0))</f>
        <v>252403063.33000001</v>
      </c>
      <c r="O35" s="63">
        <f>INDEX('FY 22 OFA Shell'!$W$27:$W$195,MATCH(Data!H35,'FY 22 OFA Shell'!$H$27:$H$195,0))</f>
        <v>1196</v>
      </c>
      <c r="P35" s="65">
        <f>INDEX('FY 22 OFA Shell'!$Z$27:$Z$195,MATCH(Data!H35,'FY 22 OFA Shell'!$H$27:$H$195,0))</f>
        <v>77847</v>
      </c>
      <c r="Q35" s="63">
        <f>INDEX('FY 22 OFA Shell'!$AF$27:$AF$195,MATCH(Data!H35,'FY 22 OFA Shell'!$H$27:$H$195,0))</f>
        <v>34</v>
      </c>
      <c r="R35" s="66">
        <f>INDEX('FY 22 OFA Shell'!$AG$27:$AG$195,MATCH(Data!H35,'FY 22 OFA Shell'!$H$27:$H$195,0))</f>
        <v>4</v>
      </c>
      <c r="S35" s="66">
        <f>INDEX('FY 22 OFA Shell'!$AJ$27:$AJ$195,MATCH(Data!H35,'FY 22 OFA Shell'!$H$27:$H$195,0))</f>
        <v>0</v>
      </c>
      <c r="T35" s="66">
        <f>INDEX('FY 22 OFA Shell'!$AK$27:$AK$195,MATCH(Data!H35,'FY 22 OFA Shell'!$H$27:$H$195,0))</f>
        <v>0</v>
      </c>
      <c r="U35" s="135">
        <v>177216</v>
      </c>
      <c r="V35" s="67">
        <f>ROUND(J35*Inputs!$E$22, 2)</f>
        <v>11.4</v>
      </c>
      <c r="W35" s="68">
        <f>I35+V35+K35*Inputs!$E$28+Data!M35</f>
        <v>111</v>
      </c>
      <c r="X35" s="69">
        <f t="shared" si="2"/>
        <v>211039.35</v>
      </c>
      <c r="Y35" s="70">
        <f>ROUND(X35/Inputs!$E$32, 6)</f>
        <v>1.0961559999999999</v>
      </c>
      <c r="Z35" s="70">
        <f>ROUND(P35/Inputs!$E$33, 6)</f>
        <v>0.64606399999999997</v>
      </c>
      <c r="AA35" s="59">
        <f>ROUND(1-((Y35*Inputs!$E$29)+Z35*Inputs!$E$27), 6)</f>
        <v>3.8871999999999997E-2</v>
      </c>
      <c r="AB35" s="59">
        <v>197.24909036796655</v>
      </c>
      <c r="AC35" s="73">
        <f>INDEX('FY 22 OFA Shell'!$G$27:$G$195,MATCH(Data!H35,'FY 22 OFA Shell'!$H$27:$H$195,0))</f>
        <v>152</v>
      </c>
      <c r="AD35" s="73">
        <f t="shared" si="16"/>
        <v>5</v>
      </c>
      <c r="AE35" s="65">
        <v>177216</v>
      </c>
      <c r="AF35" s="65">
        <f t="shared" si="3"/>
        <v>-113888</v>
      </c>
      <c r="AG35" s="65">
        <f t="shared" si="4"/>
        <v>-113888</v>
      </c>
      <c r="AH35" s="52">
        <v>154267</v>
      </c>
      <c r="AI35" s="107">
        <v>149720.5</v>
      </c>
      <c r="AJ35"/>
      <c r="AK35">
        <v>0</v>
      </c>
      <c r="AL35" s="165">
        <f>INDEX('FY 22 OFA Shell'!$AU$27:$AU$195,MATCH(Data!H35,'FY 22 OFA Shell'!$H$27:$H$195,0))</f>
        <v>125752</v>
      </c>
      <c r="AM35" s="165">
        <f>Outputs!H40</f>
        <v>63328</v>
      </c>
      <c r="AN35" s="165">
        <f>Outputs!G40+Outputs!D40+Outputs!F40</f>
        <v>63328</v>
      </c>
      <c r="AO35" s="165">
        <v>139221</v>
      </c>
      <c r="AP35" s="165">
        <f t="shared" si="5"/>
        <v>149720.5</v>
      </c>
      <c r="AQ35" s="52" t="str">
        <f t="shared" si="6"/>
        <v>No</v>
      </c>
      <c r="AR35" s="308">
        <f>ABS(IF(AQ35="Yes",AF35*Inputs!$D$50,Data!AF35*Inputs!$D$51))</f>
        <v>0</v>
      </c>
      <c r="AS35" s="308">
        <f t="shared" si="17"/>
        <v>125752</v>
      </c>
      <c r="AT35" s="308">
        <f t="shared" si="7"/>
        <v>125752</v>
      </c>
      <c r="AU35" s="308"/>
      <c r="AV35" s="308">
        <f>ABS(IF($AQ35="Yes",$AF35*Inputs!E$50,Data!$AF35*Inputs!E$51))</f>
        <v>0</v>
      </c>
      <c r="AW35" s="308">
        <f>ABS(IF($AQ35="Yes",$AF35*Inputs!F$50,Data!$AF35*Inputs!F$51))</f>
        <v>9486.8703999999998</v>
      </c>
      <c r="AX35" s="308">
        <f>ABS(IF($AQ35="Yes",$AF35*Inputs!G$50,Data!$AF35*Inputs!G$51))</f>
        <v>9486.8703999999998</v>
      </c>
      <c r="AY35" s="308">
        <f>ABS(IF($AQ35="Yes",$AF35*Inputs!H$50,Data!$AF35*Inputs!H$51))</f>
        <v>9486.8703999999998</v>
      </c>
      <c r="AZ35" s="308">
        <f>ABS(IF($AQ35="Yes",$AF35*Inputs!I$50,Data!$AF35*Inputs!I$51))</f>
        <v>9486.8703999999998</v>
      </c>
      <c r="BA35" s="308">
        <f>ABS(IF($AQ35="Yes",$AF35*Inputs!J$50,Data!$AF35*Inputs!J$51))</f>
        <v>9486.8703999999998</v>
      </c>
      <c r="BB35" s="308">
        <f>ABS(IF($AQ35="Yes",$AF35*Inputs!K$50,Data!$AF35*Inputs!K$51))</f>
        <v>9486.8703999999998</v>
      </c>
      <c r="BC35" s="308">
        <f>ABS(IF($AQ35="Yes",$AF35*Inputs!L$50,Data!$AF35*Inputs!L$51))</f>
        <v>9486.8703999999998</v>
      </c>
      <c r="BE35" s="308">
        <f t="shared" si="18"/>
        <v>125752</v>
      </c>
      <c r="BF35" s="308">
        <f t="shared" si="19"/>
        <v>116265.1296</v>
      </c>
      <c r="BG35" s="308">
        <f t="shared" si="20"/>
        <v>106778.2592</v>
      </c>
      <c r="BH35" s="308">
        <f t="shared" si="21"/>
        <v>97291.388800000001</v>
      </c>
      <c r="BI35" s="308">
        <f t="shared" si="22"/>
        <v>87804.518400000001</v>
      </c>
      <c r="BJ35" s="308">
        <f t="shared" si="23"/>
        <v>78317.648000000001</v>
      </c>
      <c r="BK35" s="308">
        <f t="shared" si="24"/>
        <v>68830.777600000001</v>
      </c>
      <c r="BL35" s="308">
        <f t="shared" si="25"/>
        <v>63328</v>
      </c>
      <c r="BN35" s="308">
        <f t="shared" si="8"/>
        <v>125752</v>
      </c>
      <c r="BO35" s="308">
        <f t="shared" si="9"/>
        <v>116265.1296</v>
      </c>
      <c r="BP35" s="308">
        <f t="shared" si="10"/>
        <v>106778.2592</v>
      </c>
      <c r="BQ35" s="308">
        <f t="shared" si="11"/>
        <v>97291.388800000001</v>
      </c>
      <c r="BR35" s="308">
        <f t="shared" si="12"/>
        <v>87804.518400000001</v>
      </c>
      <c r="BS35" s="308">
        <f t="shared" si="13"/>
        <v>78317.648000000001</v>
      </c>
      <c r="BT35" s="308">
        <f t="shared" si="14"/>
        <v>68830.777600000001</v>
      </c>
      <c r="BU35" s="308">
        <f t="shared" si="26"/>
        <v>63328</v>
      </c>
    </row>
    <row r="36" spans="1:73" ht="15" x14ac:dyDescent="0.2">
      <c r="A36" s="62" t="s">
        <v>33</v>
      </c>
      <c r="B36" s="55" t="s">
        <v>32</v>
      </c>
      <c r="C36" s="55"/>
      <c r="D36" s="55"/>
      <c r="E36" s="55"/>
      <c r="F36" s="55"/>
      <c r="G36" s="48">
        <v>8</v>
      </c>
      <c r="H36" s="55">
        <v>22</v>
      </c>
      <c r="I36" s="55">
        <f>INDEX('FY 22 OFA Shell'!$K$27:$K$195,MATCH(Data!H36,'FY 22 OFA Shell'!$H$27:$H$195,0))</f>
        <v>590</v>
      </c>
      <c r="J36" s="55">
        <f>INDEX('FY 22 OFA Shell'!$N$27:$N$195,MATCH(Data!H36,'FY 22 OFA Shell'!$H$27:$H$195,0))</f>
        <v>155</v>
      </c>
      <c r="K36" s="64">
        <f>INDEX('FY 22 OFA Shell'!$S$27:$S$195,MATCH(Data!H36,'FY 22 OFA Shell'!$H$27:$H$195,0))</f>
        <v>1</v>
      </c>
      <c r="L36" s="150">
        <f t="shared" si="15"/>
        <v>0.26271186440677968</v>
      </c>
      <c r="M36" s="149">
        <f>MAX(((L36-Inputs!$E$23)*Data!I36)*Inputs!$E$24,0)</f>
        <v>0</v>
      </c>
      <c r="N36" s="151">
        <f>INDEX('FY 22 OFA Shell'!$V$27:$V$195,MATCH(Data!H36,'FY 22 OFA Shell'!$H$27:$H$195,0))</f>
        <v>550952590.33000004</v>
      </c>
      <c r="O36" s="63">
        <f>INDEX('FY 22 OFA Shell'!$W$27:$W$195,MATCH(Data!H36,'FY 22 OFA Shell'!$H$27:$H$195,0))</f>
        <v>5074</v>
      </c>
      <c r="P36" s="65">
        <f>INDEX('FY 22 OFA Shell'!$Z$27:$Z$195,MATCH(Data!H36,'FY 22 OFA Shell'!$H$27:$H$195,0))</f>
        <v>92835</v>
      </c>
      <c r="Q36" s="63">
        <f>INDEX('FY 22 OFA Shell'!$AF$27:$AF$195,MATCH(Data!H36,'FY 22 OFA Shell'!$H$27:$H$195,0))</f>
        <v>0</v>
      </c>
      <c r="R36" s="66">
        <f>INDEX('FY 22 OFA Shell'!$AG$27:$AG$195,MATCH(Data!H36,'FY 22 OFA Shell'!$H$27:$H$195,0))</f>
        <v>0</v>
      </c>
      <c r="S36" s="66">
        <f>INDEX('FY 22 OFA Shell'!$AJ$27:$AJ$195,MATCH(Data!H36,'FY 22 OFA Shell'!$H$27:$H$195,0))</f>
        <v>147</v>
      </c>
      <c r="T36" s="66">
        <f>INDEX('FY 22 OFA Shell'!$AK$27:$AK$195,MATCH(Data!H36,'FY 22 OFA Shell'!$H$27:$H$195,0))</f>
        <v>4</v>
      </c>
      <c r="U36" s="135">
        <v>4665608</v>
      </c>
      <c r="V36" s="67">
        <f>ROUND(J36*Inputs!$E$22, 2)</f>
        <v>46.5</v>
      </c>
      <c r="W36" s="68">
        <f>I36+V36+K36*Inputs!$E$28+Data!M36</f>
        <v>636.75</v>
      </c>
      <c r="X36" s="69">
        <f t="shared" si="2"/>
        <v>108583.48</v>
      </c>
      <c r="Y36" s="70">
        <f>ROUND(X36/Inputs!$E$32, 6)</f>
        <v>0.56399200000000005</v>
      </c>
      <c r="Z36" s="70">
        <f>ROUND(P36/Inputs!$E$33, 6)</f>
        <v>0.77045200000000003</v>
      </c>
      <c r="AA36" s="59">
        <f>ROUND(1-((Y36*Inputs!$E$29)+Z36*Inputs!$E$27), 6)</f>
        <v>0.37407000000000001</v>
      </c>
      <c r="AB36" s="59">
        <v>249.96167194097006</v>
      </c>
      <c r="AC36" s="73">
        <f>INDEX('FY 22 OFA Shell'!$G$27:$G$195,MATCH(Data!H36,'FY 22 OFA Shell'!$H$27:$H$195,0))</f>
        <v>62</v>
      </c>
      <c r="AD36" s="73">
        <f t="shared" si="16"/>
        <v>5</v>
      </c>
      <c r="AE36" s="65">
        <v>4665608</v>
      </c>
      <c r="AF36" s="65">
        <f t="shared" si="3"/>
        <v>-1861679</v>
      </c>
      <c r="AG36" s="65">
        <f t="shared" si="4"/>
        <v>-1861679</v>
      </c>
      <c r="AH36" s="52">
        <v>4051654</v>
      </c>
      <c r="AI36" s="107">
        <v>4256271.5</v>
      </c>
      <c r="AJ36"/>
      <c r="AK36">
        <v>0</v>
      </c>
      <c r="AL36" s="165">
        <f>INDEX('FY 22 OFA Shell'!$AU$27:$AU$195,MATCH(Data!H36,'FY 22 OFA Shell'!$H$27:$H$195,0))</f>
        <v>4004835</v>
      </c>
      <c r="AM36" s="165">
        <f>Outputs!H41</f>
        <v>2803929</v>
      </c>
      <c r="AN36" s="165">
        <f>Outputs!G41+Outputs!D41+Outputs!F41</f>
        <v>2803929</v>
      </c>
      <c r="AO36" s="165">
        <v>4136252</v>
      </c>
      <c r="AP36" s="165">
        <f t="shared" si="5"/>
        <v>4256271.5</v>
      </c>
      <c r="AQ36" s="52" t="str">
        <f t="shared" si="6"/>
        <v>No</v>
      </c>
      <c r="AR36" s="308">
        <f>ABS(IF(AQ36="Yes",AF36*Inputs!$D$50,Data!AF36*Inputs!$D$51))</f>
        <v>0</v>
      </c>
      <c r="AS36" s="308">
        <f t="shared" si="17"/>
        <v>4004835</v>
      </c>
      <c r="AT36" s="308">
        <f t="shared" si="7"/>
        <v>4004835</v>
      </c>
      <c r="AU36" s="308"/>
      <c r="AV36" s="308">
        <f>ABS(IF($AQ36="Yes",$AF36*Inputs!E$50,Data!$AF36*Inputs!E$51))</f>
        <v>0</v>
      </c>
      <c r="AW36" s="308">
        <f>ABS(IF($AQ36="Yes",$AF36*Inputs!F$50,Data!$AF36*Inputs!F$51))</f>
        <v>155077.86069999999</v>
      </c>
      <c r="AX36" s="308">
        <f>ABS(IF($AQ36="Yes",$AF36*Inputs!G$50,Data!$AF36*Inputs!G$51))</f>
        <v>155077.86069999999</v>
      </c>
      <c r="AY36" s="308">
        <f>ABS(IF($AQ36="Yes",$AF36*Inputs!H$50,Data!$AF36*Inputs!H$51))</f>
        <v>155077.86069999999</v>
      </c>
      <c r="AZ36" s="308">
        <f>ABS(IF($AQ36="Yes",$AF36*Inputs!I$50,Data!$AF36*Inputs!I$51))</f>
        <v>155077.86069999999</v>
      </c>
      <c r="BA36" s="308">
        <f>ABS(IF($AQ36="Yes",$AF36*Inputs!J$50,Data!$AF36*Inputs!J$51))</f>
        <v>155077.86069999999</v>
      </c>
      <c r="BB36" s="308">
        <f>ABS(IF($AQ36="Yes",$AF36*Inputs!K$50,Data!$AF36*Inputs!K$51))</f>
        <v>155077.86069999999</v>
      </c>
      <c r="BC36" s="308">
        <f>ABS(IF($AQ36="Yes",$AF36*Inputs!L$50,Data!$AF36*Inputs!L$51))</f>
        <v>155077.86069999999</v>
      </c>
      <c r="BE36" s="308">
        <f t="shared" si="18"/>
        <v>4004835</v>
      </c>
      <c r="BF36" s="308">
        <f t="shared" si="19"/>
        <v>3849757.1392999999</v>
      </c>
      <c r="BG36" s="308">
        <f t="shared" si="20"/>
        <v>3694679.2785999998</v>
      </c>
      <c r="BH36" s="308">
        <f t="shared" si="21"/>
        <v>3539601.4178999998</v>
      </c>
      <c r="BI36" s="308">
        <f t="shared" si="22"/>
        <v>3384523.5571999997</v>
      </c>
      <c r="BJ36" s="308">
        <f t="shared" si="23"/>
        <v>3229445.6964999996</v>
      </c>
      <c r="BK36" s="308">
        <f t="shared" si="24"/>
        <v>3074367.8357999995</v>
      </c>
      <c r="BL36" s="308">
        <f t="shared" si="25"/>
        <v>2803929</v>
      </c>
      <c r="BN36" s="308">
        <f t="shared" si="8"/>
        <v>4004835</v>
      </c>
      <c r="BO36" s="308">
        <f t="shared" si="9"/>
        <v>3849757.1392999999</v>
      </c>
      <c r="BP36" s="308">
        <f t="shared" si="10"/>
        <v>3694679.2785999998</v>
      </c>
      <c r="BQ36" s="308">
        <f t="shared" si="11"/>
        <v>3539601.4178999998</v>
      </c>
      <c r="BR36" s="308">
        <f t="shared" si="12"/>
        <v>3384523.5571999997</v>
      </c>
      <c r="BS36" s="308">
        <f t="shared" si="13"/>
        <v>3229445.6964999996</v>
      </c>
      <c r="BT36" s="308">
        <f t="shared" si="14"/>
        <v>3074367.8357999995</v>
      </c>
      <c r="BU36" s="308">
        <f t="shared" si="26"/>
        <v>2803929</v>
      </c>
    </row>
    <row r="37" spans="1:73" ht="15" x14ac:dyDescent="0.2">
      <c r="A37" s="62" t="s">
        <v>34</v>
      </c>
      <c r="B37" s="55" t="s">
        <v>4</v>
      </c>
      <c r="C37" s="55"/>
      <c r="D37" s="55"/>
      <c r="E37" s="55"/>
      <c r="F37" s="55"/>
      <c r="G37" s="48">
        <v>4</v>
      </c>
      <c r="H37" s="55">
        <v>23</v>
      </c>
      <c r="I37" s="55">
        <f>INDEX('FY 22 OFA Shell'!$K$27:$K$195,MATCH(Data!H37,'FY 22 OFA Shell'!$H$27:$H$195,0))</f>
        <v>1492.21</v>
      </c>
      <c r="J37" s="55">
        <f>INDEX('FY 22 OFA Shell'!$N$27:$N$195,MATCH(Data!H37,'FY 22 OFA Shell'!$H$27:$H$195,0))</f>
        <v>180</v>
      </c>
      <c r="K37" s="64">
        <f>INDEX('FY 22 OFA Shell'!$S$27:$S$195,MATCH(Data!H37,'FY 22 OFA Shell'!$H$27:$H$195,0))</f>
        <v>8</v>
      </c>
      <c r="L37" s="150">
        <f t="shared" si="15"/>
        <v>0.1206264533812265</v>
      </c>
      <c r="M37" s="149">
        <f>MAX(((L37-Inputs!$E$23)*Data!I37)*Inputs!$E$24,0)</f>
        <v>0</v>
      </c>
      <c r="N37" s="151">
        <f>INDEX('FY 22 OFA Shell'!$V$27:$V$195,MATCH(Data!H37,'FY 22 OFA Shell'!$H$27:$H$195,0))</f>
        <v>1550294648.6700001</v>
      </c>
      <c r="O37" s="63">
        <f>INDEX('FY 22 OFA Shell'!$W$27:$W$195,MATCH(Data!H37,'FY 22 OFA Shell'!$H$27:$H$195,0))</f>
        <v>10306</v>
      </c>
      <c r="P37" s="65">
        <f>INDEX('FY 22 OFA Shell'!$Z$27:$Z$195,MATCH(Data!H37,'FY 22 OFA Shell'!$H$27:$H$195,0))</f>
        <v>89255</v>
      </c>
      <c r="Q37" s="63">
        <f>INDEX('FY 22 OFA Shell'!$AF$27:$AF$195,MATCH(Data!H37,'FY 22 OFA Shell'!$H$27:$H$195,0))</f>
        <v>0</v>
      </c>
      <c r="R37" s="66">
        <f>INDEX('FY 22 OFA Shell'!$AG$27:$AG$195,MATCH(Data!H37,'FY 22 OFA Shell'!$H$27:$H$195,0))</f>
        <v>0</v>
      </c>
      <c r="S37" s="66">
        <f>INDEX('FY 22 OFA Shell'!$AJ$27:$AJ$195,MATCH(Data!H37,'FY 22 OFA Shell'!$H$27:$H$195,0))</f>
        <v>0</v>
      </c>
      <c r="T37" s="66">
        <f>INDEX('FY 22 OFA Shell'!$AK$27:$AK$195,MATCH(Data!H37,'FY 22 OFA Shell'!$H$27:$H$195,0))</f>
        <v>0</v>
      </c>
      <c r="U37" s="135">
        <v>3403900</v>
      </c>
      <c r="V37" s="67">
        <f>ROUND(J37*Inputs!$E$22, 2)</f>
        <v>54</v>
      </c>
      <c r="W37" s="68">
        <f>I37+V37+K37*Inputs!$E$28+Data!M37</f>
        <v>1548.21</v>
      </c>
      <c r="X37" s="69">
        <f t="shared" si="2"/>
        <v>150426.42000000001</v>
      </c>
      <c r="Y37" s="70">
        <f>ROUND(X37/Inputs!$E$32, 6)</f>
        <v>0.78132699999999999</v>
      </c>
      <c r="Z37" s="70">
        <f>ROUND(P37/Inputs!$E$33, 6)</f>
        <v>0.74074099999999998</v>
      </c>
      <c r="AA37" s="59">
        <f>ROUND(1-((Y37*Inputs!$E$29)+Z37*Inputs!$E$27), 6)</f>
        <v>0.230849</v>
      </c>
      <c r="AB37" s="59">
        <v>208.10505498084439</v>
      </c>
      <c r="AC37" s="73">
        <f>INDEX('FY 22 OFA Shell'!$G$27:$G$195,MATCH(Data!H37,'FY 22 OFA Shell'!$H$27:$H$195,0))</f>
        <v>130</v>
      </c>
      <c r="AD37" s="73">
        <f t="shared" si="16"/>
        <v>5</v>
      </c>
      <c r="AE37" s="65">
        <v>3403900</v>
      </c>
      <c r="AF37" s="65">
        <f t="shared" si="3"/>
        <v>715166</v>
      </c>
      <c r="AG37" s="65">
        <f t="shared" si="4"/>
        <v>715166</v>
      </c>
      <c r="AH37" s="52">
        <v>2939435</v>
      </c>
      <c r="AI37" s="107">
        <v>3391332.5</v>
      </c>
      <c r="AJ37"/>
      <c r="AK37">
        <v>0</v>
      </c>
      <c r="AL37" s="165">
        <f>INDEX('FY 22 OFA Shell'!$AU$27:$AU$195,MATCH(Data!H37,'FY 22 OFA Shell'!$H$27:$H$195,0))</f>
        <v>3423208</v>
      </c>
      <c r="AM37" s="165">
        <f>Outputs!H42</f>
        <v>4119066</v>
      </c>
      <c r="AN37" s="165">
        <f>Outputs!G42+Outputs!D42+Outputs!F42</f>
        <v>4119066</v>
      </c>
      <c r="AO37" s="165">
        <v>3402126</v>
      </c>
      <c r="AP37" s="165">
        <f t="shared" si="5"/>
        <v>3391332.5</v>
      </c>
      <c r="AQ37" s="52" t="str">
        <f t="shared" si="6"/>
        <v>Yes</v>
      </c>
      <c r="AR37" s="308">
        <f>ABS(IF(AQ37="Yes",AF37*Inputs!$D$50,Data!AF37*Inputs!$D$51))</f>
        <v>76236.695600000006</v>
      </c>
      <c r="AS37" s="308">
        <f t="shared" si="17"/>
        <v>3499444.6956000002</v>
      </c>
      <c r="AT37" s="308">
        <f t="shared" si="7"/>
        <v>3499444.6956000002</v>
      </c>
      <c r="AU37" s="308"/>
      <c r="AV37" s="308">
        <f>ABS(IF($AQ37="Yes",$AF37*Inputs!E$50,Data!$AF37*Inputs!E$51))</f>
        <v>76236.695600000006</v>
      </c>
      <c r="AW37" s="308">
        <f>ABS(IF($AQ37="Yes",$AF37*Inputs!F$50,Data!$AF37*Inputs!F$51))</f>
        <v>76236.695600000006</v>
      </c>
      <c r="AX37" s="308">
        <f>ABS(IF($AQ37="Yes",$AF37*Inputs!G$50,Data!$AF37*Inputs!G$51))</f>
        <v>76236.695600000006</v>
      </c>
      <c r="AY37" s="308">
        <f>ABS(IF($AQ37="Yes",$AF37*Inputs!H$50,Data!$AF37*Inputs!H$51))</f>
        <v>76236.695600000006</v>
      </c>
      <c r="AZ37" s="308">
        <f>ABS(IF($AQ37="Yes",$AF37*Inputs!I$50,Data!$AF37*Inputs!I$51))</f>
        <v>76236.695600000006</v>
      </c>
      <c r="BA37" s="308">
        <f>ABS(IF($AQ37="Yes",$AF37*Inputs!J$50,Data!$AF37*Inputs!J$51))</f>
        <v>76236.695600000006</v>
      </c>
      <c r="BB37" s="308">
        <f>ABS(IF($AQ37="Yes",$AF37*Inputs!K$50,Data!$AF37*Inputs!K$51))</f>
        <v>0</v>
      </c>
      <c r="BC37" s="308">
        <f>ABS(IF($AQ37="Yes",$AF37*Inputs!L$50,Data!$AF37*Inputs!L$51))</f>
        <v>0</v>
      </c>
      <c r="BE37" s="308">
        <f t="shared" si="18"/>
        <v>3575681.3912000004</v>
      </c>
      <c r="BF37" s="308">
        <f t="shared" si="19"/>
        <v>3651918.0868000006</v>
      </c>
      <c r="BG37" s="308">
        <f t="shared" si="20"/>
        <v>3728154.7824000008</v>
      </c>
      <c r="BH37" s="308">
        <f t="shared" si="21"/>
        <v>3804391.4780000011</v>
      </c>
      <c r="BI37" s="308">
        <f t="shared" si="22"/>
        <v>3880628.1736000013</v>
      </c>
      <c r="BJ37" s="308">
        <f t="shared" si="23"/>
        <v>4119066</v>
      </c>
      <c r="BK37" s="308">
        <f t="shared" si="24"/>
        <v>4119066</v>
      </c>
      <c r="BL37" s="308">
        <f t="shared" si="25"/>
        <v>4119066</v>
      </c>
      <c r="BN37" s="308">
        <f t="shared" si="8"/>
        <v>3575681.3912000004</v>
      </c>
      <c r="BO37" s="308">
        <f t="shared" si="9"/>
        <v>3651918.0868000006</v>
      </c>
      <c r="BP37" s="308">
        <f t="shared" si="10"/>
        <v>3728154.7824000008</v>
      </c>
      <c r="BQ37" s="308">
        <f t="shared" si="11"/>
        <v>3804391.4780000011</v>
      </c>
      <c r="BR37" s="308">
        <f t="shared" si="12"/>
        <v>3880628.1736000013</v>
      </c>
      <c r="BS37" s="308">
        <f t="shared" si="13"/>
        <v>4119066</v>
      </c>
      <c r="BT37" s="308">
        <f t="shared" si="14"/>
        <v>4119066</v>
      </c>
      <c r="BU37" s="308">
        <f t="shared" si="26"/>
        <v>4119066</v>
      </c>
    </row>
    <row r="38" spans="1:73" ht="15" x14ac:dyDescent="0.2">
      <c r="A38" s="62" t="s">
        <v>35</v>
      </c>
      <c r="B38" s="55" t="s">
        <v>8</v>
      </c>
      <c r="C38" s="55"/>
      <c r="D38" s="55"/>
      <c r="E38" s="55"/>
      <c r="F38" s="55"/>
      <c r="G38" s="48">
        <v>9</v>
      </c>
      <c r="H38" s="55">
        <v>24</v>
      </c>
      <c r="I38" s="55">
        <f>INDEX('FY 22 OFA Shell'!$K$27:$K$195,MATCH(Data!H38,'FY 22 OFA Shell'!$H$27:$H$195,0))</f>
        <v>238.68</v>
      </c>
      <c r="J38" s="55">
        <f>INDEX('FY 22 OFA Shell'!$N$27:$N$195,MATCH(Data!H38,'FY 22 OFA Shell'!$H$27:$H$195,0))</f>
        <v>101</v>
      </c>
      <c r="K38" s="64">
        <f>INDEX('FY 22 OFA Shell'!$S$27:$S$195,MATCH(Data!H38,'FY 22 OFA Shell'!$H$27:$H$195,0))</f>
        <v>4</v>
      </c>
      <c r="L38" s="150">
        <f t="shared" si="15"/>
        <v>0.42316071727836435</v>
      </c>
      <c r="M38" s="149">
        <f>MAX(((L38-Inputs!$E$23)*Data!I38)*Inputs!$E$24,0)</f>
        <v>0</v>
      </c>
      <c r="N38" s="151">
        <f>INDEX('FY 22 OFA Shell'!$V$27:$V$195,MATCH(Data!H38,'FY 22 OFA Shell'!$H$27:$H$195,0))</f>
        <v>295317266.67000002</v>
      </c>
      <c r="O38" s="63">
        <f>INDEX('FY 22 OFA Shell'!$W$27:$W$195,MATCH(Data!H38,'FY 22 OFA Shell'!$H$27:$H$195,0))</f>
        <v>2329</v>
      </c>
      <c r="P38" s="65">
        <f>INDEX('FY 22 OFA Shell'!$Z$27:$Z$195,MATCH(Data!H38,'FY 22 OFA Shell'!$H$27:$H$195,0))</f>
        <v>68889</v>
      </c>
      <c r="Q38" s="63">
        <f>INDEX('FY 22 OFA Shell'!$AF$27:$AF$195,MATCH(Data!H38,'FY 22 OFA Shell'!$H$27:$H$195,0))</f>
        <v>105</v>
      </c>
      <c r="R38" s="66">
        <f>INDEX('FY 22 OFA Shell'!$AG$27:$AG$195,MATCH(Data!H38,'FY 22 OFA Shell'!$H$27:$H$195,0))</f>
        <v>6</v>
      </c>
      <c r="S38" s="66">
        <f>INDEX('FY 22 OFA Shell'!$AJ$27:$AJ$195,MATCH(Data!H38,'FY 22 OFA Shell'!$H$27:$H$195,0))</f>
        <v>0</v>
      </c>
      <c r="T38" s="66">
        <f>INDEX('FY 22 OFA Shell'!$AK$27:$AK$195,MATCH(Data!H38,'FY 22 OFA Shell'!$H$27:$H$195,0))</f>
        <v>0</v>
      </c>
      <c r="U38" s="135">
        <v>1856992</v>
      </c>
      <c r="V38" s="67">
        <f>ROUND(J38*Inputs!$E$22, 2)</f>
        <v>30.3</v>
      </c>
      <c r="W38" s="68">
        <f>I38+V38+K38*Inputs!$E$28+Data!M38</f>
        <v>269.98</v>
      </c>
      <c r="X38" s="69">
        <f t="shared" si="2"/>
        <v>126800.03</v>
      </c>
      <c r="Y38" s="70">
        <f>ROUND(X38/Inputs!$E$32, 6)</f>
        <v>0.65861000000000003</v>
      </c>
      <c r="Z38" s="70">
        <f>ROUND(P38/Inputs!$E$33, 6)</f>
        <v>0.57172000000000001</v>
      </c>
      <c r="AA38" s="59">
        <f>ROUND(1-((Y38*Inputs!$E$29)+Z38*Inputs!$E$27), 6)</f>
        <v>0.36745699999999998</v>
      </c>
      <c r="AB38" s="59">
        <v>276.20394862098044</v>
      </c>
      <c r="AC38" s="73">
        <f>INDEX('FY 22 OFA Shell'!$G$27:$G$195,MATCH(Data!H38,'FY 22 OFA Shell'!$H$27:$H$195,0))</f>
        <v>36</v>
      </c>
      <c r="AD38" s="73">
        <f t="shared" si="16"/>
        <v>5</v>
      </c>
      <c r="AE38" s="65">
        <v>1856992</v>
      </c>
      <c r="AF38" s="65">
        <f t="shared" si="3"/>
        <v>-650642</v>
      </c>
      <c r="AG38" s="65">
        <f t="shared" si="4"/>
        <v>-650642</v>
      </c>
      <c r="AH38" s="52">
        <v>1614215</v>
      </c>
      <c r="AI38" s="107">
        <v>1761810.5</v>
      </c>
      <c r="AJ38">
        <v>2</v>
      </c>
      <c r="AK38">
        <v>2544.9758666081616</v>
      </c>
      <c r="AL38" s="165">
        <f>INDEX('FY 22 OFA Shell'!$AU$27:$AU$195,MATCH(Data!H38,'FY 22 OFA Shell'!$H$27:$H$195,0))</f>
        <v>1652147</v>
      </c>
      <c r="AM38" s="165">
        <f>Outputs!H43</f>
        <v>1206350</v>
      </c>
      <c r="AN38" s="165">
        <f>Outputs!G43+Outputs!D43+Outputs!F43</f>
        <v>1206350</v>
      </c>
      <c r="AO38" s="165">
        <v>1707125</v>
      </c>
      <c r="AP38" s="165">
        <f t="shared" si="5"/>
        <v>1764355.4758666081</v>
      </c>
      <c r="AQ38" s="52" t="str">
        <f t="shared" si="6"/>
        <v>No</v>
      </c>
      <c r="AR38" s="308">
        <f>ABS(IF(AQ38="Yes",AF38*Inputs!$D$50,Data!AF38*Inputs!$D$51))</f>
        <v>0</v>
      </c>
      <c r="AS38" s="308">
        <f t="shared" si="17"/>
        <v>1652147</v>
      </c>
      <c r="AT38" s="308">
        <f t="shared" si="7"/>
        <v>1652147</v>
      </c>
      <c r="AU38" s="308"/>
      <c r="AV38" s="308">
        <f>ABS(IF($AQ38="Yes",$AF38*Inputs!E$50,Data!$AF38*Inputs!E$51))</f>
        <v>0</v>
      </c>
      <c r="AW38" s="308">
        <f>ABS(IF($AQ38="Yes",$AF38*Inputs!F$50,Data!$AF38*Inputs!F$51))</f>
        <v>54198.478600000002</v>
      </c>
      <c r="AX38" s="308">
        <f>ABS(IF($AQ38="Yes",$AF38*Inputs!G$50,Data!$AF38*Inputs!G$51))</f>
        <v>54198.478600000002</v>
      </c>
      <c r="AY38" s="308">
        <f>ABS(IF($AQ38="Yes",$AF38*Inputs!H$50,Data!$AF38*Inputs!H$51))</f>
        <v>54198.478600000002</v>
      </c>
      <c r="AZ38" s="308">
        <f>ABS(IF($AQ38="Yes",$AF38*Inputs!I$50,Data!$AF38*Inputs!I$51))</f>
        <v>54198.478600000002</v>
      </c>
      <c r="BA38" s="308">
        <f>ABS(IF($AQ38="Yes",$AF38*Inputs!J$50,Data!$AF38*Inputs!J$51))</f>
        <v>54198.478600000002</v>
      </c>
      <c r="BB38" s="308">
        <f>ABS(IF($AQ38="Yes",$AF38*Inputs!K$50,Data!$AF38*Inputs!K$51))</f>
        <v>54198.478600000002</v>
      </c>
      <c r="BC38" s="308">
        <f>ABS(IF($AQ38="Yes",$AF38*Inputs!L$50,Data!$AF38*Inputs!L$51))</f>
        <v>54198.478600000002</v>
      </c>
      <c r="BE38" s="308">
        <f t="shared" si="18"/>
        <v>1652147</v>
      </c>
      <c r="BF38" s="308">
        <f t="shared" si="19"/>
        <v>1597948.5214</v>
      </c>
      <c r="BG38" s="308">
        <f t="shared" si="20"/>
        <v>1543750.0427999999</v>
      </c>
      <c r="BH38" s="308">
        <f t="shared" si="21"/>
        <v>1489551.5641999999</v>
      </c>
      <c r="BI38" s="308">
        <f t="shared" si="22"/>
        <v>1435353.0855999999</v>
      </c>
      <c r="BJ38" s="308">
        <f t="shared" si="23"/>
        <v>1381154.6069999998</v>
      </c>
      <c r="BK38" s="308">
        <f t="shared" si="24"/>
        <v>1326956.1283999998</v>
      </c>
      <c r="BL38" s="308">
        <f t="shared" si="25"/>
        <v>1206350</v>
      </c>
      <c r="BN38" s="308">
        <f t="shared" si="8"/>
        <v>1652147</v>
      </c>
      <c r="BO38" s="308">
        <f t="shared" si="9"/>
        <v>1597948.5214</v>
      </c>
      <c r="BP38" s="308">
        <f t="shared" si="10"/>
        <v>1543750.0427999999</v>
      </c>
      <c r="BQ38" s="308">
        <f t="shared" si="11"/>
        <v>1489551.5641999999</v>
      </c>
      <c r="BR38" s="308">
        <f t="shared" si="12"/>
        <v>1435353.0855999999</v>
      </c>
      <c r="BS38" s="308">
        <f t="shared" si="13"/>
        <v>1381154.6069999998</v>
      </c>
      <c r="BT38" s="308">
        <f t="shared" si="14"/>
        <v>1326956.1283999998</v>
      </c>
      <c r="BU38" s="308">
        <f t="shared" si="26"/>
        <v>1206350</v>
      </c>
    </row>
    <row r="39" spans="1:73" ht="15" x14ac:dyDescent="0.2">
      <c r="A39" s="62" t="s">
        <v>36</v>
      </c>
      <c r="B39" s="55" t="s">
        <v>10</v>
      </c>
      <c r="C39" s="55"/>
      <c r="D39" s="55"/>
      <c r="E39" s="55"/>
      <c r="F39" s="55"/>
      <c r="G39" s="48">
        <v>4</v>
      </c>
      <c r="H39" s="55">
        <v>25</v>
      </c>
      <c r="I39" s="55">
        <f>INDEX('FY 22 OFA Shell'!$K$27:$K$195,MATCH(Data!H39,'FY 22 OFA Shell'!$H$27:$H$195,0))</f>
        <v>4077.98</v>
      </c>
      <c r="J39" s="55">
        <f>INDEX('FY 22 OFA Shell'!$N$27:$N$195,MATCH(Data!H39,'FY 22 OFA Shell'!$H$27:$H$195,0))</f>
        <v>624</v>
      </c>
      <c r="K39" s="64">
        <f>INDEX('FY 22 OFA Shell'!$S$27:$S$195,MATCH(Data!H39,'FY 22 OFA Shell'!$H$27:$H$195,0))</f>
        <v>75</v>
      </c>
      <c r="L39" s="150">
        <f t="shared" si="15"/>
        <v>0.15301693485500173</v>
      </c>
      <c r="M39" s="149">
        <f>MAX(((L39-Inputs!$E$23)*Data!I39)*Inputs!$E$24,0)</f>
        <v>0</v>
      </c>
      <c r="N39" s="151">
        <f>INDEX('FY 22 OFA Shell'!$V$27:$V$195,MATCH(Data!H39,'FY 22 OFA Shell'!$H$27:$H$195,0))</f>
        <v>4115533223</v>
      </c>
      <c r="O39" s="63">
        <f>INDEX('FY 22 OFA Shell'!$W$27:$W$195,MATCH(Data!H39,'FY 22 OFA Shell'!$H$27:$H$195,0))</f>
        <v>29208</v>
      </c>
      <c r="P39" s="65">
        <f>INDEX('FY 22 OFA Shell'!$Z$27:$Z$195,MATCH(Data!H39,'FY 22 OFA Shell'!$H$27:$H$195,0))</f>
        <v>112945</v>
      </c>
      <c r="Q39" s="63">
        <f>INDEX('FY 22 OFA Shell'!$AF$27:$AF$195,MATCH(Data!H39,'FY 22 OFA Shell'!$H$27:$H$195,0))</f>
        <v>0</v>
      </c>
      <c r="R39" s="66">
        <f>INDEX('FY 22 OFA Shell'!$AG$27:$AG$195,MATCH(Data!H39,'FY 22 OFA Shell'!$H$27:$H$195,0))</f>
        <v>0</v>
      </c>
      <c r="S39" s="66">
        <f>INDEX('FY 22 OFA Shell'!$AJ$27:$AJ$195,MATCH(Data!H39,'FY 22 OFA Shell'!$H$27:$H$195,0))</f>
        <v>0</v>
      </c>
      <c r="T39" s="66">
        <f>INDEX('FY 22 OFA Shell'!$AK$27:$AK$195,MATCH(Data!H39,'FY 22 OFA Shell'!$H$27:$H$195,0))</f>
        <v>0</v>
      </c>
      <c r="U39" s="135">
        <v>9436665</v>
      </c>
      <c r="V39" s="67">
        <f>ROUND(J39*Inputs!$E$22, 2)</f>
        <v>187.2</v>
      </c>
      <c r="W39" s="68">
        <f>I39+V39+K39*Inputs!$E$28+Data!M39</f>
        <v>4283.93</v>
      </c>
      <c r="X39" s="69">
        <f t="shared" si="2"/>
        <v>140904.31</v>
      </c>
      <c r="Y39" s="70">
        <f>ROUND(X39/Inputs!$E$32, 6)</f>
        <v>0.73186899999999999</v>
      </c>
      <c r="Z39" s="70">
        <f>ROUND(P39/Inputs!$E$33, 6)</f>
        <v>0.93734799999999996</v>
      </c>
      <c r="AA39" s="59">
        <f>ROUND(1-((Y39*Inputs!$E$29)+Z39*Inputs!$E$27), 6)</f>
        <v>0.206487</v>
      </c>
      <c r="AB39" s="59">
        <v>208.99028452022208</v>
      </c>
      <c r="AC39" s="73">
        <f>INDEX('FY 22 OFA Shell'!$G$27:$G$195,MATCH(Data!H39,'FY 22 OFA Shell'!$H$27:$H$195,0))</f>
        <v>132</v>
      </c>
      <c r="AD39" s="73">
        <f t="shared" si="16"/>
        <v>5</v>
      </c>
      <c r="AE39" s="65">
        <v>9436665</v>
      </c>
      <c r="AF39" s="65">
        <f t="shared" si="3"/>
        <v>758072</v>
      </c>
      <c r="AG39" s="65">
        <f t="shared" si="4"/>
        <v>758072</v>
      </c>
      <c r="AH39" s="52">
        <v>8185188</v>
      </c>
      <c r="AI39" s="107">
        <v>9343891.75</v>
      </c>
      <c r="AJ39">
        <v>1</v>
      </c>
      <c r="AK39">
        <v>1272.4879333040808</v>
      </c>
      <c r="AL39" s="165">
        <f>INDEX('FY 22 OFA Shell'!$AU$27:$AU$195,MATCH(Data!H39,'FY 22 OFA Shell'!$H$27:$H$195,0))</f>
        <v>9339412</v>
      </c>
      <c r="AM39" s="165">
        <f>Outputs!H44</f>
        <v>10194737</v>
      </c>
      <c r="AN39" s="165">
        <f>Outputs!G44+Outputs!D44+Outputs!F44</f>
        <v>10194737</v>
      </c>
      <c r="AO39" s="165">
        <v>9313574</v>
      </c>
      <c r="AP39" s="165">
        <f t="shared" si="5"/>
        <v>9345164.2379333042</v>
      </c>
      <c r="AQ39" s="52" t="str">
        <f t="shared" si="6"/>
        <v>Yes</v>
      </c>
      <c r="AR39" s="308">
        <f>ABS(IF(AQ39="Yes",AF39*Inputs!$D$50,Data!AF39*Inputs!$D$51))</f>
        <v>80810.475200000001</v>
      </c>
      <c r="AS39" s="308">
        <f t="shared" si="17"/>
        <v>9420222.4751999993</v>
      </c>
      <c r="AT39" s="308">
        <f t="shared" si="7"/>
        <v>9420222.4751999993</v>
      </c>
      <c r="AU39" s="308"/>
      <c r="AV39" s="308">
        <f>ABS(IF($AQ39="Yes",$AF39*Inputs!E$50,Data!$AF39*Inputs!E$51))</f>
        <v>80810.475200000001</v>
      </c>
      <c r="AW39" s="308">
        <f>ABS(IF($AQ39="Yes",$AF39*Inputs!F$50,Data!$AF39*Inputs!F$51))</f>
        <v>80810.475200000001</v>
      </c>
      <c r="AX39" s="308">
        <f>ABS(IF($AQ39="Yes",$AF39*Inputs!G$50,Data!$AF39*Inputs!G$51))</f>
        <v>80810.475200000001</v>
      </c>
      <c r="AY39" s="308">
        <f>ABS(IF($AQ39="Yes",$AF39*Inputs!H$50,Data!$AF39*Inputs!H$51))</f>
        <v>80810.475200000001</v>
      </c>
      <c r="AZ39" s="308">
        <f>ABS(IF($AQ39="Yes",$AF39*Inputs!I$50,Data!$AF39*Inputs!I$51))</f>
        <v>80810.475200000001</v>
      </c>
      <c r="BA39" s="308">
        <f>ABS(IF($AQ39="Yes",$AF39*Inputs!J$50,Data!$AF39*Inputs!J$51))</f>
        <v>80810.475200000001</v>
      </c>
      <c r="BB39" s="308">
        <f>ABS(IF($AQ39="Yes",$AF39*Inputs!K$50,Data!$AF39*Inputs!K$51))</f>
        <v>0</v>
      </c>
      <c r="BC39" s="308">
        <f>ABS(IF($AQ39="Yes",$AF39*Inputs!L$50,Data!$AF39*Inputs!L$51))</f>
        <v>0</v>
      </c>
      <c r="BE39" s="308">
        <f t="shared" si="18"/>
        <v>9501032.9503999986</v>
      </c>
      <c r="BF39" s="308">
        <f t="shared" si="19"/>
        <v>9581843.4255999979</v>
      </c>
      <c r="BG39" s="308">
        <f t="shared" si="20"/>
        <v>9662653.9007999972</v>
      </c>
      <c r="BH39" s="308">
        <f t="shared" si="21"/>
        <v>9743464.3759999964</v>
      </c>
      <c r="BI39" s="308">
        <f t="shared" si="22"/>
        <v>9824274.8511999957</v>
      </c>
      <c r="BJ39" s="308">
        <f t="shared" si="23"/>
        <v>10194737</v>
      </c>
      <c r="BK39" s="308">
        <f t="shared" si="24"/>
        <v>10194737</v>
      </c>
      <c r="BL39" s="308">
        <f t="shared" si="25"/>
        <v>10194737</v>
      </c>
      <c r="BN39" s="308">
        <f t="shared" si="8"/>
        <v>9501032.9503999986</v>
      </c>
      <c r="BO39" s="308">
        <f t="shared" si="9"/>
        <v>9581843.4255999979</v>
      </c>
      <c r="BP39" s="308">
        <f t="shared" si="10"/>
        <v>9662653.9007999972</v>
      </c>
      <c r="BQ39" s="308">
        <f t="shared" si="11"/>
        <v>9743464.3759999964</v>
      </c>
      <c r="BR39" s="308">
        <f t="shared" si="12"/>
        <v>9824274.8511999957</v>
      </c>
      <c r="BS39" s="308">
        <f t="shared" si="13"/>
        <v>10194737</v>
      </c>
      <c r="BT39" s="308">
        <f t="shared" si="14"/>
        <v>10194737</v>
      </c>
      <c r="BU39" s="308">
        <f t="shared" si="26"/>
        <v>10194737</v>
      </c>
    </row>
    <row r="40" spans="1:73" ht="15" x14ac:dyDescent="0.2">
      <c r="A40" s="62" t="s">
        <v>37</v>
      </c>
      <c r="B40" s="55" t="s">
        <v>8</v>
      </c>
      <c r="C40" s="55"/>
      <c r="D40" s="55"/>
      <c r="E40" s="55"/>
      <c r="F40" s="55"/>
      <c r="G40" s="48">
        <v>4</v>
      </c>
      <c r="H40" s="55">
        <v>26</v>
      </c>
      <c r="I40" s="55">
        <f>INDEX('FY 22 OFA Shell'!$K$27:$K$195,MATCH(Data!H40,'FY 22 OFA Shell'!$H$27:$H$195,0))</f>
        <v>408.86</v>
      </c>
      <c r="J40" s="55">
        <f>INDEX('FY 22 OFA Shell'!$N$27:$N$195,MATCH(Data!H40,'FY 22 OFA Shell'!$H$27:$H$195,0))</f>
        <v>102</v>
      </c>
      <c r="K40" s="64">
        <f>INDEX('FY 22 OFA Shell'!$S$27:$S$195,MATCH(Data!H40,'FY 22 OFA Shell'!$H$27:$H$195,0))</f>
        <v>6</v>
      </c>
      <c r="L40" s="150">
        <f t="shared" si="15"/>
        <v>0.24947414762999559</v>
      </c>
      <c r="M40" s="149">
        <f>MAX(((L40-Inputs!$E$23)*Data!I40)*Inputs!$E$24,0)</f>
        <v>0</v>
      </c>
      <c r="N40" s="151">
        <f>INDEX('FY 22 OFA Shell'!$V$27:$V$195,MATCH(Data!H40,'FY 22 OFA Shell'!$H$27:$H$195,0))</f>
        <v>645287072</v>
      </c>
      <c r="O40" s="63">
        <f>INDEX('FY 22 OFA Shell'!$W$27:$W$195,MATCH(Data!H40,'FY 22 OFA Shell'!$H$27:$H$195,0))</f>
        <v>4268</v>
      </c>
      <c r="P40" s="65">
        <f>INDEX('FY 22 OFA Shell'!$Z$27:$Z$195,MATCH(Data!H40,'FY 22 OFA Shell'!$H$27:$H$195,0))</f>
        <v>92417</v>
      </c>
      <c r="Q40" s="63">
        <f>INDEX('FY 22 OFA Shell'!$AF$27:$AF$195,MATCH(Data!H40,'FY 22 OFA Shell'!$H$27:$H$195,0))</f>
        <v>201</v>
      </c>
      <c r="R40" s="66">
        <f>INDEX('FY 22 OFA Shell'!$AG$27:$AG$195,MATCH(Data!H40,'FY 22 OFA Shell'!$H$27:$H$195,0))</f>
        <v>6</v>
      </c>
      <c r="S40" s="66">
        <f>INDEX('FY 22 OFA Shell'!$AJ$27:$AJ$195,MATCH(Data!H40,'FY 22 OFA Shell'!$H$27:$H$195,0))</f>
        <v>0</v>
      </c>
      <c r="T40" s="66">
        <f>INDEX('FY 22 OFA Shell'!$AK$27:$AK$195,MATCH(Data!H40,'FY 22 OFA Shell'!$H$27:$H$195,0))</f>
        <v>0</v>
      </c>
      <c r="U40" s="135">
        <v>659216</v>
      </c>
      <c r="V40" s="67">
        <f>ROUND(J40*Inputs!$E$22, 2)</f>
        <v>30.6</v>
      </c>
      <c r="W40" s="68">
        <f>I40+V40+K40*Inputs!$E$28+Data!M40</f>
        <v>440.96000000000004</v>
      </c>
      <c r="X40" s="69">
        <f t="shared" si="2"/>
        <v>151191.91</v>
      </c>
      <c r="Y40" s="70">
        <f>ROUND(X40/Inputs!$E$32, 6)</f>
        <v>0.78530299999999997</v>
      </c>
      <c r="Z40" s="70">
        <f>ROUND(P40/Inputs!$E$33, 6)</f>
        <v>0.76698299999999997</v>
      </c>
      <c r="AA40" s="59">
        <f>ROUND(1-((Y40*Inputs!$E$29)+Z40*Inputs!$E$27), 6)</f>
        <v>0.220193</v>
      </c>
      <c r="AB40" s="59">
        <v>198.97598519713952</v>
      </c>
      <c r="AC40" s="73">
        <f>INDEX('FY 22 OFA Shell'!$G$27:$G$195,MATCH(Data!H40,'FY 22 OFA Shell'!$H$27:$H$195,0))</f>
        <v>122</v>
      </c>
      <c r="AD40" s="73">
        <f t="shared" si="16"/>
        <v>5</v>
      </c>
      <c r="AE40" s="65">
        <v>659216</v>
      </c>
      <c r="AF40" s="65">
        <f t="shared" si="3"/>
        <v>580419</v>
      </c>
      <c r="AG40" s="65">
        <f t="shared" si="4"/>
        <v>580419</v>
      </c>
      <c r="AH40" s="52">
        <v>572180</v>
      </c>
      <c r="AI40" s="107">
        <v>678413.02</v>
      </c>
      <c r="AJ40"/>
      <c r="AK40">
        <v>0</v>
      </c>
      <c r="AL40" s="165">
        <f>INDEX('FY 22 OFA Shell'!$AU$27:$AU$195,MATCH(Data!H40,'FY 22 OFA Shell'!$H$27:$H$195,0))</f>
        <v>768291</v>
      </c>
      <c r="AM40" s="165">
        <f>Outputs!H45</f>
        <v>1239635</v>
      </c>
      <c r="AN40" s="165">
        <f>Outputs!G45+Outputs!D45+Outputs!F45</f>
        <v>1239635</v>
      </c>
      <c r="AO40" s="165">
        <v>732016</v>
      </c>
      <c r="AP40" s="165">
        <f t="shared" si="5"/>
        <v>678413.02</v>
      </c>
      <c r="AQ40" s="52" t="str">
        <f t="shared" si="6"/>
        <v>Yes</v>
      </c>
      <c r="AR40" s="308">
        <f>ABS(IF(AQ40="Yes",AF40*Inputs!$D$50,Data!AF40*Inputs!$D$51))</f>
        <v>61872.665399999998</v>
      </c>
      <c r="AS40" s="308">
        <f t="shared" si="17"/>
        <v>830163.66540000006</v>
      </c>
      <c r="AT40" s="308">
        <f t="shared" si="7"/>
        <v>830163.66540000006</v>
      </c>
      <c r="AU40" s="308"/>
      <c r="AV40" s="308">
        <f>ABS(IF($AQ40="Yes",$AF40*Inputs!E$50,Data!$AF40*Inputs!E$51))</f>
        <v>61872.665399999998</v>
      </c>
      <c r="AW40" s="308">
        <f>ABS(IF($AQ40="Yes",$AF40*Inputs!F$50,Data!$AF40*Inputs!F$51))</f>
        <v>61872.665399999998</v>
      </c>
      <c r="AX40" s="308">
        <f>ABS(IF($AQ40="Yes",$AF40*Inputs!G$50,Data!$AF40*Inputs!G$51))</f>
        <v>61872.665399999998</v>
      </c>
      <c r="AY40" s="308">
        <f>ABS(IF($AQ40="Yes",$AF40*Inputs!H$50,Data!$AF40*Inputs!H$51))</f>
        <v>61872.665399999998</v>
      </c>
      <c r="AZ40" s="308">
        <f>ABS(IF($AQ40="Yes",$AF40*Inputs!I$50,Data!$AF40*Inputs!I$51))</f>
        <v>61872.665399999998</v>
      </c>
      <c r="BA40" s="308">
        <f>ABS(IF($AQ40="Yes",$AF40*Inputs!J$50,Data!$AF40*Inputs!J$51))</f>
        <v>61872.665399999998</v>
      </c>
      <c r="BB40" s="308">
        <f>ABS(IF($AQ40="Yes",$AF40*Inputs!K$50,Data!$AF40*Inputs!K$51))</f>
        <v>0</v>
      </c>
      <c r="BC40" s="308">
        <f>ABS(IF($AQ40="Yes",$AF40*Inputs!L$50,Data!$AF40*Inputs!L$51))</f>
        <v>0</v>
      </c>
      <c r="BE40" s="308">
        <f t="shared" si="18"/>
        <v>892036.33080000011</v>
      </c>
      <c r="BF40" s="308">
        <f t="shared" si="19"/>
        <v>953908.99620000017</v>
      </c>
      <c r="BG40" s="308">
        <f t="shared" si="20"/>
        <v>1015781.6616000002</v>
      </c>
      <c r="BH40" s="308">
        <f t="shared" si="21"/>
        <v>1077654.3270000003</v>
      </c>
      <c r="BI40" s="308">
        <f t="shared" si="22"/>
        <v>1139526.9924000003</v>
      </c>
      <c r="BJ40" s="308">
        <f t="shared" si="23"/>
        <v>1239635</v>
      </c>
      <c r="BK40" s="308">
        <f t="shared" si="24"/>
        <v>1239635</v>
      </c>
      <c r="BL40" s="308">
        <f t="shared" si="25"/>
        <v>1239635</v>
      </c>
      <c r="BN40" s="308">
        <f t="shared" si="8"/>
        <v>892036.33080000011</v>
      </c>
      <c r="BO40" s="308">
        <f t="shared" si="9"/>
        <v>953908.99620000017</v>
      </c>
      <c r="BP40" s="308">
        <f t="shared" si="10"/>
        <v>1015781.6616000002</v>
      </c>
      <c r="BQ40" s="308">
        <f t="shared" si="11"/>
        <v>1077654.3270000003</v>
      </c>
      <c r="BR40" s="308">
        <f t="shared" si="12"/>
        <v>1139526.9924000003</v>
      </c>
      <c r="BS40" s="308">
        <f t="shared" si="13"/>
        <v>1239635</v>
      </c>
      <c r="BT40" s="308">
        <f t="shared" si="14"/>
        <v>1239635</v>
      </c>
      <c r="BU40" s="308">
        <f t="shared" si="26"/>
        <v>1239635</v>
      </c>
    </row>
    <row r="41" spans="1:73" ht="15" x14ac:dyDescent="0.2">
      <c r="A41" s="62" t="s">
        <v>38</v>
      </c>
      <c r="B41" s="55" t="s">
        <v>14</v>
      </c>
      <c r="C41" s="55"/>
      <c r="D41" s="55"/>
      <c r="E41" s="55"/>
      <c r="F41" s="55"/>
      <c r="G41" s="48">
        <v>5</v>
      </c>
      <c r="H41" s="55">
        <v>27</v>
      </c>
      <c r="I41" s="55">
        <f>INDEX('FY 22 OFA Shell'!$K$27:$K$195,MATCH(Data!H41,'FY 22 OFA Shell'!$H$27:$H$195,0))</f>
        <v>1551.28</v>
      </c>
      <c r="J41" s="55">
        <f>INDEX('FY 22 OFA Shell'!$N$27:$N$195,MATCH(Data!H41,'FY 22 OFA Shell'!$H$27:$H$195,0))</f>
        <v>577</v>
      </c>
      <c r="K41" s="64">
        <f>INDEX('FY 22 OFA Shell'!$S$27:$S$195,MATCH(Data!H41,'FY 22 OFA Shell'!$H$27:$H$195,0))</f>
        <v>108</v>
      </c>
      <c r="L41" s="150">
        <f t="shared" si="15"/>
        <v>0.37195090505904804</v>
      </c>
      <c r="M41" s="149">
        <f>MAX(((L41-Inputs!$E$23)*Data!I41)*Inputs!$E$24,0)</f>
        <v>0</v>
      </c>
      <c r="N41" s="151">
        <f>INDEX('FY 22 OFA Shell'!$V$27:$V$195,MATCH(Data!H41,'FY 22 OFA Shell'!$H$27:$H$195,0))</f>
        <v>2321389950</v>
      </c>
      <c r="O41" s="63">
        <f>INDEX('FY 22 OFA Shell'!$W$27:$W$195,MATCH(Data!H41,'FY 22 OFA Shell'!$H$27:$H$195,0))</f>
        <v>12976</v>
      </c>
      <c r="P41" s="65">
        <f>INDEX('FY 22 OFA Shell'!$Z$27:$Z$195,MATCH(Data!H41,'FY 22 OFA Shell'!$H$27:$H$195,0))</f>
        <v>76360</v>
      </c>
      <c r="Q41" s="63">
        <f>INDEX('FY 22 OFA Shell'!$AF$27:$AF$195,MATCH(Data!H41,'FY 22 OFA Shell'!$H$27:$H$195,0))</f>
        <v>0</v>
      </c>
      <c r="R41" s="66">
        <f>INDEX('FY 22 OFA Shell'!$AG$27:$AG$195,MATCH(Data!H41,'FY 22 OFA Shell'!$H$27:$H$195,0))</f>
        <v>0</v>
      </c>
      <c r="S41" s="66">
        <f>INDEX('FY 22 OFA Shell'!$AJ$27:$AJ$195,MATCH(Data!H41,'FY 22 OFA Shell'!$H$27:$H$195,0))</f>
        <v>0</v>
      </c>
      <c r="T41" s="66">
        <f>INDEX('FY 22 OFA Shell'!$AK$27:$AK$195,MATCH(Data!H41,'FY 22 OFA Shell'!$H$27:$H$195,0))</f>
        <v>0</v>
      </c>
      <c r="U41" s="135">
        <v>6326998</v>
      </c>
      <c r="V41" s="67">
        <f>ROUND(J41*Inputs!$E$22, 2)</f>
        <v>173.1</v>
      </c>
      <c r="W41" s="68">
        <f>I41+V41+K41*Inputs!$E$28+Data!M41</f>
        <v>1751.3799999999999</v>
      </c>
      <c r="X41" s="69">
        <f t="shared" si="2"/>
        <v>178898.73</v>
      </c>
      <c r="Y41" s="70">
        <f>ROUND(X41/Inputs!$E$32, 6)</f>
        <v>0.92921500000000001</v>
      </c>
      <c r="Z41" s="70">
        <f>ROUND(P41/Inputs!$E$33, 6)</f>
        <v>0.63372300000000004</v>
      </c>
      <c r="AA41" s="59">
        <f>ROUND(1-((Y41*Inputs!$E$29)+Z41*Inputs!$E$27), 6)</f>
        <v>0.15943299999999999</v>
      </c>
      <c r="AB41" s="59">
        <v>221.76321277631351</v>
      </c>
      <c r="AC41" s="73">
        <f>INDEX('FY 22 OFA Shell'!$G$27:$G$195,MATCH(Data!H41,'FY 22 OFA Shell'!$H$27:$H$195,0))</f>
        <v>84</v>
      </c>
      <c r="AD41" s="73">
        <f t="shared" si="16"/>
        <v>5</v>
      </c>
      <c r="AE41" s="65">
        <v>6326998</v>
      </c>
      <c r="AF41" s="65">
        <f t="shared" si="3"/>
        <v>-3108898</v>
      </c>
      <c r="AG41" s="65">
        <f t="shared" si="4"/>
        <v>-3108898</v>
      </c>
      <c r="AH41" s="52">
        <v>5484287</v>
      </c>
      <c r="AI41" s="107">
        <v>5684253</v>
      </c>
      <c r="AJ41"/>
      <c r="AK41">
        <v>0</v>
      </c>
      <c r="AL41" s="165">
        <f>INDEX('FY 22 OFA Shell'!$AU$27:$AU$195,MATCH(Data!H41,'FY 22 OFA Shell'!$H$27:$H$195,0))</f>
        <v>5192084</v>
      </c>
      <c r="AM41" s="165">
        <f>Outputs!H46</f>
        <v>3218100</v>
      </c>
      <c r="AN41" s="165">
        <f>Outputs!G46+Outputs!D46+Outputs!F46</f>
        <v>3218100</v>
      </c>
      <c r="AO41" s="165">
        <v>5455699</v>
      </c>
      <c r="AP41" s="165">
        <f t="shared" si="5"/>
        <v>5684253</v>
      </c>
      <c r="AQ41" s="52" t="str">
        <f t="shared" si="6"/>
        <v>No</v>
      </c>
      <c r="AR41" s="308">
        <f>ABS(IF(AQ41="Yes",AF41*Inputs!$D$50,Data!AF41*Inputs!$D$51))</f>
        <v>0</v>
      </c>
      <c r="AS41" s="308">
        <f t="shared" si="17"/>
        <v>5192084</v>
      </c>
      <c r="AT41" s="308">
        <f t="shared" si="7"/>
        <v>5192084</v>
      </c>
      <c r="AU41" s="308"/>
      <c r="AV41" s="308">
        <f>ABS(IF($AQ41="Yes",$AF41*Inputs!E$50,Data!$AF41*Inputs!E$51))</f>
        <v>0</v>
      </c>
      <c r="AW41" s="308">
        <f>ABS(IF($AQ41="Yes",$AF41*Inputs!F$50,Data!$AF41*Inputs!F$51))</f>
        <v>258971.2034</v>
      </c>
      <c r="AX41" s="308">
        <f>ABS(IF($AQ41="Yes",$AF41*Inputs!G$50,Data!$AF41*Inputs!G$51))</f>
        <v>258971.2034</v>
      </c>
      <c r="AY41" s="308">
        <f>ABS(IF($AQ41="Yes",$AF41*Inputs!H$50,Data!$AF41*Inputs!H$51))</f>
        <v>258971.2034</v>
      </c>
      <c r="AZ41" s="308">
        <f>ABS(IF($AQ41="Yes",$AF41*Inputs!I$50,Data!$AF41*Inputs!I$51))</f>
        <v>258971.2034</v>
      </c>
      <c r="BA41" s="308">
        <f>ABS(IF($AQ41="Yes",$AF41*Inputs!J$50,Data!$AF41*Inputs!J$51))</f>
        <v>258971.2034</v>
      </c>
      <c r="BB41" s="308">
        <f>ABS(IF($AQ41="Yes",$AF41*Inputs!K$50,Data!$AF41*Inputs!K$51))</f>
        <v>258971.2034</v>
      </c>
      <c r="BC41" s="308">
        <f>ABS(IF($AQ41="Yes",$AF41*Inputs!L$50,Data!$AF41*Inputs!L$51))</f>
        <v>258971.2034</v>
      </c>
      <c r="BE41" s="308">
        <f t="shared" si="18"/>
        <v>5192084</v>
      </c>
      <c r="BF41" s="308">
        <f t="shared" si="19"/>
        <v>4933112.7966</v>
      </c>
      <c r="BG41" s="308">
        <f t="shared" si="20"/>
        <v>4674141.5932</v>
      </c>
      <c r="BH41" s="308">
        <f t="shared" si="21"/>
        <v>4415170.3898</v>
      </c>
      <c r="BI41" s="308">
        <f t="shared" si="22"/>
        <v>4156199.1864</v>
      </c>
      <c r="BJ41" s="308">
        <f t="shared" si="23"/>
        <v>3897227.983</v>
      </c>
      <c r="BK41" s="308">
        <f t="shared" si="24"/>
        <v>3638256.7796</v>
      </c>
      <c r="BL41" s="308">
        <f t="shared" si="25"/>
        <v>3218100</v>
      </c>
      <c r="BN41" s="308">
        <f t="shared" si="8"/>
        <v>5192084</v>
      </c>
      <c r="BO41" s="308">
        <f t="shared" si="9"/>
        <v>4933112.7966</v>
      </c>
      <c r="BP41" s="308">
        <f t="shared" si="10"/>
        <v>4674141.5932</v>
      </c>
      <c r="BQ41" s="308">
        <f t="shared" si="11"/>
        <v>4415170.3898</v>
      </c>
      <c r="BR41" s="308">
        <f t="shared" si="12"/>
        <v>4156199.1864</v>
      </c>
      <c r="BS41" s="308">
        <f t="shared" si="13"/>
        <v>3897227.983</v>
      </c>
      <c r="BT41" s="308">
        <f t="shared" si="14"/>
        <v>3638256.7796</v>
      </c>
      <c r="BU41" s="308">
        <f t="shared" si="26"/>
        <v>3218100</v>
      </c>
    </row>
    <row r="42" spans="1:73" ht="15" x14ac:dyDescent="0.2">
      <c r="A42" s="62" t="s">
        <v>39</v>
      </c>
      <c r="B42" s="55" t="s">
        <v>14</v>
      </c>
      <c r="C42" s="55"/>
      <c r="D42" s="55"/>
      <c r="E42" s="55"/>
      <c r="F42" s="55"/>
      <c r="G42" s="48">
        <v>6</v>
      </c>
      <c r="H42" s="55">
        <v>28</v>
      </c>
      <c r="I42" s="55">
        <f>INDEX('FY 22 OFA Shell'!$K$27:$K$195,MATCH(Data!H42,'FY 22 OFA Shell'!$H$27:$H$195,0))</f>
        <v>2211.62</v>
      </c>
      <c r="J42" s="55">
        <f>INDEX('FY 22 OFA Shell'!$N$27:$N$195,MATCH(Data!H42,'FY 22 OFA Shell'!$H$27:$H$195,0))</f>
        <v>518</v>
      </c>
      <c r="K42" s="64">
        <f>INDEX('FY 22 OFA Shell'!$S$27:$S$195,MATCH(Data!H42,'FY 22 OFA Shell'!$H$27:$H$195,0))</f>
        <v>13</v>
      </c>
      <c r="L42" s="150">
        <f t="shared" si="15"/>
        <v>0.23421745146092007</v>
      </c>
      <c r="M42" s="149">
        <f>MAX(((L42-Inputs!$E$23)*Data!I42)*Inputs!$E$24,0)</f>
        <v>0</v>
      </c>
      <c r="N42" s="151">
        <f>INDEX('FY 22 OFA Shell'!$V$27:$V$195,MATCH(Data!H42,'FY 22 OFA Shell'!$H$27:$H$195,0))</f>
        <v>1788735536</v>
      </c>
      <c r="O42" s="63">
        <f>INDEX('FY 22 OFA Shell'!$W$27:$W$195,MATCH(Data!H42,'FY 22 OFA Shell'!$H$27:$H$195,0))</f>
        <v>15927</v>
      </c>
      <c r="P42" s="65">
        <f>INDEX('FY 22 OFA Shell'!$Z$27:$Z$195,MATCH(Data!H42,'FY 22 OFA Shell'!$H$27:$H$195,0))</f>
        <v>103380</v>
      </c>
      <c r="Q42" s="63">
        <f>INDEX('FY 22 OFA Shell'!$AF$27:$AF$195,MATCH(Data!H42,'FY 22 OFA Shell'!$H$27:$H$195,0))</f>
        <v>0</v>
      </c>
      <c r="R42" s="66">
        <f>INDEX('FY 22 OFA Shell'!$AG$27:$AG$195,MATCH(Data!H42,'FY 22 OFA Shell'!$H$27:$H$195,0))</f>
        <v>0</v>
      </c>
      <c r="S42" s="66">
        <f>INDEX('FY 22 OFA Shell'!$AJ$27:$AJ$195,MATCH(Data!H42,'FY 22 OFA Shell'!$H$27:$H$195,0))</f>
        <v>0</v>
      </c>
      <c r="T42" s="66">
        <f>INDEX('FY 22 OFA Shell'!$AK$27:$AK$195,MATCH(Data!H42,'FY 22 OFA Shell'!$H$27:$H$195,0))</f>
        <v>0</v>
      </c>
      <c r="U42" s="135">
        <v>13503310</v>
      </c>
      <c r="V42" s="67">
        <f>ROUND(J42*Inputs!$E$22, 2)</f>
        <v>155.4</v>
      </c>
      <c r="W42" s="68">
        <f>I42+V42+K42*Inputs!$E$28+Data!M42</f>
        <v>2370.27</v>
      </c>
      <c r="X42" s="69">
        <f t="shared" si="2"/>
        <v>112308.38</v>
      </c>
      <c r="Y42" s="70">
        <f>ROUND(X42/Inputs!$E$32, 6)</f>
        <v>0.58333900000000005</v>
      </c>
      <c r="Z42" s="70">
        <f>ROUND(P42/Inputs!$E$33, 6)</f>
        <v>0.85796600000000001</v>
      </c>
      <c r="AA42" s="59">
        <f>ROUND(1-((Y42*Inputs!$E$29)+Z42*Inputs!$E$27), 6)</f>
        <v>0.33427299999999999</v>
      </c>
      <c r="AB42" s="59">
        <v>236.91334084742684</v>
      </c>
      <c r="AC42" s="73">
        <f>INDEX('FY 22 OFA Shell'!$G$27:$G$195,MATCH(Data!H42,'FY 22 OFA Shell'!$H$27:$H$195,0))</f>
        <v>64</v>
      </c>
      <c r="AD42" s="73">
        <f t="shared" si="16"/>
        <v>5</v>
      </c>
      <c r="AE42" s="65">
        <v>13503310</v>
      </c>
      <c r="AF42" s="65">
        <f t="shared" si="3"/>
        <v>-4371854</v>
      </c>
      <c r="AG42" s="65">
        <f t="shared" si="4"/>
        <v>-4371854</v>
      </c>
      <c r="AH42" s="52">
        <v>11725564</v>
      </c>
      <c r="AI42" s="107">
        <v>12670600.5</v>
      </c>
      <c r="AJ42"/>
      <c r="AK42">
        <v>0</v>
      </c>
      <c r="AL42" s="165">
        <f>INDEX('FY 22 OFA Shell'!$AU$27:$AU$195,MATCH(Data!H42,'FY 22 OFA Shell'!$H$27:$H$195,0))</f>
        <v>12040218</v>
      </c>
      <c r="AM42" s="165">
        <f>Outputs!H47</f>
        <v>9131456</v>
      </c>
      <c r="AN42" s="165">
        <f>Outputs!G47+Outputs!D47+Outputs!F47</f>
        <v>9131456</v>
      </c>
      <c r="AO42" s="165">
        <v>12359180</v>
      </c>
      <c r="AP42" s="165">
        <f t="shared" si="5"/>
        <v>12670600.5</v>
      </c>
      <c r="AQ42" s="52" t="str">
        <f t="shared" si="6"/>
        <v>No</v>
      </c>
      <c r="AR42" s="308">
        <f>ABS(IF(AQ42="Yes",AF42*Inputs!$D$50,Data!AF42*Inputs!$D$51))</f>
        <v>0</v>
      </c>
      <c r="AS42" s="308">
        <f t="shared" si="17"/>
        <v>12040218</v>
      </c>
      <c r="AT42" s="308">
        <f t="shared" si="7"/>
        <v>12040218</v>
      </c>
      <c r="AU42" s="308"/>
      <c r="AV42" s="308">
        <f>ABS(IF($AQ42="Yes",$AF42*Inputs!E$50,Data!$AF42*Inputs!E$51))</f>
        <v>0</v>
      </c>
      <c r="AW42" s="308">
        <f>ABS(IF($AQ42="Yes",$AF42*Inputs!F$50,Data!$AF42*Inputs!F$51))</f>
        <v>364175.43819999998</v>
      </c>
      <c r="AX42" s="308">
        <f>ABS(IF($AQ42="Yes",$AF42*Inputs!G$50,Data!$AF42*Inputs!G$51))</f>
        <v>364175.43819999998</v>
      </c>
      <c r="AY42" s="308">
        <f>ABS(IF($AQ42="Yes",$AF42*Inputs!H$50,Data!$AF42*Inputs!H$51))</f>
        <v>364175.43819999998</v>
      </c>
      <c r="AZ42" s="308">
        <f>ABS(IF($AQ42="Yes",$AF42*Inputs!I$50,Data!$AF42*Inputs!I$51))</f>
        <v>364175.43819999998</v>
      </c>
      <c r="BA42" s="308">
        <f>ABS(IF($AQ42="Yes",$AF42*Inputs!J$50,Data!$AF42*Inputs!J$51))</f>
        <v>364175.43819999998</v>
      </c>
      <c r="BB42" s="308">
        <f>ABS(IF($AQ42="Yes",$AF42*Inputs!K$50,Data!$AF42*Inputs!K$51))</f>
        <v>364175.43819999998</v>
      </c>
      <c r="BC42" s="308">
        <f>ABS(IF($AQ42="Yes",$AF42*Inputs!L$50,Data!$AF42*Inputs!L$51))</f>
        <v>364175.43819999998</v>
      </c>
      <c r="BE42" s="308">
        <f t="shared" si="18"/>
        <v>12040218</v>
      </c>
      <c r="BF42" s="308">
        <f t="shared" si="19"/>
        <v>11676042.561799999</v>
      </c>
      <c r="BG42" s="308">
        <f t="shared" si="20"/>
        <v>11311867.123599999</v>
      </c>
      <c r="BH42" s="308">
        <f t="shared" si="21"/>
        <v>10947691.685399998</v>
      </c>
      <c r="BI42" s="308">
        <f t="shared" si="22"/>
        <v>10583516.247199997</v>
      </c>
      <c r="BJ42" s="308">
        <f t="shared" si="23"/>
        <v>10219340.808999997</v>
      </c>
      <c r="BK42" s="308">
        <f t="shared" si="24"/>
        <v>9855165.370799996</v>
      </c>
      <c r="BL42" s="308">
        <f t="shared" si="25"/>
        <v>9131456</v>
      </c>
      <c r="BN42" s="308">
        <f t="shared" si="8"/>
        <v>12040218</v>
      </c>
      <c r="BO42" s="308">
        <f t="shared" si="9"/>
        <v>11676042.561799999</v>
      </c>
      <c r="BP42" s="308">
        <f t="shared" si="10"/>
        <v>11311867.123599999</v>
      </c>
      <c r="BQ42" s="308">
        <f t="shared" si="11"/>
        <v>10947691.685399998</v>
      </c>
      <c r="BR42" s="308">
        <f t="shared" si="12"/>
        <v>10583516.247199997</v>
      </c>
      <c r="BS42" s="308">
        <f t="shared" si="13"/>
        <v>10219340.808999997</v>
      </c>
      <c r="BT42" s="308">
        <f t="shared" si="14"/>
        <v>9855165.370799996</v>
      </c>
      <c r="BU42" s="308">
        <f t="shared" si="26"/>
        <v>9131456</v>
      </c>
    </row>
    <row r="43" spans="1:73" ht="15" x14ac:dyDescent="0.2">
      <c r="A43" s="62" t="s">
        <v>40</v>
      </c>
      <c r="B43" s="55" t="s">
        <v>8</v>
      </c>
      <c r="C43" s="55"/>
      <c r="D43" s="55"/>
      <c r="E43" s="55"/>
      <c r="F43" s="55"/>
      <c r="G43" s="48">
        <v>5</v>
      </c>
      <c r="H43" s="55">
        <v>29</v>
      </c>
      <c r="I43" s="55">
        <f>INDEX('FY 22 OFA Shell'!$K$27:$K$195,MATCH(Data!H43,'FY 22 OFA Shell'!$H$27:$H$195,0))</f>
        <v>167.89</v>
      </c>
      <c r="J43" s="55">
        <f>INDEX('FY 22 OFA Shell'!$N$27:$N$195,MATCH(Data!H43,'FY 22 OFA Shell'!$H$27:$H$195,0))</f>
        <v>50</v>
      </c>
      <c r="K43" s="64">
        <f>INDEX('FY 22 OFA Shell'!$S$27:$S$195,MATCH(Data!H43,'FY 22 OFA Shell'!$H$27:$H$195,0))</f>
        <v>0</v>
      </c>
      <c r="L43" s="150">
        <f t="shared" si="15"/>
        <v>0.29781404491035801</v>
      </c>
      <c r="M43" s="149">
        <f>MAX(((L43-Inputs!$E$23)*Data!I43)*Inputs!$E$24,0)</f>
        <v>0</v>
      </c>
      <c r="N43" s="151">
        <f>INDEX('FY 22 OFA Shell'!$V$27:$V$195,MATCH(Data!H43,'FY 22 OFA Shell'!$H$27:$H$195,0))</f>
        <v>264040418.66999999</v>
      </c>
      <c r="O43" s="63">
        <f>INDEX('FY 22 OFA Shell'!$W$27:$W$195,MATCH(Data!H43,'FY 22 OFA Shell'!$H$27:$H$195,0))</f>
        <v>1518</v>
      </c>
      <c r="P43" s="65">
        <f>INDEX('FY 22 OFA Shell'!$Z$27:$Z$195,MATCH(Data!H43,'FY 22 OFA Shell'!$H$27:$H$195,0))</f>
        <v>91786</v>
      </c>
      <c r="Q43" s="63">
        <f>INDEX('FY 22 OFA Shell'!$AF$27:$AF$195,MATCH(Data!H43,'FY 22 OFA Shell'!$H$27:$H$195,0))</f>
        <v>89</v>
      </c>
      <c r="R43" s="66">
        <f>INDEX('FY 22 OFA Shell'!$AG$27:$AG$195,MATCH(Data!H43,'FY 22 OFA Shell'!$H$27:$H$195,0))</f>
        <v>6</v>
      </c>
      <c r="S43" s="66">
        <f>INDEX('FY 22 OFA Shell'!$AJ$27:$AJ$195,MATCH(Data!H43,'FY 22 OFA Shell'!$H$27:$H$195,0))</f>
        <v>0</v>
      </c>
      <c r="T43" s="66">
        <f>INDEX('FY 22 OFA Shell'!$AK$27:$AK$195,MATCH(Data!H43,'FY 22 OFA Shell'!$H$27:$H$195,0))</f>
        <v>0</v>
      </c>
      <c r="U43" s="135">
        <v>491388</v>
      </c>
      <c r="V43" s="67">
        <f>ROUND(J43*Inputs!$E$22, 2)</f>
        <v>15</v>
      </c>
      <c r="W43" s="68">
        <f>I43+V43+K43*Inputs!$E$28+Data!M43</f>
        <v>182.89</v>
      </c>
      <c r="X43" s="69">
        <f t="shared" si="2"/>
        <v>173939.67</v>
      </c>
      <c r="Y43" s="70">
        <f>ROUND(X43/Inputs!$E$32, 6)</f>
        <v>0.90345699999999995</v>
      </c>
      <c r="Z43" s="70">
        <f>ROUND(P43/Inputs!$E$33, 6)</f>
        <v>0.76174600000000003</v>
      </c>
      <c r="AA43" s="59">
        <f>ROUND(1-((Y43*Inputs!$E$29)+Z43*Inputs!$E$27), 6)</f>
        <v>0.13905600000000001</v>
      </c>
      <c r="AB43" s="59">
        <v>234.06979728996095</v>
      </c>
      <c r="AC43" s="73">
        <f>INDEX('FY 22 OFA Shell'!$G$27:$G$195,MATCH(Data!H43,'FY 22 OFA Shell'!$H$27:$H$195,0))</f>
        <v>58</v>
      </c>
      <c r="AD43" s="73">
        <f t="shared" si="16"/>
        <v>5</v>
      </c>
      <c r="AE43" s="65">
        <v>491388</v>
      </c>
      <c r="AF43" s="65">
        <f t="shared" si="3"/>
        <v>-144885</v>
      </c>
      <c r="AG43" s="65">
        <f t="shared" si="4"/>
        <v>-144885</v>
      </c>
      <c r="AH43" s="52">
        <v>427753</v>
      </c>
      <c r="AI43" s="107">
        <v>444933</v>
      </c>
      <c r="AJ43"/>
      <c r="AK43">
        <v>0</v>
      </c>
      <c r="AL43" s="165">
        <f>INDEX('FY 22 OFA Shell'!$AU$27:$AU$195,MATCH(Data!H43,'FY 22 OFA Shell'!$H$27:$H$195,0))</f>
        <v>403912</v>
      </c>
      <c r="AM43" s="165">
        <f>Outputs!H48</f>
        <v>346503</v>
      </c>
      <c r="AN43" s="165">
        <f>Outputs!G48+Outputs!D48+Outputs!F48</f>
        <v>346503</v>
      </c>
      <c r="AO43" s="165">
        <v>427896</v>
      </c>
      <c r="AP43" s="165">
        <f t="shared" si="5"/>
        <v>444933</v>
      </c>
      <c r="AQ43" s="52" t="str">
        <f t="shared" si="6"/>
        <v>No</v>
      </c>
      <c r="AR43" s="308">
        <f>ABS(IF(AQ43="Yes",AF43*Inputs!$D$50,Data!AF43*Inputs!$D$51))</f>
        <v>0</v>
      </c>
      <c r="AS43" s="308">
        <f t="shared" si="17"/>
        <v>403912</v>
      </c>
      <c r="AT43" s="308">
        <f t="shared" si="7"/>
        <v>403912</v>
      </c>
      <c r="AU43" s="308"/>
      <c r="AV43" s="308">
        <f>ABS(IF($AQ43="Yes",$AF43*Inputs!E$50,Data!$AF43*Inputs!E$51))</f>
        <v>0</v>
      </c>
      <c r="AW43" s="308">
        <f>ABS(IF($AQ43="Yes",$AF43*Inputs!F$50,Data!$AF43*Inputs!F$51))</f>
        <v>12068.9205</v>
      </c>
      <c r="AX43" s="308">
        <f>ABS(IF($AQ43="Yes",$AF43*Inputs!G$50,Data!$AF43*Inputs!G$51))</f>
        <v>12068.9205</v>
      </c>
      <c r="AY43" s="308">
        <f>ABS(IF($AQ43="Yes",$AF43*Inputs!H$50,Data!$AF43*Inputs!H$51))</f>
        <v>12068.9205</v>
      </c>
      <c r="AZ43" s="308">
        <f>ABS(IF($AQ43="Yes",$AF43*Inputs!I$50,Data!$AF43*Inputs!I$51))</f>
        <v>12068.9205</v>
      </c>
      <c r="BA43" s="308">
        <f>ABS(IF($AQ43="Yes",$AF43*Inputs!J$50,Data!$AF43*Inputs!J$51))</f>
        <v>12068.9205</v>
      </c>
      <c r="BB43" s="308">
        <f>ABS(IF($AQ43="Yes",$AF43*Inputs!K$50,Data!$AF43*Inputs!K$51))</f>
        <v>12068.9205</v>
      </c>
      <c r="BC43" s="308">
        <f>ABS(IF($AQ43="Yes",$AF43*Inputs!L$50,Data!$AF43*Inputs!L$51))</f>
        <v>12068.9205</v>
      </c>
      <c r="BE43" s="308">
        <f t="shared" si="18"/>
        <v>403912</v>
      </c>
      <c r="BF43" s="308">
        <f t="shared" si="19"/>
        <v>391843.07949999999</v>
      </c>
      <c r="BG43" s="308">
        <f t="shared" si="20"/>
        <v>379774.15899999999</v>
      </c>
      <c r="BH43" s="308">
        <f t="shared" si="21"/>
        <v>367705.23849999998</v>
      </c>
      <c r="BI43" s="308">
        <f t="shared" si="22"/>
        <v>355636.31799999997</v>
      </c>
      <c r="BJ43" s="308">
        <f t="shared" si="23"/>
        <v>343567.39749999996</v>
      </c>
      <c r="BK43" s="308">
        <f t="shared" si="24"/>
        <v>331498.47699999996</v>
      </c>
      <c r="BL43" s="308">
        <f t="shared" si="25"/>
        <v>346503</v>
      </c>
      <c r="BN43" s="308">
        <f t="shared" si="8"/>
        <v>403912</v>
      </c>
      <c r="BO43" s="308">
        <f t="shared" si="9"/>
        <v>391843.07949999999</v>
      </c>
      <c r="BP43" s="308">
        <f t="shared" si="10"/>
        <v>379774.15899999999</v>
      </c>
      <c r="BQ43" s="308">
        <f t="shared" si="11"/>
        <v>367705.23849999998</v>
      </c>
      <c r="BR43" s="308">
        <f t="shared" si="12"/>
        <v>355636.31799999997</v>
      </c>
      <c r="BS43" s="308">
        <f t="shared" si="13"/>
        <v>343567.39749999996</v>
      </c>
      <c r="BT43" s="308">
        <f t="shared" si="14"/>
        <v>331498.47699999996</v>
      </c>
      <c r="BU43" s="308">
        <f t="shared" si="26"/>
        <v>346503</v>
      </c>
    </row>
    <row r="44" spans="1:73" ht="15" x14ac:dyDescent="0.2">
      <c r="A44" s="62" t="s">
        <v>41</v>
      </c>
      <c r="B44" s="55" t="s">
        <v>4</v>
      </c>
      <c r="C44" s="55"/>
      <c r="D44" s="55"/>
      <c r="E44" s="55"/>
      <c r="F44" s="55"/>
      <c r="G44" s="48">
        <v>6</v>
      </c>
      <c r="H44" s="55">
        <v>30</v>
      </c>
      <c r="I44" s="55">
        <f>INDEX('FY 22 OFA Shell'!$K$27:$K$195,MATCH(Data!H44,'FY 22 OFA Shell'!$H$27:$H$195,0))</f>
        <v>614.17999999999995</v>
      </c>
      <c r="J44" s="55">
        <f>INDEX('FY 22 OFA Shell'!$N$27:$N$195,MATCH(Data!H44,'FY 22 OFA Shell'!$H$27:$H$195,0))</f>
        <v>144</v>
      </c>
      <c r="K44" s="64">
        <f>INDEX('FY 22 OFA Shell'!$S$27:$S$195,MATCH(Data!H44,'FY 22 OFA Shell'!$H$27:$H$195,0))</f>
        <v>8</v>
      </c>
      <c r="L44" s="150">
        <f t="shared" si="15"/>
        <v>0.23445895340128303</v>
      </c>
      <c r="M44" s="149">
        <f>MAX(((L44-Inputs!$E$23)*Data!I44)*Inputs!$E$24,0)</f>
        <v>0</v>
      </c>
      <c r="N44" s="151">
        <f>INDEX('FY 22 OFA Shell'!$V$27:$V$195,MATCH(Data!H44,'FY 22 OFA Shell'!$H$27:$H$195,0))</f>
        <v>742774994.33000004</v>
      </c>
      <c r="O44" s="63">
        <f>INDEX('FY 22 OFA Shell'!$W$27:$W$195,MATCH(Data!H44,'FY 22 OFA Shell'!$H$27:$H$195,0))</f>
        <v>5421</v>
      </c>
      <c r="P44" s="65">
        <f>INDEX('FY 22 OFA Shell'!$Z$27:$Z$195,MATCH(Data!H44,'FY 22 OFA Shell'!$H$27:$H$195,0))</f>
        <v>106604</v>
      </c>
      <c r="Q44" s="63">
        <f>INDEX('FY 22 OFA Shell'!$AF$27:$AF$195,MATCH(Data!H44,'FY 22 OFA Shell'!$H$27:$H$195,0))</f>
        <v>0</v>
      </c>
      <c r="R44" s="66">
        <f>INDEX('FY 22 OFA Shell'!$AG$27:$AG$195,MATCH(Data!H44,'FY 22 OFA Shell'!$H$27:$H$195,0))</f>
        <v>0</v>
      </c>
      <c r="S44" s="66">
        <f>INDEX('FY 22 OFA Shell'!$AJ$27:$AJ$195,MATCH(Data!H44,'FY 22 OFA Shell'!$H$27:$H$195,0))</f>
        <v>1</v>
      </c>
      <c r="T44" s="66">
        <f>INDEX('FY 22 OFA Shell'!$AK$27:$AK$195,MATCH(Data!H44,'FY 22 OFA Shell'!$H$27:$H$195,0))</f>
        <v>4</v>
      </c>
      <c r="U44" s="135">
        <v>2523462</v>
      </c>
      <c r="V44" s="67">
        <f>ROUND(J44*Inputs!$E$22, 2)</f>
        <v>43.2</v>
      </c>
      <c r="W44" s="68">
        <f>I44+V44+K44*Inputs!$E$28+Data!M44</f>
        <v>659.38</v>
      </c>
      <c r="X44" s="69">
        <f t="shared" si="2"/>
        <v>137018.07999999999</v>
      </c>
      <c r="Y44" s="70">
        <f>ROUND(X44/Inputs!$E$32, 6)</f>
        <v>0.71168299999999995</v>
      </c>
      <c r="Z44" s="70">
        <f>ROUND(P44/Inputs!$E$33, 6)</f>
        <v>0.88472300000000004</v>
      </c>
      <c r="AA44" s="59">
        <f>ROUND(1-((Y44*Inputs!$E$29)+Z44*Inputs!$E$27), 6)</f>
        <v>0.236405</v>
      </c>
      <c r="AB44" s="59">
        <v>223.70836667090558</v>
      </c>
      <c r="AC44" s="73">
        <f>INDEX('FY 22 OFA Shell'!$G$27:$G$195,MATCH(Data!H44,'FY 22 OFA Shell'!$H$27:$H$195,0))</f>
        <v>104</v>
      </c>
      <c r="AD44" s="73">
        <f t="shared" si="16"/>
        <v>5</v>
      </c>
      <c r="AE44" s="65">
        <v>2523462</v>
      </c>
      <c r="AF44" s="65">
        <f t="shared" si="3"/>
        <v>-726537</v>
      </c>
      <c r="AG44" s="65">
        <f t="shared" si="4"/>
        <v>-726537</v>
      </c>
      <c r="AH44" s="52">
        <v>2193265</v>
      </c>
      <c r="AI44" s="107">
        <v>2409369.25</v>
      </c>
      <c r="AJ44"/>
      <c r="AK44">
        <v>0</v>
      </c>
      <c r="AL44" s="165">
        <f>INDEX('FY 22 OFA Shell'!$AU$27:$AU$195,MATCH(Data!H44,'FY 22 OFA Shell'!$H$27:$H$195,0))</f>
        <v>2316189</v>
      </c>
      <c r="AM44" s="165">
        <f>Outputs!H49</f>
        <v>1796925</v>
      </c>
      <c r="AN44" s="165">
        <f>Outputs!G49+Outputs!D49+Outputs!F49</f>
        <v>1796925</v>
      </c>
      <c r="AO44" s="165">
        <v>2368637</v>
      </c>
      <c r="AP44" s="165">
        <f t="shared" si="5"/>
        <v>2409369.25</v>
      </c>
      <c r="AQ44" s="52" t="str">
        <f t="shared" si="6"/>
        <v>No</v>
      </c>
      <c r="AR44" s="308">
        <f>ABS(IF(AQ44="Yes",AF44*Inputs!$D$50,Data!AF44*Inputs!$D$51))</f>
        <v>0</v>
      </c>
      <c r="AS44" s="308">
        <f t="shared" si="17"/>
        <v>2316189</v>
      </c>
      <c r="AT44" s="308">
        <f t="shared" si="7"/>
        <v>2316189</v>
      </c>
      <c r="AU44" s="308"/>
      <c r="AV44" s="308">
        <f>ABS(IF($AQ44="Yes",$AF44*Inputs!E$50,Data!$AF44*Inputs!E$51))</f>
        <v>0</v>
      </c>
      <c r="AW44" s="308">
        <f>ABS(IF($AQ44="Yes",$AF44*Inputs!F$50,Data!$AF44*Inputs!F$51))</f>
        <v>60520.532099999997</v>
      </c>
      <c r="AX44" s="308">
        <f>ABS(IF($AQ44="Yes",$AF44*Inputs!G$50,Data!$AF44*Inputs!G$51))</f>
        <v>60520.532099999997</v>
      </c>
      <c r="AY44" s="308">
        <f>ABS(IF($AQ44="Yes",$AF44*Inputs!H$50,Data!$AF44*Inputs!H$51))</f>
        <v>60520.532099999997</v>
      </c>
      <c r="AZ44" s="308">
        <f>ABS(IF($AQ44="Yes",$AF44*Inputs!I$50,Data!$AF44*Inputs!I$51))</f>
        <v>60520.532099999997</v>
      </c>
      <c r="BA44" s="308">
        <f>ABS(IF($AQ44="Yes",$AF44*Inputs!J$50,Data!$AF44*Inputs!J$51))</f>
        <v>60520.532099999997</v>
      </c>
      <c r="BB44" s="308">
        <f>ABS(IF($AQ44="Yes",$AF44*Inputs!K$50,Data!$AF44*Inputs!K$51))</f>
        <v>60520.532099999997</v>
      </c>
      <c r="BC44" s="308">
        <f>ABS(IF($AQ44="Yes",$AF44*Inputs!L$50,Data!$AF44*Inputs!L$51))</f>
        <v>60520.532099999997</v>
      </c>
      <c r="BE44" s="308">
        <f t="shared" si="18"/>
        <v>2316189</v>
      </c>
      <c r="BF44" s="308">
        <f t="shared" si="19"/>
        <v>2255668.4679</v>
      </c>
      <c r="BG44" s="308">
        <f t="shared" si="20"/>
        <v>2195147.9358000001</v>
      </c>
      <c r="BH44" s="308">
        <f t="shared" si="21"/>
        <v>2134627.4037000001</v>
      </c>
      <c r="BI44" s="308">
        <f t="shared" si="22"/>
        <v>2074106.8716000002</v>
      </c>
      <c r="BJ44" s="308">
        <f t="shared" si="23"/>
        <v>2013586.3395000002</v>
      </c>
      <c r="BK44" s="308">
        <f t="shared" si="24"/>
        <v>1953065.8074000003</v>
      </c>
      <c r="BL44" s="308">
        <f t="shared" si="25"/>
        <v>1796925</v>
      </c>
      <c r="BN44" s="308">
        <f t="shared" si="8"/>
        <v>2316189</v>
      </c>
      <c r="BO44" s="308">
        <f t="shared" si="9"/>
        <v>2255668.4679</v>
      </c>
      <c r="BP44" s="308">
        <f t="shared" si="10"/>
        <v>2195147.9358000001</v>
      </c>
      <c r="BQ44" s="308">
        <f t="shared" si="11"/>
        <v>2134627.4037000001</v>
      </c>
      <c r="BR44" s="308">
        <f t="shared" si="12"/>
        <v>2074106.8716000002</v>
      </c>
      <c r="BS44" s="308">
        <f t="shared" si="13"/>
        <v>2013586.3395000002</v>
      </c>
      <c r="BT44" s="308">
        <f t="shared" si="14"/>
        <v>1953065.8074000003</v>
      </c>
      <c r="BU44" s="308">
        <f t="shared" si="26"/>
        <v>1796925</v>
      </c>
    </row>
    <row r="45" spans="1:73" ht="15" x14ac:dyDescent="0.2">
      <c r="A45" s="62" t="s">
        <v>42</v>
      </c>
      <c r="B45" s="55" t="s">
        <v>4</v>
      </c>
      <c r="C45" s="55"/>
      <c r="D45" s="55"/>
      <c r="E45" s="55"/>
      <c r="F45" s="55"/>
      <c r="G45" s="48">
        <v>1</v>
      </c>
      <c r="H45" s="55">
        <v>31</v>
      </c>
      <c r="I45" s="55">
        <f>INDEX('FY 22 OFA Shell'!$K$27:$K$195,MATCH(Data!H45,'FY 22 OFA Shell'!$H$27:$H$195,0))</f>
        <v>120.9</v>
      </c>
      <c r="J45" s="55">
        <f>INDEX('FY 22 OFA Shell'!$N$27:$N$195,MATCH(Data!H45,'FY 22 OFA Shell'!$H$27:$H$195,0))</f>
        <v>25</v>
      </c>
      <c r="K45" s="64">
        <f>INDEX('FY 22 OFA Shell'!$S$27:$S$195,MATCH(Data!H45,'FY 22 OFA Shell'!$H$27:$H$195,0))</f>
        <v>3</v>
      </c>
      <c r="L45" s="150">
        <f t="shared" si="15"/>
        <v>0.20678246484698096</v>
      </c>
      <c r="M45" s="149">
        <f>MAX(((L45-Inputs!$E$23)*Data!I45)*Inputs!$E$24,0)</f>
        <v>0</v>
      </c>
      <c r="N45" s="151">
        <f>INDEX('FY 22 OFA Shell'!$V$27:$V$195,MATCH(Data!H45,'FY 22 OFA Shell'!$H$27:$H$195,0))</f>
        <v>563980513</v>
      </c>
      <c r="O45" s="63">
        <f>INDEX('FY 22 OFA Shell'!$W$27:$W$195,MATCH(Data!H45,'FY 22 OFA Shell'!$H$27:$H$195,0))</f>
        <v>1302</v>
      </c>
      <c r="P45" s="65">
        <f>INDEX('FY 22 OFA Shell'!$Z$27:$Z$195,MATCH(Data!H45,'FY 22 OFA Shell'!$H$27:$H$195,0))</f>
        <v>82083</v>
      </c>
      <c r="Q45" s="63">
        <f>INDEX('FY 22 OFA Shell'!$AF$27:$AF$195,MATCH(Data!H45,'FY 22 OFA Shell'!$H$27:$H$195,0))</f>
        <v>29</v>
      </c>
      <c r="R45" s="66">
        <f>INDEX('FY 22 OFA Shell'!$AG$27:$AG$195,MATCH(Data!H45,'FY 22 OFA Shell'!$H$27:$H$195,0))</f>
        <v>4</v>
      </c>
      <c r="S45" s="66">
        <f>INDEX('FY 22 OFA Shell'!$AJ$27:$AJ$195,MATCH(Data!H45,'FY 22 OFA Shell'!$H$27:$H$195,0))</f>
        <v>0</v>
      </c>
      <c r="T45" s="66">
        <f>INDEX('FY 22 OFA Shell'!$AK$27:$AK$195,MATCH(Data!H45,'FY 22 OFA Shell'!$H$27:$H$195,0))</f>
        <v>0</v>
      </c>
      <c r="U45" s="135">
        <v>6976</v>
      </c>
      <c r="V45" s="67">
        <f>ROUND(J45*Inputs!$E$22, 2)</f>
        <v>7.5</v>
      </c>
      <c r="W45" s="68">
        <f>I45+V45+K45*Inputs!$E$28+Data!M45</f>
        <v>129.15</v>
      </c>
      <c r="X45" s="69">
        <f t="shared" si="2"/>
        <v>433164.76</v>
      </c>
      <c r="Y45" s="70">
        <f>ROUND(X45/Inputs!$E$32, 6)</f>
        <v>2.2498930000000001</v>
      </c>
      <c r="Z45" s="70">
        <f>ROUND(P45/Inputs!$E$33, 6)</f>
        <v>0.68121900000000002</v>
      </c>
      <c r="AA45" s="59">
        <f>ROUND(1-((Y45*Inputs!$E$29)+Z45*Inputs!$E$27), 6)</f>
        <v>-0.77929099999999996</v>
      </c>
      <c r="AB45" s="59">
        <v>162.02532784505624</v>
      </c>
      <c r="AC45" s="73">
        <f>INDEX('FY 22 OFA Shell'!$G$27:$G$195,MATCH(Data!H45,'FY 22 OFA Shell'!$H$27:$H$195,0))</f>
        <v>154</v>
      </c>
      <c r="AD45" s="73">
        <f t="shared" si="16"/>
        <v>5</v>
      </c>
      <c r="AE45" s="65">
        <v>6976</v>
      </c>
      <c r="AF45" s="65">
        <f t="shared" si="3"/>
        <v>19509</v>
      </c>
      <c r="AG45" s="65">
        <f t="shared" si="4"/>
        <v>19509</v>
      </c>
      <c r="AH45" s="52">
        <v>2284</v>
      </c>
      <c r="AI45" s="107">
        <v>7336.7179999999998</v>
      </c>
      <c r="AJ45"/>
      <c r="AK45">
        <v>0</v>
      </c>
      <c r="AL45" s="165">
        <f>INDEX('FY 22 OFA Shell'!$AU$27:$AU$195,MATCH(Data!H45,'FY 22 OFA Shell'!$H$27:$H$195,0))</f>
        <v>9149</v>
      </c>
      <c r="AM45" s="165">
        <f>Outputs!H50</f>
        <v>26485</v>
      </c>
      <c r="AN45" s="165">
        <f>Outputs!G50+Outputs!D50+Outputs!F50</f>
        <v>26485</v>
      </c>
      <c r="AO45" s="165">
        <v>8311</v>
      </c>
      <c r="AP45" s="165">
        <f t="shared" si="5"/>
        <v>7336.7179999999998</v>
      </c>
      <c r="AQ45" s="52" t="str">
        <f t="shared" si="6"/>
        <v>Yes</v>
      </c>
      <c r="AR45" s="308">
        <f>ABS(IF(AQ45="Yes",AF45*Inputs!$D$50,Data!AF45*Inputs!$D$51))</f>
        <v>2079.6594</v>
      </c>
      <c r="AS45" s="308">
        <f t="shared" si="17"/>
        <v>11228.6594</v>
      </c>
      <c r="AT45" s="308">
        <f t="shared" si="7"/>
        <v>11228.6594</v>
      </c>
      <c r="AU45" s="308"/>
      <c r="AV45" s="308">
        <f>ABS(IF($AQ45="Yes",$AF45*Inputs!E$50,Data!$AF45*Inputs!E$51))</f>
        <v>2079.6594</v>
      </c>
      <c r="AW45" s="308">
        <f>ABS(IF($AQ45="Yes",$AF45*Inputs!F$50,Data!$AF45*Inputs!F$51))</f>
        <v>2079.6594</v>
      </c>
      <c r="AX45" s="308">
        <f>ABS(IF($AQ45="Yes",$AF45*Inputs!G$50,Data!$AF45*Inputs!G$51))</f>
        <v>2079.6594</v>
      </c>
      <c r="AY45" s="308">
        <f>ABS(IF($AQ45="Yes",$AF45*Inputs!H$50,Data!$AF45*Inputs!H$51))</f>
        <v>2079.6594</v>
      </c>
      <c r="AZ45" s="308">
        <f>ABS(IF($AQ45="Yes",$AF45*Inputs!I$50,Data!$AF45*Inputs!I$51))</f>
        <v>2079.6594</v>
      </c>
      <c r="BA45" s="308">
        <f>ABS(IF($AQ45="Yes",$AF45*Inputs!J$50,Data!$AF45*Inputs!J$51))</f>
        <v>2079.6594</v>
      </c>
      <c r="BB45" s="308">
        <f>ABS(IF($AQ45="Yes",$AF45*Inputs!K$50,Data!$AF45*Inputs!K$51))</f>
        <v>0</v>
      </c>
      <c r="BC45" s="308">
        <f>ABS(IF($AQ45="Yes",$AF45*Inputs!L$50,Data!$AF45*Inputs!L$51))</f>
        <v>0</v>
      </c>
      <c r="BE45" s="308">
        <f t="shared" si="18"/>
        <v>13308.318800000001</v>
      </c>
      <c r="BF45" s="308">
        <f t="shared" si="19"/>
        <v>15387.978200000001</v>
      </c>
      <c r="BG45" s="308">
        <f t="shared" si="20"/>
        <v>17467.637600000002</v>
      </c>
      <c r="BH45" s="308">
        <f t="shared" si="21"/>
        <v>19547.297000000002</v>
      </c>
      <c r="BI45" s="308">
        <f t="shared" si="22"/>
        <v>21626.956400000003</v>
      </c>
      <c r="BJ45" s="308">
        <f t="shared" si="23"/>
        <v>26485</v>
      </c>
      <c r="BK45" s="308">
        <f t="shared" si="24"/>
        <v>26485</v>
      </c>
      <c r="BL45" s="308">
        <f t="shared" si="25"/>
        <v>26485</v>
      </c>
      <c r="BN45" s="308">
        <f t="shared" si="8"/>
        <v>13308.318800000001</v>
      </c>
      <c r="BO45" s="308">
        <f t="shared" si="9"/>
        <v>15387.978200000001</v>
      </c>
      <c r="BP45" s="308">
        <f t="shared" si="10"/>
        <v>17467.637600000002</v>
      </c>
      <c r="BQ45" s="308">
        <f t="shared" si="11"/>
        <v>19547.297000000002</v>
      </c>
      <c r="BR45" s="308">
        <f t="shared" si="12"/>
        <v>21626.956400000003</v>
      </c>
      <c r="BS45" s="308">
        <f t="shared" si="13"/>
        <v>26485</v>
      </c>
      <c r="BT45" s="308">
        <f t="shared" si="14"/>
        <v>26485</v>
      </c>
      <c r="BU45" s="308">
        <f t="shared" si="26"/>
        <v>26485</v>
      </c>
    </row>
    <row r="46" spans="1:73" ht="15" x14ac:dyDescent="0.2">
      <c r="A46" s="62" t="s">
        <v>43</v>
      </c>
      <c r="B46" s="55" t="s">
        <v>8</v>
      </c>
      <c r="C46" s="55"/>
      <c r="D46" s="55"/>
      <c r="E46" s="55"/>
      <c r="F46" s="55"/>
      <c r="G46" s="48">
        <v>7</v>
      </c>
      <c r="H46" s="55">
        <v>32</v>
      </c>
      <c r="I46" s="55">
        <f>INDEX('FY 22 OFA Shell'!$K$27:$K$195,MATCH(Data!H46,'FY 22 OFA Shell'!$H$27:$H$195,0))</f>
        <v>1609.73</v>
      </c>
      <c r="J46" s="55">
        <f>INDEX('FY 22 OFA Shell'!$N$27:$N$195,MATCH(Data!H46,'FY 22 OFA Shell'!$H$27:$H$195,0))</f>
        <v>408</v>
      </c>
      <c r="K46" s="64">
        <f>INDEX('FY 22 OFA Shell'!$S$27:$S$195,MATCH(Data!H46,'FY 22 OFA Shell'!$H$27:$H$195,0))</f>
        <v>16</v>
      </c>
      <c r="L46" s="150">
        <f t="shared" si="15"/>
        <v>0.25345865455697542</v>
      </c>
      <c r="M46" s="149">
        <f>MAX(((L46-Inputs!$E$23)*Data!I46)*Inputs!$E$24,0)</f>
        <v>0</v>
      </c>
      <c r="N46" s="151">
        <f>INDEX('FY 22 OFA Shell'!$V$27:$V$195,MATCH(Data!H46,'FY 22 OFA Shell'!$H$27:$H$195,0))</f>
        <v>1492783189.6700001</v>
      </c>
      <c r="O46" s="63">
        <f>INDEX('FY 22 OFA Shell'!$W$27:$W$195,MATCH(Data!H46,'FY 22 OFA Shell'!$H$27:$H$195,0))</f>
        <v>12422</v>
      </c>
      <c r="P46" s="65">
        <f>INDEX('FY 22 OFA Shell'!$Z$27:$Z$195,MATCH(Data!H46,'FY 22 OFA Shell'!$H$27:$H$195,0))</f>
        <v>91461</v>
      </c>
      <c r="Q46" s="63">
        <f>INDEX('FY 22 OFA Shell'!$AF$27:$AF$195,MATCH(Data!H46,'FY 22 OFA Shell'!$H$27:$H$195,0))</f>
        <v>0</v>
      </c>
      <c r="R46" s="66">
        <f>INDEX('FY 22 OFA Shell'!$AG$27:$AG$195,MATCH(Data!H46,'FY 22 OFA Shell'!$H$27:$H$195,0))</f>
        <v>0</v>
      </c>
      <c r="S46" s="66">
        <f>INDEX('FY 22 OFA Shell'!$AJ$27:$AJ$195,MATCH(Data!H46,'FY 22 OFA Shell'!$H$27:$H$195,0))</f>
        <v>0</v>
      </c>
      <c r="T46" s="66">
        <f>INDEX('FY 22 OFA Shell'!$AK$27:$AK$195,MATCH(Data!H46,'FY 22 OFA Shell'!$H$27:$H$195,0))</f>
        <v>0</v>
      </c>
      <c r="U46" s="135">
        <v>8756165</v>
      </c>
      <c r="V46" s="67">
        <f>ROUND(J46*Inputs!$E$22, 2)</f>
        <v>122.4</v>
      </c>
      <c r="W46" s="68">
        <f>I46+V46+K46*Inputs!$E$28+Data!M46</f>
        <v>1736.13</v>
      </c>
      <c r="X46" s="69">
        <f t="shared" si="2"/>
        <v>120172.53</v>
      </c>
      <c r="Y46" s="70">
        <f>ROUND(X46/Inputs!$E$32, 6)</f>
        <v>0.62418600000000002</v>
      </c>
      <c r="Z46" s="70">
        <f>ROUND(P46/Inputs!$E$33, 6)</f>
        <v>0.75904899999999997</v>
      </c>
      <c r="AA46" s="59">
        <f>ROUND(1-((Y46*Inputs!$E$29)+Z46*Inputs!$E$27), 6)</f>
        <v>0.33535500000000001</v>
      </c>
      <c r="AB46" s="59">
        <v>231.90035768159922</v>
      </c>
      <c r="AC46" s="73">
        <f>INDEX('FY 22 OFA Shell'!$G$27:$G$195,MATCH(Data!H46,'FY 22 OFA Shell'!$H$27:$H$195,0))</f>
        <v>87</v>
      </c>
      <c r="AD46" s="73">
        <f t="shared" si="16"/>
        <v>5</v>
      </c>
      <c r="AE46" s="65">
        <v>8756165</v>
      </c>
      <c r="AF46" s="65">
        <f t="shared" si="3"/>
        <v>-2046081</v>
      </c>
      <c r="AG46" s="65">
        <f t="shared" si="4"/>
        <v>-2046081</v>
      </c>
      <c r="AH46" s="52">
        <v>7601706</v>
      </c>
      <c r="AI46" s="107">
        <v>8267801.5</v>
      </c>
      <c r="AJ46">
        <v>1</v>
      </c>
      <c r="AK46">
        <v>1272.4879333040808</v>
      </c>
      <c r="AL46" s="165">
        <f>INDEX('FY 22 OFA Shell'!$AU$27:$AU$195,MATCH(Data!H46,'FY 22 OFA Shell'!$H$27:$H$195,0))</f>
        <v>7952911</v>
      </c>
      <c r="AM46" s="165">
        <f>Outputs!H51</f>
        <v>6710084</v>
      </c>
      <c r="AN46" s="165">
        <f>Outputs!G51+Outputs!D51+Outputs!F51</f>
        <v>6710084</v>
      </c>
      <c r="AO46" s="165">
        <v>8102515</v>
      </c>
      <c r="AP46" s="165">
        <f t="shared" si="5"/>
        <v>8269073.9879333042</v>
      </c>
      <c r="AQ46" s="52" t="str">
        <f t="shared" si="6"/>
        <v>No</v>
      </c>
      <c r="AR46" s="308">
        <f>ABS(IF(AQ46="Yes",AF46*Inputs!$D$50,Data!AF46*Inputs!$D$51))</f>
        <v>0</v>
      </c>
      <c r="AS46" s="308">
        <f t="shared" si="17"/>
        <v>7952911</v>
      </c>
      <c r="AT46" s="308">
        <f t="shared" si="7"/>
        <v>7952911</v>
      </c>
      <c r="AU46" s="308"/>
      <c r="AV46" s="308">
        <f>ABS(IF($AQ46="Yes",$AF46*Inputs!E$50,Data!$AF46*Inputs!E$51))</f>
        <v>0</v>
      </c>
      <c r="AW46" s="308">
        <f>ABS(IF($AQ46="Yes",$AF46*Inputs!F$50,Data!$AF46*Inputs!F$51))</f>
        <v>170438.54730000001</v>
      </c>
      <c r="AX46" s="308">
        <f>ABS(IF($AQ46="Yes",$AF46*Inputs!G$50,Data!$AF46*Inputs!G$51))</f>
        <v>170438.54730000001</v>
      </c>
      <c r="AY46" s="308">
        <f>ABS(IF($AQ46="Yes",$AF46*Inputs!H$50,Data!$AF46*Inputs!H$51))</f>
        <v>170438.54730000001</v>
      </c>
      <c r="AZ46" s="308">
        <f>ABS(IF($AQ46="Yes",$AF46*Inputs!I$50,Data!$AF46*Inputs!I$51))</f>
        <v>170438.54730000001</v>
      </c>
      <c r="BA46" s="308">
        <f>ABS(IF($AQ46="Yes",$AF46*Inputs!J$50,Data!$AF46*Inputs!J$51))</f>
        <v>170438.54730000001</v>
      </c>
      <c r="BB46" s="308">
        <f>ABS(IF($AQ46="Yes",$AF46*Inputs!K$50,Data!$AF46*Inputs!K$51))</f>
        <v>170438.54730000001</v>
      </c>
      <c r="BC46" s="308">
        <f>ABS(IF($AQ46="Yes",$AF46*Inputs!L$50,Data!$AF46*Inputs!L$51))</f>
        <v>170438.54730000001</v>
      </c>
      <c r="BE46" s="308">
        <f t="shared" si="18"/>
        <v>7952911</v>
      </c>
      <c r="BF46" s="308">
        <f t="shared" si="19"/>
        <v>7782472.4527000003</v>
      </c>
      <c r="BG46" s="308">
        <f t="shared" si="20"/>
        <v>7612033.9054000005</v>
      </c>
      <c r="BH46" s="308">
        <f t="shared" si="21"/>
        <v>7441595.3581000008</v>
      </c>
      <c r="BI46" s="308">
        <f t="shared" si="22"/>
        <v>7271156.810800001</v>
      </c>
      <c r="BJ46" s="308">
        <f t="shared" si="23"/>
        <v>7100718.2635000013</v>
      </c>
      <c r="BK46" s="308">
        <f t="shared" si="24"/>
        <v>6930279.7162000015</v>
      </c>
      <c r="BL46" s="308">
        <f t="shared" si="25"/>
        <v>6710084</v>
      </c>
      <c r="BN46" s="308">
        <f t="shared" si="8"/>
        <v>7952911</v>
      </c>
      <c r="BO46" s="308">
        <f t="shared" si="9"/>
        <v>7782472.4527000003</v>
      </c>
      <c r="BP46" s="308">
        <f t="shared" si="10"/>
        <v>7612033.9054000005</v>
      </c>
      <c r="BQ46" s="308">
        <f t="shared" si="11"/>
        <v>7441595.3581000008</v>
      </c>
      <c r="BR46" s="308">
        <f t="shared" si="12"/>
        <v>7271156.810800001</v>
      </c>
      <c r="BS46" s="308">
        <f t="shared" si="13"/>
        <v>7100718.2635000013</v>
      </c>
      <c r="BT46" s="308">
        <f t="shared" si="14"/>
        <v>6930279.7162000015</v>
      </c>
      <c r="BU46" s="308">
        <f t="shared" si="26"/>
        <v>6710084</v>
      </c>
    </row>
    <row r="47" spans="1:73" ht="15" x14ac:dyDescent="0.2">
      <c r="A47" s="62" t="s">
        <v>44</v>
      </c>
      <c r="B47" s="55" t="s">
        <v>14</v>
      </c>
      <c r="C47" s="55"/>
      <c r="D47" s="55"/>
      <c r="E47" s="55"/>
      <c r="F47" s="55"/>
      <c r="G47" s="48">
        <v>6</v>
      </c>
      <c r="H47" s="55">
        <v>33</v>
      </c>
      <c r="I47" s="55">
        <f>INDEX('FY 22 OFA Shell'!$K$27:$K$195,MATCH(Data!H47,'FY 22 OFA Shell'!$H$27:$H$195,0))</f>
        <v>2038.75</v>
      </c>
      <c r="J47" s="55">
        <f>INDEX('FY 22 OFA Shell'!$N$27:$N$195,MATCH(Data!H47,'FY 22 OFA Shell'!$H$27:$H$195,0))</f>
        <v>507</v>
      </c>
      <c r="K47" s="64">
        <f>INDEX('FY 22 OFA Shell'!$S$27:$S$195,MATCH(Data!H47,'FY 22 OFA Shell'!$H$27:$H$195,0))</f>
        <v>97</v>
      </c>
      <c r="L47" s="150">
        <f t="shared" si="15"/>
        <v>0.24868179031269161</v>
      </c>
      <c r="M47" s="149">
        <f>MAX(((L47-Inputs!$E$23)*Data!I47)*Inputs!$E$24,0)</f>
        <v>0</v>
      </c>
      <c r="N47" s="151">
        <f>INDEX('FY 22 OFA Shell'!$V$27:$V$195,MATCH(Data!H47,'FY 22 OFA Shell'!$H$27:$H$195,0))</f>
        <v>2084716103.3299999</v>
      </c>
      <c r="O47" s="63">
        <f>INDEX('FY 22 OFA Shell'!$W$27:$W$195,MATCH(Data!H47,'FY 22 OFA Shell'!$H$27:$H$195,0))</f>
        <v>13973</v>
      </c>
      <c r="P47" s="65">
        <f>INDEX('FY 22 OFA Shell'!$Z$27:$Z$195,MATCH(Data!H47,'FY 22 OFA Shell'!$H$27:$H$195,0))</f>
        <v>91841</v>
      </c>
      <c r="Q47" s="63">
        <f>INDEX('FY 22 OFA Shell'!$AF$27:$AF$195,MATCH(Data!H47,'FY 22 OFA Shell'!$H$27:$H$195,0))</f>
        <v>0</v>
      </c>
      <c r="R47" s="66">
        <f>INDEX('FY 22 OFA Shell'!$AG$27:$AG$195,MATCH(Data!H47,'FY 22 OFA Shell'!$H$27:$H$195,0))</f>
        <v>0</v>
      </c>
      <c r="S47" s="66">
        <f>INDEX('FY 22 OFA Shell'!$AJ$27:$AJ$195,MATCH(Data!H47,'FY 22 OFA Shell'!$H$27:$H$195,0))</f>
        <v>0</v>
      </c>
      <c r="T47" s="66">
        <f>INDEX('FY 22 OFA Shell'!$AK$27:$AK$195,MATCH(Data!H47,'FY 22 OFA Shell'!$H$27:$H$195,0))</f>
        <v>0</v>
      </c>
      <c r="U47" s="135">
        <v>4646922</v>
      </c>
      <c r="V47" s="67">
        <f>ROUND(J47*Inputs!$E$22, 2)</f>
        <v>152.1</v>
      </c>
      <c r="W47" s="68">
        <f>I47+V47+K47*Inputs!$E$28+Data!M47</f>
        <v>2215.1</v>
      </c>
      <c r="X47" s="69">
        <f t="shared" ref="X47:X78" si="27">ROUND(N47/O47,2)</f>
        <v>149196.03</v>
      </c>
      <c r="Y47" s="70">
        <f>ROUND(X47/Inputs!$E$32, 6)</f>
        <v>0.77493599999999996</v>
      </c>
      <c r="Z47" s="70">
        <f>ROUND(P47/Inputs!$E$33, 6)</f>
        <v>0.76220200000000005</v>
      </c>
      <c r="AA47" s="59">
        <f>ROUND(1-((Y47*Inputs!$E$29)+Z47*Inputs!$E$27), 6)</f>
        <v>0.228884</v>
      </c>
      <c r="AB47" s="59">
        <v>236.73416368599047</v>
      </c>
      <c r="AC47" s="73">
        <f>INDEX('FY 22 OFA Shell'!$G$27:$G$195,MATCH(Data!H47,'FY 22 OFA Shell'!$H$27:$H$195,0))</f>
        <v>95</v>
      </c>
      <c r="AD47" s="73">
        <f t="shared" si="16"/>
        <v>5</v>
      </c>
      <c r="AE47" s="65">
        <v>4646922</v>
      </c>
      <c r="AF47" s="65">
        <f t="shared" ref="AF47:AF78" si="28">AN47-AE47</f>
        <v>1196264</v>
      </c>
      <c r="AG47" s="65">
        <f t="shared" ref="AG47:AG78" si="29">AM47-AE47</f>
        <v>1196264</v>
      </c>
      <c r="AH47" s="52">
        <v>4017862</v>
      </c>
      <c r="AI47" s="107">
        <v>4700115.6459999997</v>
      </c>
      <c r="AJ47"/>
      <c r="AK47">
        <v>0</v>
      </c>
      <c r="AL47" s="165">
        <f>INDEX('FY 22 OFA Shell'!$AU$27:$AU$195,MATCH(Data!H47,'FY 22 OFA Shell'!$H$27:$H$195,0))</f>
        <v>4977403</v>
      </c>
      <c r="AM47" s="165">
        <f>Outputs!H52</f>
        <v>5843186</v>
      </c>
      <c r="AN47" s="165">
        <f>Outputs!G52+Outputs!D52+Outputs!F52</f>
        <v>5843186</v>
      </c>
      <c r="AO47" s="165">
        <v>4835861</v>
      </c>
      <c r="AP47" s="165">
        <f t="shared" ref="AP47:AP78" si="30">AI47+AK47</f>
        <v>4700115.6459999997</v>
      </c>
      <c r="AQ47" s="52" t="str">
        <f t="shared" ref="AQ47:AQ78" si="31">IF(AN47&gt;AE47,"Yes","No")</f>
        <v>Yes</v>
      </c>
      <c r="AR47" s="308">
        <f>ABS(IF(AQ47="Yes",AF47*Inputs!$D$50,Data!AF47*Inputs!$D$51))</f>
        <v>127521.7424</v>
      </c>
      <c r="AS47" s="308">
        <f t="shared" si="17"/>
        <v>5104924.7423999999</v>
      </c>
      <c r="AT47" s="308">
        <f t="shared" ref="AT47:AT78" si="32">IF(D47=1,MAX(AS47,AE47),AS47)</f>
        <v>5104924.7423999999</v>
      </c>
      <c r="AU47" s="308"/>
      <c r="AV47" s="308">
        <f>ABS(IF($AQ47="Yes",$AF47*Inputs!E$50,Data!$AF47*Inputs!E$51))</f>
        <v>127521.7424</v>
      </c>
      <c r="AW47" s="308">
        <f>ABS(IF($AQ47="Yes",$AF47*Inputs!F$50,Data!$AF47*Inputs!F$51))</f>
        <v>127521.7424</v>
      </c>
      <c r="AX47" s="308">
        <f>ABS(IF($AQ47="Yes",$AF47*Inputs!G$50,Data!$AF47*Inputs!G$51))</f>
        <v>127521.7424</v>
      </c>
      <c r="AY47" s="308">
        <f>ABS(IF($AQ47="Yes",$AF47*Inputs!H$50,Data!$AF47*Inputs!H$51))</f>
        <v>127521.7424</v>
      </c>
      <c r="AZ47" s="308">
        <f>ABS(IF($AQ47="Yes",$AF47*Inputs!I$50,Data!$AF47*Inputs!I$51))</f>
        <v>127521.7424</v>
      </c>
      <c r="BA47" s="308">
        <f>ABS(IF($AQ47="Yes",$AF47*Inputs!J$50,Data!$AF47*Inputs!J$51))</f>
        <v>127521.7424</v>
      </c>
      <c r="BB47" s="308">
        <f>ABS(IF($AQ47="Yes",$AF47*Inputs!K$50,Data!$AF47*Inputs!K$51))</f>
        <v>0</v>
      </c>
      <c r="BC47" s="308">
        <f>ABS(IF($AQ47="Yes",$AF47*Inputs!L$50,Data!$AF47*Inputs!L$51))</f>
        <v>0</v>
      </c>
      <c r="BE47" s="308">
        <f t="shared" si="18"/>
        <v>5232446.4847999997</v>
      </c>
      <c r="BF47" s="308">
        <f t="shared" si="19"/>
        <v>5359968.2271999996</v>
      </c>
      <c r="BG47" s="308">
        <f t="shared" si="20"/>
        <v>5487489.9695999995</v>
      </c>
      <c r="BH47" s="308">
        <f t="shared" si="21"/>
        <v>5615011.7119999994</v>
      </c>
      <c r="BI47" s="308">
        <f t="shared" si="22"/>
        <v>5742533.4543999992</v>
      </c>
      <c r="BJ47" s="308">
        <f t="shared" si="23"/>
        <v>5843186</v>
      </c>
      <c r="BK47" s="308">
        <f t="shared" si="24"/>
        <v>5843186</v>
      </c>
      <c r="BL47" s="308">
        <f t="shared" si="25"/>
        <v>5843186</v>
      </c>
      <c r="BN47" s="308">
        <f t="shared" ref="BN47:BN78" si="33">IF($D47=1,MAX(BE47,$AE47),BE47)</f>
        <v>5232446.4847999997</v>
      </c>
      <c r="BO47" s="308">
        <f t="shared" ref="BO47:BO78" si="34">IF($D47=1,MAX(BF47,$AE47),BF47)</f>
        <v>5359968.2271999996</v>
      </c>
      <c r="BP47" s="308">
        <f t="shared" ref="BP47:BP78" si="35">IF($D47=1,MAX(BG47,$AE47),BG47)</f>
        <v>5487489.9695999995</v>
      </c>
      <c r="BQ47" s="308">
        <f t="shared" ref="BQ47:BQ78" si="36">IF($D47=1,MAX(BH47,$AE47),BH47)</f>
        <v>5615011.7119999994</v>
      </c>
      <c r="BR47" s="308">
        <f t="shared" ref="BR47:BR78" si="37">IF($D47=1,MAX(BI47,$AE47),BI47)</f>
        <v>5742533.4543999992</v>
      </c>
      <c r="BS47" s="308">
        <f t="shared" ref="BS47:BS78" si="38">IF($D47=1,MAX(BJ47,$AE47),BJ47)</f>
        <v>5843186</v>
      </c>
      <c r="BT47" s="308">
        <f t="shared" ref="BT47:BT78" si="39">IF($D47=1,MAX(BK47,$AE47),BK47)</f>
        <v>5843186</v>
      </c>
      <c r="BU47" s="308">
        <f t="shared" si="26"/>
        <v>5843186</v>
      </c>
    </row>
    <row r="48" spans="1:73" ht="15" x14ac:dyDescent="0.2">
      <c r="A48" s="62" t="s">
        <v>45</v>
      </c>
      <c r="B48" s="55" t="s">
        <v>6</v>
      </c>
      <c r="C48" s="55">
        <v>1</v>
      </c>
      <c r="D48" s="55">
        <v>1</v>
      </c>
      <c r="E48" s="55">
        <v>1</v>
      </c>
      <c r="F48" s="55"/>
      <c r="G48" s="48">
        <v>8</v>
      </c>
      <c r="H48" s="55">
        <v>34</v>
      </c>
      <c r="I48" s="55">
        <f>INDEX('FY 22 OFA Shell'!$K$27:$K$195,MATCH(Data!H48,'FY 22 OFA Shell'!$H$27:$H$195,0))</f>
        <v>11704.88</v>
      </c>
      <c r="J48" s="55">
        <f>INDEX('FY 22 OFA Shell'!$N$27:$N$195,MATCH(Data!H48,'FY 22 OFA Shell'!$H$27:$H$195,0))</f>
        <v>6411</v>
      </c>
      <c r="K48" s="64">
        <f>INDEX('FY 22 OFA Shell'!$S$27:$S$195,MATCH(Data!H48,'FY 22 OFA Shell'!$H$27:$H$195,0))</f>
        <v>3298</v>
      </c>
      <c r="L48" s="150">
        <f t="shared" si="15"/>
        <v>0.54772026710226851</v>
      </c>
      <c r="M48" s="149">
        <f>MAX(((L48-Inputs!$E$23)*Data!I48)*Inputs!$E$24,0)</f>
        <v>0</v>
      </c>
      <c r="N48" s="151">
        <f>INDEX('FY 22 OFA Shell'!$V$27:$V$195,MATCH(Data!H48,'FY 22 OFA Shell'!$H$27:$H$195,0))</f>
        <v>11350977717.67</v>
      </c>
      <c r="O48" s="63">
        <f>INDEX('FY 22 OFA Shell'!$W$27:$W$195,MATCH(Data!H48,'FY 22 OFA Shell'!$H$27:$H$195,0))</f>
        <v>84479</v>
      </c>
      <c r="P48" s="65">
        <f>INDEX('FY 22 OFA Shell'!$Z$27:$Z$195,MATCH(Data!H48,'FY 22 OFA Shell'!$H$27:$H$195,0))</f>
        <v>71672</v>
      </c>
      <c r="Q48" s="63">
        <f>INDEX('FY 22 OFA Shell'!$AF$27:$AF$195,MATCH(Data!H48,'FY 22 OFA Shell'!$H$27:$H$195,0))</f>
        <v>0</v>
      </c>
      <c r="R48" s="66">
        <f>INDEX('FY 22 OFA Shell'!$AG$27:$AG$195,MATCH(Data!H48,'FY 22 OFA Shell'!$H$27:$H$195,0))</f>
        <v>0</v>
      </c>
      <c r="S48" s="66">
        <f>INDEX('FY 22 OFA Shell'!$AJ$27:$AJ$195,MATCH(Data!H48,'FY 22 OFA Shell'!$H$27:$H$195,0))</f>
        <v>0</v>
      </c>
      <c r="T48" s="66">
        <f>INDEX('FY 22 OFA Shell'!$AK$27:$AK$195,MATCH(Data!H48,'FY 22 OFA Shell'!$H$27:$H$195,0))</f>
        <v>0</v>
      </c>
      <c r="U48" s="135">
        <v>31290480</v>
      </c>
      <c r="V48" s="67">
        <f>ROUND(J48*Inputs!$E$22, 2)</f>
        <v>1923.3</v>
      </c>
      <c r="W48" s="68">
        <f>I48+V48+K48*Inputs!$E$28+Data!M48</f>
        <v>14452.679999999998</v>
      </c>
      <c r="X48" s="69">
        <f t="shared" si="27"/>
        <v>134364.49</v>
      </c>
      <c r="Y48" s="70">
        <f>ROUND(X48/Inputs!$E$32, 6)</f>
        <v>0.69789999999999996</v>
      </c>
      <c r="Z48" s="70">
        <f>ROUND(P48/Inputs!$E$33, 6)</f>
        <v>0.59481700000000004</v>
      </c>
      <c r="AA48" s="59">
        <f>ROUND(1-((Y48*Inputs!$E$29)+Z48*Inputs!$E$27), 6)</f>
        <v>0.33302500000000002</v>
      </c>
      <c r="AB48" s="59">
        <v>237.67990718366971</v>
      </c>
      <c r="AC48" s="73">
        <f>INDEX('FY 22 OFA Shell'!$G$27:$G$195,MATCH(Data!H48,'FY 22 OFA Shell'!$H$27:$H$195,0))</f>
        <v>59</v>
      </c>
      <c r="AD48" s="73">
        <f t="shared" si="16"/>
        <v>5</v>
      </c>
      <c r="AE48" s="65">
        <v>31290480</v>
      </c>
      <c r="AF48" s="65">
        <f t="shared" si="28"/>
        <v>24180541</v>
      </c>
      <c r="AG48" s="65">
        <f t="shared" si="29"/>
        <v>24180541</v>
      </c>
      <c r="AH48" s="52">
        <v>31073094</v>
      </c>
      <c r="AI48" s="107">
        <v>32292215.862</v>
      </c>
      <c r="AJ48">
        <v>10</v>
      </c>
      <c r="AK48">
        <v>12724.879333040808</v>
      </c>
      <c r="AL48" s="165">
        <f>INDEX('FY 22 OFA Shell'!$AU$27:$AU$195,MATCH(Data!H48,'FY 22 OFA Shell'!$H$27:$H$195,0))</f>
        <v>37698473</v>
      </c>
      <c r="AM48" s="165">
        <f>Outputs!H53</f>
        <v>55471021</v>
      </c>
      <c r="AN48" s="165">
        <f>Outputs!G53+Outputs!D53+Outputs!F53</f>
        <v>55471021</v>
      </c>
      <c r="AO48" s="165">
        <v>35015510</v>
      </c>
      <c r="AP48" s="165">
        <f t="shared" si="30"/>
        <v>32304940.741333041</v>
      </c>
      <c r="AQ48" s="52" t="str">
        <f t="shared" si="31"/>
        <v>Yes</v>
      </c>
      <c r="AR48" s="308">
        <f>ABS(IF(AQ48="Yes",AF48*Inputs!$D$50,Data!AF48*Inputs!$D$51))</f>
        <v>2577645.6705999998</v>
      </c>
      <c r="AS48" s="308">
        <f t="shared" si="17"/>
        <v>40276118.670599997</v>
      </c>
      <c r="AT48" s="308">
        <f t="shared" si="32"/>
        <v>40276118.670599997</v>
      </c>
      <c r="AU48" s="308"/>
      <c r="AV48" s="308">
        <f>ABS(IF($AQ48="Yes",$AF48*Inputs!E$50,Data!$AF48*Inputs!E$51))</f>
        <v>2577645.6705999998</v>
      </c>
      <c r="AW48" s="308">
        <f>ABS(IF($AQ48="Yes",$AF48*Inputs!F$50,Data!$AF48*Inputs!F$51))</f>
        <v>2577645.6705999998</v>
      </c>
      <c r="AX48" s="308">
        <f>ABS(IF($AQ48="Yes",$AF48*Inputs!G$50,Data!$AF48*Inputs!G$51))</f>
        <v>2577645.6705999998</v>
      </c>
      <c r="AY48" s="308">
        <f>ABS(IF($AQ48="Yes",$AF48*Inputs!H$50,Data!$AF48*Inputs!H$51))</f>
        <v>2577645.6705999998</v>
      </c>
      <c r="AZ48" s="308">
        <f>ABS(IF($AQ48="Yes",$AF48*Inputs!I$50,Data!$AF48*Inputs!I$51))</f>
        <v>2577645.6705999998</v>
      </c>
      <c r="BA48" s="308">
        <f>ABS(IF($AQ48="Yes",$AF48*Inputs!J$50,Data!$AF48*Inputs!J$51))</f>
        <v>2577645.6705999998</v>
      </c>
      <c r="BB48" s="308">
        <f>ABS(IF($AQ48="Yes",$AF48*Inputs!K$50,Data!$AF48*Inputs!K$51))</f>
        <v>0</v>
      </c>
      <c r="BC48" s="308">
        <f>ABS(IF($AQ48="Yes",$AF48*Inputs!L$50,Data!$AF48*Inputs!L$51))</f>
        <v>0</v>
      </c>
      <c r="BE48" s="308">
        <f t="shared" si="18"/>
        <v>42853764.341199994</v>
      </c>
      <c r="BF48" s="308">
        <f t="shared" si="19"/>
        <v>45431410.011799991</v>
      </c>
      <c r="BG48" s="308">
        <f t="shared" si="20"/>
        <v>48009055.682399988</v>
      </c>
      <c r="BH48" s="308">
        <f t="shared" si="21"/>
        <v>50586701.352999985</v>
      </c>
      <c r="BI48" s="308">
        <f t="shared" si="22"/>
        <v>53164347.023599982</v>
      </c>
      <c r="BJ48" s="308">
        <f t="shared" si="23"/>
        <v>55471021</v>
      </c>
      <c r="BK48" s="308">
        <f t="shared" si="24"/>
        <v>55471021</v>
      </c>
      <c r="BL48" s="308">
        <f t="shared" si="25"/>
        <v>55471021</v>
      </c>
      <c r="BN48" s="308">
        <f t="shared" si="33"/>
        <v>42853764.341199994</v>
      </c>
      <c r="BO48" s="308">
        <f t="shared" si="34"/>
        <v>45431410.011799991</v>
      </c>
      <c r="BP48" s="308">
        <f t="shared" si="35"/>
        <v>48009055.682399988</v>
      </c>
      <c r="BQ48" s="308">
        <f t="shared" si="36"/>
        <v>50586701.352999985</v>
      </c>
      <c r="BR48" s="308">
        <f t="shared" si="37"/>
        <v>53164347.023599982</v>
      </c>
      <c r="BS48" s="308">
        <f t="shared" si="38"/>
        <v>55471021</v>
      </c>
      <c r="BT48" s="308">
        <f t="shared" si="39"/>
        <v>55471021</v>
      </c>
      <c r="BU48" s="308">
        <f t="shared" si="26"/>
        <v>55471021</v>
      </c>
    </row>
    <row r="49" spans="1:73" ht="15" x14ac:dyDescent="0.2">
      <c r="A49" s="62" t="s">
        <v>47</v>
      </c>
      <c r="B49" s="55" t="s">
        <v>46</v>
      </c>
      <c r="C49" s="55"/>
      <c r="D49" s="55"/>
      <c r="E49" s="55"/>
      <c r="F49" s="55"/>
      <c r="G49" s="48">
        <v>1</v>
      </c>
      <c r="H49" s="55">
        <v>35</v>
      </c>
      <c r="I49" s="55">
        <f>INDEX('FY 22 OFA Shell'!$K$27:$K$195,MATCH(Data!H49,'FY 22 OFA Shell'!$H$27:$H$195,0))</f>
        <v>4646.72</v>
      </c>
      <c r="J49" s="55">
        <f>INDEX('FY 22 OFA Shell'!$N$27:$N$195,MATCH(Data!H49,'FY 22 OFA Shell'!$H$27:$H$195,0))</f>
        <v>61</v>
      </c>
      <c r="K49" s="64">
        <f>INDEX('FY 22 OFA Shell'!$S$27:$S$195,MATCH(Data!H49,'FY 22 OFA Shell'!$H$27:$H$195,0))</f>
        <v>55</v>
      </c>
      <c r="L49" s="150">
        <f t="shared" si="15"/>
        <v>1.3127539425659389E-2</v>
      </c>
      <c r="M49" s="149">
        <f>MAX(((L49-Inputs!$E$23)*Data!I49)*Inputs!$E$24,0)</f>
        <v>0</v>
      </c>
      <c r="N49" s="151">
        <f>INDEX('FY 22 OFA Shell'!$V$27:$V$195,MATCH(Data!H49,'FY 22 OFA Shell'!$H$27:$H$195,0))</f>
        <v>12872179293</v>
      </c>
      <c r="O49" s="63">
        <f>INDEX('FY 22 OFA Shell'!$W$27:$W$195,MATCH(Data!H49,'FY 22 OFA Shell'!$H$27:$H$195,0))</f>
        <v>21759</v>
      </c>
      <c r="P49" s="65">
        <f>INDEX('FY 22 OFA Shell'!$Z$27:$Z$195,MATCH(Data!H49,'FY 22 OFA Shell'!$H$27:$H$195,0))</f>
        <v>210511</v>
      </c>
      <c r="Q49" s="63">
        <f>INDEX('FY 22 OFA Shell'!$AF$27:$AF$195,MATCH(Data!H49,'FY 22 OFA Shell'!$H$27:$H$195,0))</f>
        <v>0</v>
      </c>
      <c r="R49" s="66">
        <f>INDEX('FY 22 OFA Shell'!$AG$27:$AG$195,MATCH(Data!H49,'FY 22 OFA Shell'!$H$27:$H$195,0))</f>
        <v>0</v>
      </c>
      <c r="S49" s="66">
        <f>INDEX('FY 22 OFA Shell'!$AJ$27:$AJ$195,MATCH(Data!H49,'FY 22 OFA Shell'!$H$27:$H$195,0))</f>
        <v>0</v>
      </c>
      <c r="T49" s="66">
        <f>INDEX('FY 22 OFA Shell'!$AK$27:$AK$195,MATCH(Data!H49,'FY 22 OFA Shell'!$H$27:$H$195,0))</f>
        <v>0</v>
      </c>
      <c r="U49" s="135">
        <v>406683</v>
      </c>
      <c r="V49" s="67">
        <f>ROUND(J49*Inputs!$E$22, 2)</f>
        <v>18.3</v>
      </c>
      <c r="W49" s="68">
        <f>I49+V49+K49*Inputs!$E$28+Data!M49</f>
        <v>4678.7700000000004</v>
      </c>
      <c r="X49" s="69">
        <f t="shared" si="27"/>
        <v>591579.54</v>
      </c>
      <c r="Y49" s="70">
        <f>ROUND(X49/Inputs!$E$32, 6)</f>
        <v>3.0727129999999998</v>
      </c>
      <c r="Z49" s="70">
        <f>ROUND(P49/Inputs!$E$33, 6)</f>
        <v>1.747063</v>
      </c>
      <c r="AA49" s="59">
        <f>ROUND(1-((Y49*Inputs!$E$29)+Z49*Inputs!$E$27), 6)</f>
        <v>-1.6750179999999999</v>
      </c>
      <c r="AB49" s="59">
        <v>43.497329873300906</v>
      </c>
      <c r="AC49" s="73">
        <f>INDEX('FY 22 OFA Shell'!$G$27:$G$195,MATCH(Data!H49,'FY 22 OFA Shell'!$H$27:$H$195,0))</f>
        <v>167</v>
      </c>
      <c r="AD49" s="73">
        <f t="shared" si="16"/>
        <v>5</v>
      </c>
      <c r="AE49" s="65">
        <v>406683</v>
      </c>
      <c r="AF49" s="65">
        <f t="shared" si="28"/>
        <v>132545</v>
      </c>
      <c r="AG49" s="65">
        <f t="shared" si="29"/>
        <v>132545</v>
      </c>
      <c r="AH49" s="52">
        <v>343289</v>
      </c>
      <c r="AI49" s="107">
        <v>412764.98100000003</v>
      </c>
      <c r="AJ49">
        <v>1</v>
      </c>
      <c r="AK49">
        <v>1272.4879333040808</v>
      </c>
      <c r="AL49" s="165">
        <f>INDEX('FY 22 OFA Shell'!$AU$27:$AU$195,MATCH(Data!H49,'FY 22 OFA Shell'!$H$27:$H$195,0))</f>
        <v>443228</v>
      </c>
      <c r="AM49" s="165">
        <f>Outputs!H54</f>
        <v>539228</v>
      </c>
      <c r="AN49" s="165">
        <f>Outputs!G54+Outputs!D54+Outputs!F54</f>
        <v>539228</v>
      </c>
      <c r="AO49" s="165">
        <v>427881</v>
      </c>
      <c r="AP49" s="165">
        <f t="shared" si="30"/>
        <v>414037.46893330413</v>
      </c>
      <c r="AQ49" s="52" t="str">
        <f t="shared" si="31"/>
        <v>Yes</v>
      </c>
      <c r="AR49" s="308">
        <f>ABS(IF(AQ49="Yes",AF49*Inputs!$D$50,Data!AF49*Inputs!$D$51))</f>
        <v>14129.297</v>
      </c>
      <c r="AS49" s="308">
        <f t="shared" si="17"/>
        <v>457357.29700000002</v>
      </c>
      <c r="AT49" s="308">
        <f t="shared" si="32"/>
        <v>457357.29700000002</v>
      </c>
      <c r="AU49" s="308"/>
      <c r="AV49" s="308">
        <f>ABS(IF($AQ49="Yes",$AF49*Inputs!E$50,Data!$AF49*Inputs!E$51))</f>
        <v>14129.297</v>
      </c>
      <c r="AW49" s="308">
        <f>ABS(IF($AQ49="Yes",$AF49*Inputs!F$50,Data!$AF49*Inputs!F$51))</f>
        <v>14129.297</v>
      </c>
      <c r="AX49" s="308">
        <f>ABS(IF($AQ49="Yes",$AF49*Inputs!G$50,Data!$AF49*Inputs!G$51))</f>
        <v>14129.297</v>
      </c>
      <c r="AY49" s="308">
        <f>ABS(IF($AQ49="Yes",$AF49*Inputs!H$50,Data!$AF49*Inputs!H$51))</f>
        <v>14129.297</v>
      </c>
      <c r="AZ49" s="308">
        <f>ABS(IF($AQ49="Yes",$AF49*Inputs!I$50,Data!$AF49*Inputs!I$51))</f>
        <v>14129.297</v>
      </c>
      <c r="BA49" s="308">
        <f>ABS(IF($AQ49="Yes",$AF49*Inputs!J$50,Data!$AF49*Inputs!J$51))</f>
        <v>14129.297</v>
      </c>
      <c r="BB49" s="308">
        <f>ABS(IF($AQ49="Yes",$AF49*Inputs!K$50,Data!$AF49*Inputs!K$51))</f>
        <v>0</v>
      </c>
      <c r="BC49" s="308">
        <f>ABS(IF($AQ49="Yes",$AF49*Inputs!L$50,Data!$AF49*Inputs!L$51))</f>
        <v>0</v>
      </c>
      <c r="BE49" s="308">
        <f t="shared" si="18"/>
        <v>471486.59400000004</v>
      </c>
      <c r="BF49" s="308">
        <f t="shared" si="19"/>
        <v>485615.89100000006</v>
      </c>
      <c r="BG49" s="308">
        <f t="shared" si="20"/>
        <v>499745.18800000008</v>
      </c>
      <c r="BH49" s="308">
        <f t="shared" si="21"/>
        <v>513874.4850000001</v>
      </c>
      <c r="BI49" s="308">
        <f t="shared" si="22"/>
        <v>528003.78200000012</v>
      </c>
      <c r="BJ49" s="308">
        <f t="shared" si="23"/>
        <v>539228</v>
      </c>
      <c r="BK49" s="308">
        <f t="shared" si="24"/>
        <v>539228</v>
      </c>
      <c r="BL49" s="308">
        <f t="shared" si="25"/>
        <v>539228</v>
      </c>
      <c r="BN49" s="308">
        <f t="shared" si="33"/>
        <v>471486.59400000004</v>
      </c>
      <c r="BO49" s="308">
        <f t="shared" si="34"/>
        <v>485615.89100000006</v>
      </c>
      <c r="BP49" s="308">
        <f t="shared" si="35"/>
        <v>499745.18800000008</v>
      </c>
      <c r="BQ49" s="308">
        <f t="shared" si="36"/>
        <v>513874.4850000001</v>
      </c>
      <c r="BR49" s="308">
        <f t="shared" si="37"/>
        <v>528003.78200000012</v>
      </c>
      <c r="BS49" s="308">
        <f t="shared" si="38"/>
        <v>539228</v>
      </c>
      <c r="BT49" s="308">
        <f t="shared" si="39"/>
        <v>539228</v>
      </c>
      <c r="BU49" s="308">
        <f t="shared" si="26"/>
        <v>539228</v>
      </c>
    </row>
    <row r="50" spans="1:73" ht="15" x14ac:dyDescent="0.2">
      <c r="A50" s="62" t="s">
        <v>48</v>
      </c>
      <c r="B50" s="55" t="s">
        <v>8</v>
      </c>
      <c r="C50" s="55"/>
      <c r="D50" s="55"/>
      <c r="E50" s="55"/>
      <c r="F50" s="55"/>
      <c r="G50" s="48">
        <v>6</v>
      </c>
      <c r="H50" s="55">
        <v>36</v>
      </c>
      <c r="I50" s="55">
        <f>INDEX('FY 22 OFA Shell'!$K$27:$K$195,MATCH(Data!H50,'FY 22 OFA Shell'!$H$27:$H$195,0))</f>
        <v>528.96</v>
      </c>
      <c r="J50" s="55">
        <f>INDEX('FY 22 OFA Shell'!$N$27:$N$195,MATCH(Data!H50,'FY 22 OFA Shell'!$H$27:$H$195,0))</f>
        <v>171</v>
      </c>
      <c r="K50" s="64">
        <f>INDEX('FY 22 OFA Shell'!$S$27:$S$195,MATCH(Data!H50,'FY 22 OFA Shell'!$H$27:$H$195,0))</f>
        <v>6</v>
      </c>
      <c r="L50" s="150">
        <f t="shared" si="15"/>
        <v>0.32327586206896547</v>
      </c>
      <c r="M50" s="149">
        <f>MAX(((L50-Inputs!$E$23)*Data!I50)*Inputs!$E$24,0)</f>
        <v>0</v>
      </c>
      <c r="N50" s="151">
        <f>INDEX('FY 22 OFA Shell'!$V$27:$V$195,MATCH(Data!H50,'FY 22 OFA Shell'!$H$27:$H$195,0))</f>
        <v>724594227.33000004</v>
      </c>
      <c r="O50" s="63">
        <f>INDEX('FY 22 OFA Shell'!$W$27:$W$195,MATCH(Data!H50,'FY 22 OFA Shell'!$H$27:$H$195,0))</f>
        <v>4493</v>
      </c>
      <c r="P50" s="65">
        <f>INDEX('FY 22 OFA Shell'!$Z$27:$Z$195,MATCH(Data!H50,'FY 22 OFA Shell'!$H$27:$H$195,0))</f>
        <v>71641</v>
      </c>
      <c r="Q50" s="63">
        <f>INDEX('FY 22 OFA Shell'!$AF$27:$AF$195,MATCH(Data!H50,'FY 22 OFA Shell'!$H$27:$H$195,0))</f>
        <v>297</v>
      </c>
      <c r="R50" s="66">
        <f>INDEX('FY 22 OFA Shell'!$AG$27:$AG$195,MATCH(Data!H50,'FY 22 OFA Shell'!$H$27:$H$195,0))</f>
        <v>6</v>
      </c>
      <c r="S50" s="66">
        <f>INDEX('FY 22 OFA Shell'!$AJ$27:$AJ$195,MATCH(Data!H50,'FY 22 OFA Shell'!$H$27:$H$195,0))</f>
        <v>0</v>
      </c>
      <c r="T50" s="66">
        <f>INDEX('FY 22 OFA Shell'!$AK$27:$AK$195,MATCH(Data!H50,'FY 22 OFA Shell'!$H$27:$H$195,0))</f>
        <v>0</v>
      </c>
      <c r="U50" s="135">
        <v>1675092</v>
      </c>
      <c r="V50" s="67">
        <f>ROUND(J50*Inputs!$E$22, 2)</f>
        <v>51.3</v>
      </c>
      <c r="W50" s="68">
        <f>I50+V50+K50*Inputs!$E$28+Data!M50</f>
        <v>581.76</v>
      </c>
      <c r="X50" s="69">
        <f t="shared" si="27"/>
        <v>161271.81</v>
      </c>
      <c r="Y50" s="70">
        <f>ROUND(X50/Inputs!$E$32, 6)</f>
        <v>0.83765900000000004</v>
      </c>
      <c r="Z50" s="70">
        <f>ROUND(P50/Inputs!$E$33, 6)</f>
        <v>0.59455899999999995</v>
      </c>
      <c r="AA50" s="59">
        <f>ROUND(1-((Y50*Inputs!$E$29)+Z50*Inputs!$E$27), 6)</f>
        <v>0.23527100000000001</v>
      </c>
      <c r="AB50" s="59">
        <v>218.4993960900926</v>
      </c>
      <c r="AC50" s="73">
        <f>INDEX('FY 22 OFA Shell'!$G$27:$G$195,MATCH(Data!H50,'FY 22 OFA Shell'!$H$27:$H$195,0))</f>
        <v>114</v>
      </c>
      <c r="AD50" s="73">
        <f t="shared" si="16"/>
        <v>5</v>
      </c>
      <c r="AE50" s="65">
        <v>1675092</v>
      </c>
      <c r="AF50" s="65">
        <f t="shared" si="28"/>
        <v>80549</v>
      </c>
      <c r="AG50" s="65">
        <f t="shared" si="29"/>
        <v>80549</v>
      </c>
      <c r="AH50" s="52">
        <v>1451587</v>
      </c>
      <c r="AI50" s="107">
        <v>1670329.75</v>
      </c>
      <c r="AJ50"/>
      <c r="AK50">
        <v>0</v>
      </c>
      <c r="AL50" s="165">
        <f>INDEX('FY 22 OFA Shell'!$AU$27:$AU$195,MATCH(Data!H50,'FY 22 OFA Shell'!$H$27:$H$195,0))</f>
        <v>1662870</v>
      </c>
      <c r="AM50" s="165">
        <f>Outputs!H55</f>
        <v>1755641</v>
      </c>
      <c r="AN50" s="165">
        <f>Outputs!G55+Outputs!D55+Outputs!F55</f>
        <v>1755641</v>
      </c>
      <c r="AO50" s="165">
        <v>1666695</v>
      </c>
      <c r="AP50" s="165">
        <f t="shared" si="30"/>
        <v>1670329.75</v>
      </c>
      <c r="AQ50" s="52" t="str">
        <f t="shared" si="31"/>
        <v>Yes</v>
      </c>
      <c r="AR50" s="308">
        <f>ABS(IF(AQ50="Yes",AF50*Inputs!$D$50,Data!AF50*Inputs!$D$51))</f>
        <v>8586.5234</v>
      </c>
      <c r="AS50" s="308">
        <f t="shared" si="17"/>
        <v>1671456.5234000001</v>
      </c>
      <c r="AT50" s="308">
        <f t="shared" si="32"/>
        <v>1671456.5234000001</v>
      </c>
      <c r="AU50" s="308"/>
      <c r="AV50" s="308">
        <f>ABS(IF($AQ50="Yes",$AF50*Inputs!E$50,Data!$AF50*Inputs!E$51))</f>
        <v>8586.5234</v>
      </c>
      <c r="AW50" s="308">
        <f>ABS(IF($AQ50="Yes",$AF50*Inputs!F$50,Data!$AF50*Inputs!F$51))</f>
        <v>8586.5234</v>
      </c>
      <c r="AX50" s="308">
        <f>ABS(IF($AQ50="Yes",$AF50*Inputs!G$50,Data!$AF50*Inputs!G$51))</f>
        <v>8586.5234</v>
      </c>
      <c r="AY50" s="308">
        <f>ABS(IF($AQ50="Yes",$AF50*Inputs!H$50,Data!$AF50*Inputs!H$51))</f>
        <v>8586.5234</v>
      </c>
      <c r="AZ50" s="308">
        <f>ABS(IF($AQ50="Yes",$AF50*Inputs!I$50,Data!$AF50*Inputs!I$51))</f>
        <v>8586.5234</v>
      </c>
      <c r="BA50" s="308">
        <f>ABS(IF($AQ50="Yes",$AF50*Inputs!J$50,Data!$AF50*Inputs!J$51))</f>
        <v>8586.5234</v>
      </c>
      <c r="BB50" s="308">
        <f>ABS(IF($AQ50="Yes",$AF50*Inputs!K$50,Data!$AF50*Inputs!K$51))</f>
        <v>0</v>
      </c>
      <c r="BC50" s="308">
        <f>ABS(IF($AQ50="Yes",$AF50*Inputs!L$50,Data!$AF50*Inputs!L$51))</f>
        <v>0</v>
      </c>
      <c r="BE50" s="308">
        <f t="shared" si="18"/>
        <v>1680043.0468000001</v>
      </c>
      <c r="BF50" s="308">
        <f t="shared" si="19"/>
        <v>1688629.5702000002</v>
      </c>
      <c r="BG50" s="308">
        <f t="shared" si="20"/>
        <v>1697216.0936000003</v>
      </c>
      <c r="BH50" s="308">
        <f t="shared" si="21"/>
        <v>1705802.6170000003</v>
      </c>
      <c r="BI50" s="308">
        <f t="shared" si="22"/>
        <v>1714389.1404000004</v>
      </c>
      <c r="BJ50" s="308">
        <f t="shared" si="23"/>
        <v>1755641</v>
      </c>
      <c r="BK50" s="308">
        <f t="shared" si="24"/>
        <v>1755641</v>
      </c>
      <c r="BL50" s="308">
        <f t="shared" si="25"/>
        <v>1755641</v>
      </c>
      <c r="BN50" s="308">
        <f t="shared" si="33"/>
        <v>1680043.0468000001</v>
      </c>
      <c r="BO50" s="308">
        <f t="shared" si="34"/>
        <v>1688629.5702000002</v>
      </c>
      <c r="BP50" s="308">
        <f t="shared" si="35"/>
        <v>1697216.0936000003</v>
      </c>
      <c r="BQ50" s="308">
        <f t="shared" si="36"/>
        <v>1705802.6170000003</v>
      </c>
      <c r="BR50" s="308">
        <f t="shared" si="37"/>
        <v>1714389.1404000004</v>
      </c>
      <c r="BS50" s="308">
        <f t="shared" si="38"/>
        <v>1755641</v>
      </c>
      <c r="BT50" s="308">
        <f t="shared" si="39"/>
        <v>1755641</v>
      </c>
      <c r="BU50" s="308">
        <f t="shared" si="26"/>
        <v>1755641</v>
      </c>
    </row>
    <row r="51" spans="1:73" ht="15" x14ac:dyDescent="0.2">
      <c r="A51" s="62" t="s">
        <v>49</v>
      </c>
      <c r="B51" s="55" t="s">
        <v>6</v>
      </c>
      <c r="C51" s="55">
        <v>1</v>
      </c>
      <c r="D51" s="55">
        <v>1</v>
      </c>
      <c r="E51" s="55">
        <v>1</v>
      </c>
      <c r="F51" s="55"/>
      <c r="G51" s="48">
        <v>10</v>
      </c>
      <c r="H51" s="55">
        <v>37</v>
      </c>
      <c r="I51" s="55">
        <f>INDEX('FY 22 OFA Shell'!$K$27:$K$195,MATCH(Data!H51,'FY 22 OFA Shell'!$H$27:$H$195,0))</f>
        <v>1358.84</v>
      </c>
      <c r="J51" s="55">
        <f>INDEX('FY 22 OFA Shell'!$N$27:$N$195,MATCH(Data!H51,'FY 22 OFA Shell'!$H$27:$H$195,0))</f>
        <v>737</v>
      </c>
      <c r="K51" s="64">
        <f>INDEX('FY 22 OFA Shell'!$S$27:$S$195,MATCH(Data!H51,'FY 22 OFA Shell'!$H$27:$H$195,0))</f>
        <v>40</v>
      </c>
      <c r="L51" s="150">
        <f t="shared" si="15"/>
        <v>0.54237437814606582</v>
      </c>
      <c r="M51" s="149">
        <f>MAX(((L51-Inputs!$E$23)*Data!I51)*Inputs!$E$24,0)</f>
        <v>0</v>
      </c>
      <c r="N51" s="151">
        <f>INDEX('FY 22 OFA Shell'!$V$27:$V$195,MATCH(Data!H51,'FY 22 OFA Shell'!$H$27:$H$195,0))</f>
        <v>1091479200</v>
      </c>
      <c r="O51" s="63">
        <f>INDEX('FY 22 OFA Shell'!$W$27:$W$195,MATCH(Data!H51,'FY 22 OFA Shell'!$H$27:$H$195,0))</f>
        <v>12596</v>
      </c>
      <c r="P51" s="65">
        <f>INDEX('FY 22 OFA Shell'!$Z$27:$Z$195,MATCH(Data!H51,'FY 22 OFA Shell'!$H$27:$H$195,0))</f>
        <v>56301</v>
      </c>
      <c r="Q51" s="63">
        <f>INDEX('FY 22 OFA Shell'!$AF$27:$AF$195,MATCH(Data!H51,'FY 22 OFA Shell'!$H$27:$H$195,0))</f>
        <v>0</v>
      </c>
      <c r="R51" s="66">
        <f>INDEX('FY 22 OFA Shell'!$AG$27:$AG$195,MATCH(Data!H51,'FY 22 OFA Shell'!$H$27:$H$195,0))</f>
        <v>0</v>
      </c>
      <c r="S51" s="66">
        <f>INDEX('FY 22 OFA Shell'!$AJ$27:$AJ$195,MATCH(Data!H51,'FY 22 OFA Shell'!$H$27:$H$195,0))</f>
        <v>0</v>
      </c>
      <c r="T51" s="66">
        <f>INDEX('FY 22 OFA Shell'!$AK$27:$AK$195,MATCH(Data!H51,'FY 22 OFA Shell'!$H$27:$H$195,0))</f>
        <v>0</v>
      </c>
      <c r="U51" s="135">
        <v>7902388</v>
      </c>
      <c r="V51" s="67">
        <f>ROUND(J51*Inputs!$E$22, 2)</f>
        <v>221.1</v>
      </c>
      <c r="W51" s="68">
        <f>I51+V51+K51*Inputs!$E$28+Data!M51</f>
        <v>1589.9399999999998</v>
      </c>
      <c r="X51" s="69">
        <f t="shared" si="27"/>
        <v>86652.84</v>
      </c>
      <c r="Y51" s="70">
        <f>ROUND(X51/Inputs!$E$32, 6)</f>
        <v>0.45008199999999998</v>
      </c>
      <c r="Z51" s="70">
        <f>ROUND(P51/Inputs!$E$33, 6)</f>
        <v>0.46725100000000003</v>
      </c>
      <c r="AA51" s="59">
        <f>ROUND(1-((Y51*Inputs!$E$29)+Z51*Inputs!$E$27), 6)</f>
        <v>0.544767</v>
      </c>
      <c r="AB51" s="59">
        <v>324.41077457002945</v>
      </c>
      <c r="AC51" s="73">
        <f>INDEX('FY 22 OFA Shell'!$G$27:$G$195,MATCH(Data!H51,'FY 22 OFA Shell'!$H$27:$H$195,0))</f>
        <v>12</v>
      </c>
      <c r="AD51" s="73">
        <f t="shared" si="16"/>
        <v>3</v>
      </c>
      <c r="AE51" s="65">
        <v>7902388</v>
      </c>
      <c r="AF51" s="65">
        <f t="shared" si="28"/>
        <v>2812917</v>
      </c>
      <c r="AG51" s="65">
        <f t="shared" si="29"/>
        <v>2812917</v>
      </c>
      <c r="AH51" s="52">
        <v>7857361</v>
      </c>
      <c r="AI51" s="107">
        <v>8084161.0489999996</v>
      </c>
      <c r="AJ51"/>
      <c r="AK51">
        <v>0</v>
      </c>
      <c r="AL51" s="165">
        <f>INDEX('FY 22 OFA Shell'!$AU$27:$AU$195,MATCH(Data!H51,'FY 22 OFA Shell'!$H$27:$H$195,0))</f>
        <v>8840423</v>
      </c>
      <c r="AM51" s="165">
        <f>Outputs!H56</f>
        <v>10715305</v>
      </c>
      <c r="AN51" s="165">
        <f>Outputs!G56+Outputs!D56+Outputs!F56</f>
        <v>10715305</v>
      </c>
      <c r="AO51" s="165">
        <v>8498976</v>
      </c>
      <c r="AP51" s="165">
        <f t="shared" si="30"/>
        <v>8084161.0489999996</v>
      </c>
      <c r="AQ51" s="52" t="str">
        <f t="shared" si="31"/>
        <v>Yes</v>
      </c>
      <c r="AR51" s="308">
        <f>ABS(IF(AQ51="Yes",AF51*Inputs!$D$50,Data!AF51*Inputs!$D$51))</f>
        <v>299856.9522</v>
      </c>
      <c r="AS51" s="308">
        <f t="shared" si="17"/>
        <v>9140279.9521999992</v>
      </c>
      <c r="AT51" s="308">
        <f t="shared" si="32"/>
        <v>9140279.9521999992</v>
      </c>
      <c r="AU51" s="308"/>
      <c r="AV51" s="308">
        <f>ABS(IF($AQ51="Yes",$AF51*Inputs!E$50,Data!$AF51*Inputs!E$51))</f>
        <v>299856.9522</v>
      </c>
      <c r="AW51" s="308">
        <f>ABS(IF($AQ51="Yes",$AF51*Inputs!F$50,Data!$AF51*Inputs!F$51))</f>
        <v>299856.9522</v>
      </c>
      <c r="AX51" s="308">
        <f>ABS(IF($AQ51="Yes",$AF51*Inputs!G$50,Data!$AF51*Inputs!G$51))</f>
        <v>299856.9522</v>
      </c>
      <c r="AY51" s="308">
        <f>ABS(IF($AQ51="Yes",$AF51*Inputs!H$50,Data!$AF51*Inputs!H$51))</f>
        <v>299856.9522</v>
      </c>
      <c r="AZ51" s="308">
        <f>ABS(IF($AQ51="Yes",$AF51*Inputs!I$50,Data!$AF51*Inputs!I$51))</f>
        <v>299856.9522</v>
      </c>
      <c r="BA51" s="308">
        <f>ABS(IF($AQ51="Yes",$AF51*Inputs!J$50,Data!$AF51*Inputs!J$51))</f>
        <v>299856.9522</v>
      </c>
      <c r="BB51" s="308">
        <f>ABS(IF($AQ51="Yes",$AF51*Inputs!K$50,Data!$AF51*Inputs!K$51))</f>
        <v>0</v>
      </c>
      <c r="BC51" s="308">
        <f>ABS(IF($AQ51="Yes",$AF51*Inputs!L$50,Data!$AF51*Inputs!L$51))</f>
        <v>0</v>
      </c>
      <c r="BE51" s="308">
        <f t="shared" si="18"/>
        <v>9440136.9043999985</v>
      </c>
      <c r="BF51" s="308">
        <f t="shared" si="19"/>
        <v>9739993.8565999977</v>
      </c>
      <c r="BG51" s="308">
        <f t="shared" si="20"/>
        <v>10039850.808799997</v>
      </c>
      <c r="BH51" s="308">
        <f t="shared" si="21"/>
        <v>10339707.760999996</v>
      </c>
      <c r="BI51" s="308">
        <f t="shared" si="22"/>
        <v>10639564.713199995</v>
      </c>
      <c r="BJ51" s="308">
        <f t="shared" si="23"/>
        <v>10715305</v>
      </c>
      <c r="BK51" s="308">
        <f t="shared" si="24"/>
        <v>10715305</v>
      </c>
      <c r="BL51" s="308">
        <f t="shared" si="25"/>
        <v>10715305</v>
      </c>
      <c r="BN51" s="308">
        <f t="shared" si="33"/>
        <v>9440136.9043999985</v>
      </c>
      <c r="BO51" s="308">
        <f t="shared" si="34"/>
        <v>9739993.8565999977</v>
      </c>
      <c r="BP51" s="308">
        <f t="shared" si="35"/>
        <v>10039850.808799997</v>
      </c>
      <c r="BQ51" s="308">
        <f t="shared" si="36"/>
        <v>10339707.760999996</v>
      </c>
      <c r="BR51" s="308">
        <f t="shared" si="37"/>
        <v>10639564.713199995</v>
      </c>
      <c r="BS51" s="308">
        <f t="shared" si="38"/>
        <v>10715305</v>
      </c>
      <c r="BT51" s="308">
        <f t="shared" si="39"/>
        <v>10715305</v>
      </c>
      <c r="BU51" s="308">
        <f t="shared" si="26"/>
        <v>10715305</v>
      </c>
    </row>
    <row r="52" spans="1:73" ht="15" x14ac:dyDescent="0.2">
      <c r="A52" s="62" t="s">
        <v>50</v>
      </c>
      <c r="B52" s="55" t="s">
        <v>4</v>
      </c>
      <c r="C52" s="55"/>
      <c r="D52" s="55"/>
      <c r="E52" s="55"/>
      <c r="F52" s="55"/>
      <c r="G52" s="48">
        <v>3</v>
      </c>
      <c r="H52" s="55">
        <v>38</v>
      </c>
      <c r="I52" s="55">
        <f>INDEX('FY 22 OFA Shell'!$K$27:$K$195,MATCH(Data!H52,'FY 22 OFA Shell'!$H$27:$H$195,0))</f>
        <v>948.77</v>
      </c>
      <c r="J52" s="55">
        <f>INDEX('FY 22 OFA Shell'!$N$27:$N$195,MATCH(Data!H52,'FY 22 OFA Shell'!$H$27:$H$195,0))</f>
        <v>135</v>
      </c>
      <c r="K52" s="64">
        <f>INDEX('FY 22 OFA Shell'!$S$27:$S$195,MATCH(Data!H52,'FY 22 OFA Shell'!$H$27:$H$195,0))</f>
        <v>10</v>
      </c>
      <c r="L52" s="150">
        <f t="shared" si="15"/>
        <v>0.14228949060362364</v>
      </c>
      <c r="M52" s="149">
        <f>MAX(((L52-Inputs!$E$23)*Data!I52)*Inputs!$E$24,0)</f>
        <v>0</v>
      </c>
      <c r="N52" s="151">
        <f>INDEX('FY 22 OFA Shell'!$V$27:$V$195,MATCH(Data!H52,'FY 22 OFA Shell'!$H$27:$H$195,0))</f>
        <v>1036982772.67</v>
      </c>
      <c r="O52" s="63">
        <f>INDEX('FY 22 OFA Shell'!$W$27:$W$195,MATCH(Data!H52,'FY 22 OFA Shell'!$H$27:$H$195,0))</f>
        <v>7248</v>
      </c>
      <c r="P52" s="65">
        <f>INDEX('FY 22 OFA Shell'!$Z$27:$Z$195,MATCH(Data!H52,'FY 22 OFA Shell'!$H$27:$H$195,0))</f>
        <v>117631</v>
      </c>
      <c r="Q52" s="63">
        <f>INDEX('FY 22 OFA Shell'!$AF$27:$AF$195,MATCH(Data!H52,'FY 22 OFA Shell'!$H$27:$H$195,0))</f>
        <v>956</v>
      </c>
      <c r="R52" s="66">
        <f>INDEX('FY 22 OFA Shell'!$AG$27:$AG$195,MATCH(Data!H52,'FY 22 OFA Shell'!$H$27:$H$195,0))</f>
        <v>13</v>
      </c>
      <c r="S52" s="66">
        <f>INDEX('FY 22 OFA Shell'!$AJ$27:$AJ$195,MATCH(Data!H52,'FY 22 OFA Shell'!$H$27:$H$195,0))</f>
        <v>0</v>
      </c>
      <c r="T52" s="66">
        <f>INDEX('FY 22 OFA Shell'!$AK$27:$AK$195,MATCH(Data!H52,'FY 22 OFA Shell'!$H$27:$H$195,0))</f>
        <v>0</v>
      </c>
      <c r="U52" s="135">
        <v>3895303</v>
      </c>
      <c r="V52" s="67">
        <f>ROUND(J52*Inputs!$E$22, 2)</f>
        <v>40.5</v>
      </c>
      <c r="W52" s="68">
        <f>I52+V52+K52*Inputs!$E$28+Data!M52</f>
        <v>991.77</v>
      </c>
      <c r="X52" s="69">
        <f t="shared" si="27"/>
        <v>143071.57</v>
      </c>
      <c r="Y52" s="70">
        <f>ROUND(X52/Inputs!$E$32, 6)</f>
        <v>0.74312599999999995</v>
      </c>
      <c r="Z52" s="70">
        <f>ROUND(P52/Inputs!$E$33, 6)</f>
        <v>0.97623700000000002</v>
      </c>
      <c r="AA52" s="59">
        <f>ROUND(1-((Y52*Inputs!$E$29)+Z52*Inputs!$E$27), 6)</f>
        <v>0.186941</v>
      </c>
      <c r="AB52" s="59">
        <v>214.99371712788474</v>
      </c>
      <c r="AC52" s="73">
        <f>INDEX('FY 22 OFA Shell'!$G$27:$G$195,MATCH(Data!H52,'FY 22 OFA Shell'!$H$27:$H$195,0))</f>
        <v>135</v>
      </c>
      <c r="AD52" s="73">
        <f t="shared" si="16"/>
        <v>5</v>
      </c>
      <c r="AE52" s="65">
        <v>3895303</v>
      </c>
      <c r="AF52" s="65">
        <f t="shared" si="28"/>
        <v>-515739</v>
      </c>
      <c r="AG52" s="65">
        <f t="shared" si="29"/>
        <v>-515739</v>
      </c>
      <c r="AH52" s="52">
        <v>3387841</v>
      </c>
      <c r="AI52" s="107">
        <v>3457206.25</v>
      </c>
      <c r="AJ52"/>
      <c r="AK52">
        <v>0</v>
      </c>
      <c r="AL52" s="165">
        <f>INDEX('FY 22 OFA Shell'!$AU$27:$AU$195,MATCH(Data!H52,'FY 22 OFA Shell'!$H$27:$H$195,0))</f>
        <v>3165733</v>
      </c>
      <c r="AM52" s="165">
        <f>Outputs!H57</f>
        <v>3379564</v>
      </c>
      <c r="AN52" s="165">
        <f>Outputs!G57+Outputs!D57+Outputs!F57</f>
        <v>3379564</v>
      </c>
      <c r="AO52" s="165">
        <v>3312137</v>
      </c>
      <c r="AP52" s="165">
        <f t="shared" si="30"/>
        <v>3457206.25</v>
      </c>
      <c r="AQ52" s="52" t="str">
        <f t="shared" si="31"/>
        <v>No</v>
      </c>
      <c r="AR52" s="308">
        <f>ABS(IF(AQ52="Yes",AF52*Inputs!$D$50,Data!AF52*Inputs!$D$51))</f>
        <v>0</v>
      </c>
      <c r="AS52" s="308">
        <f t="shared" si="17"/>
        <v>3165733</v>
      </c>
      <c r="AT52" s="308">
        <f t="shared" si="32"/>
        <v>3165733</v>
      </c>
      <c r="AU52" s="308"/>
      <c r="AV52" s="308">
        <f>ABS(IF($AQ52="Yes",$AF52*Inputs!E$50,Data!$AF52*Inputs!E$51))</f>
        <v>0</v>
      </c>
      <c r="AW52" s="308">
        <f>ABS(IF($AQ52="Yes",$AF52*Inputs!F$50,Data!$AF52*Inputs!F$51))</f>
        <v>42961.058700000001</v>
      </c>
      <c r="AX52" s="308">
        <f>ABS(IF($AQ52="Yes",$AF52*Inputs!G$50,Data!$AF52*Inputs!G$51))</f>
        <v>42961.058700000001</v>
      </c>
      <c r="AY52" s="308">
        <f>ABS(IF($AQ52="Yes",$AF52*Inputs!H$50,Data!$AF52*Inputs!H$51))</f>
        <v>42961.058700000001</v>
      </c>
      <c r="AZ52" s="308">
        <f>ABS(IF($AQ52="Yes",$AF52*Inputs!I$50,Data!$AF52*Inputs!I$51))</f>
        <v>42961.058700000001</v>
      </c>
      <c r="BA52" s="308">
        <f>ABS(IF($AQ52="Yes",$AF52*Inputs!J$50,Data!$AF52*Inputs!J$51))</f>
        <v>42961.058700000001</v>
      </c>
      <c r="BB52" s="308">
        <f>ABS(IF($AQ52="Yes",$AF52*Inputs!K$50,Data!$AF52*Inputs!K$51))</f>
        <v>42961.058700000001</v>
      </c>
      <c r="BC52" s="308">
        <f>ABS(IF($AQ52="Yes",$AF52*Inputs!L$50,Data!$AF52*Inputs!L$51))</f>
        <v>42961.058700000001</v>
      </c>
      <c r="BE52" s="308">
        <f t="shared" si="18"/>
        <v>3165733</v>
      </c>
      <c r="BF52" s="308">
        <f t="shared" si="19"/>
        <v>3122771.9413000001</v>
      </c>
      <c r="BG52" s="308">
        <f t="shared" si="20"/>
        <v>3079810.8826000001</v>
      </c>
      <c r="BH52" s="308">
        <f t="shared" si="21"/>
        <v>3036849.8239000002</v>
      </c>
      <c r="BI52" s="308">
        <f t="shared" si="22"/>
        <v>2993888.7652000003</v>
      </c>
      <c r="BJ52" s="308">
        <f t="shared" si="23"/>
        <v>2950927.7065000003</v>
      </c>
      <c r="BK52" s="308">
        <f t="shared" si="24"/>
        <v>2907966.6478000004</v>
      </c>
      <c r="BL52" s="308">
        <f t="shared" si="25"/>
        <v>3379564</v>
      </c>
      <c r="BN52" s="308">
        <f t="shared" si="33"/>
        <v>3165733</v>
      </c>
      <c r="BO52" s="308">
        <f t="shared" si="34"/>
        <v>3122771.9413000001</v>
      </c>
      <c r="BP52" s="308">
        <f t="shared" si="35"/>
        <v>3079810.8826000001</v>
      </c>
      <c r="BQ52" s="308">
        <f t="shared" si="36"/>
        <v>3036849.8239000002</v>
      </c>
      <c r="BR52" s="308">
        <f t="shared" si="37"/>
        <v>2993888.7652000003</v>
      </c>
      <c r="BS52" s="308">
        <f t="shared" si="38"/>
        <v>2950927.7065000003</v>
      </c>
      <c r="BT52" s="308">
        <f t="shared" si="39"/>
        <v>2907966.6478000004</v>
      </c>
      <c r="BU52" s="308">
        <f t="shared" si="26"/>
        <v>3379564</v>
      </c>
    </row>
    <row r="53" spans="1:73" ht="15" x14ac:dyDescent="0.2">
      <c r="A53" s="62" t="s">
        <v>51</v>
      </c>
      <c r="B53" s="55" t="s">
        <v>8</v>
      </c>
      <c r="C53" s="55"/>
      <c r="D53" s="55"/>
      <c r="E53" s="55"/>
      <c r="F53" s="55"/>
      <c r="G53" s="48">
        <v>7</v>
      </c>
      <c r="H53" s="55">
        <v>39</v>
      </c>
      <c r="I53" s="55">
        <f>INDEX('FY 22 OFA Shell'!$K$27:$K$195,MATCH(Data!H53,'FY 22 OFA Shell'!$H$27:$H$195,0))</f>
        <v>179</v>
      </c>
      <c r="J53" s="55">
        <f>INDEX('FY 22 OFA Shell'!$N$27:$N$195,MATCH(Data!H53,'FY 22 OFA Shell'!$H$27:$H$195,0))</f>
        <v>46</v>
      </c>
      <c r="K53" s="64">
        <f>INDEX('FY 22 OFA Shell'!$S$27:$S$195,MATCH(Data!H53,'FY 22 OFA Shell'!$H$27:$H$195,0))</f>
        <v>1</v>
      </c>
      <c r="L53" s="150">
        <f t="shared" si="15"/>
        <v>0.25698324022346369</v>
      </c>
      <c r="M53" s="149">
        <f>MAX(((L53-Inputs!$E$23)*Data!I53)*Inputs!$E$24,0)</f>
        <v>0</v>
      </c>
      <c r="N53" s="151">
        <f>INDEX('FY 22 OFA Shell'!$V$27:$V$195,MATCH(Data!H53,'FY 22 OFA Shell'!$H$27:$H$195,0))</f>
        <v>227054576.66999999</v>
      </c>
      <c r="O53" s="63">
        <f>INDEX('FY 22 OFA Shell'!$W$27:$W$195,MATCH(Data!H53,'FY 22 OFA Shell'!$H$27:$H$195,0))</f>
        <v>1721</v>
      </c>
      <c r="P53" s="65">
        <f>INDEX('FY 22 OFA Shell'!$Z$27:$Z$195,MATCH(Data!H53,'FY 22 OFA Shell'!$H$27:$H$195,0))</f>
        <v>86667</v>
      </c>
      <c r="Q53" s="63">
        <f>INDEX('FY 22 OFA Shell'!$AF$27:$AF$195,MATCH(Data!H53,'FY 22 OFA Shell'!$H$27:$H$195,0))</f>
        <v>0</v>
      </c>
      <c r="R53" s="66">
        <f>INDEX('FY 22 OFA Shell'!$AG$27:$AG$195,MATCH(Data!H53,'FY 22 OFA Shell'!$H$27:$H$195,0))</f>
        <v>0</v>
      </c>
      <c r="S53" s="66">
        <f>INDEX('FY 22 OFA Shell'!$AJ$27:$AJ$195,MATCH(Data!H53,'FY 22 OFA Shell'!$H$27:$H$195,0))</f>
        <v>43</v>
      </c>
      <c r="T53" s="66">
        <f>INDEX('FY 22 OFA Shell'!$AK$27:$AK$195,MATCH(Data!H53,'FY 22 OFA Shell'!$H$27:$H$195,0))</f>
        <v>4</v>
      </c>
      <c r="U53" s="135">
        <v>1091881</v>
      </c>
      <c r="V53" s="67">
        <f>ROUND(J53*Inputs!$E$22, 2)</f>
        <v>13.8</v>
      </c>
      <c r="W53" s="68">
        <f>I53+V53+K53*Inputs!$E$28+Data!M53</f>
        <v>193.05</v>
      </c>
      <c r="X53" s="69">
        <f t="shared" si="27"/>
        <v>131931.76999999999</v>
      </c>
      <c r="Y53" s="70">
        <f>ROUND(X53/Inputs!$E$32, 6)</f>
        <v>0.68526399999999998</v>
      </c>
      <c r="Z53" s="70">
        <f>ROUND(P53/Inputs!$E$33, 6)</f>
        <v>0.71926299999999999</v>
      </c>
      <c r="AA53" s="59">
        <f>ROUND(1-((Y53*Inputs!$E$29)+Z53*Inputs!$E$27), 6)</f>
        <v>0.30453599999999997</v>
      </c>
      <c r="AB53" s="59">
        <v>201.25352740556082</v>
      </c>
      <c r="AC53" s="73">
        <f>INDEX('FY 22 OFA Shell'!$G$27:$G$195,MATCH(Data!H53,'FY 22 OFA Shell'!$H$27:$H$195,0))</f>
        <v>118</v>
      </c>
      <c r="AD53" s="73">
        <f t="shared" si="16"/>
        <v>5</v>
      </c>
      <c r="AE53" s="65">
        <v>1091881</v>
      </c>
      <c r="AF53" s="65">
        <f t="shared" si="28"/>
        <v>-397118</v>
      </c>
      <c r="AG53" s="65">
        <f t="shared" si="29"/>
        <v>-397118</v>
      </c>
      <c r="AH53" s="52">
        <v>950482</v>
      </c>
      <c r="AI53" s="107">
        <v>1003971.25</v>
      </c>
      <c r="AJ53"/>
      <c r="AK53">
        <v>0</v>
      </c>
      <c r="AL53" s="165">
        <f>INDEX('FY 22 OFA Shell'!$AU$27:$AU$195,MATCH(Data!H53,'FY 22 OFA Shell'!$H$27:$H$195,0))</f>
        <v>947176</v>
      </c>
      <c r="AM53" s="165">
        <f>Outputs!H58</f>
        <v>694763</v>
      </c>
      <c r="AN53" s="165">
        <f>Outputs!G58+Outputs!D58+Outputs!F58</f>
        <v>694763</v>
      </c>
      <c r="AO53" s="165">
        <v>979940</v>
      </c>
      <c r="AP53" s="165">
        <f t="shared" si="30"/>
        <v>1003971.25</v>
      </c>
      <c r="AQ53" s="52" t="str">
        <f t="shared" si="31"/>
        <v>No</v>
      </c>
      <c r="AR53" s="308">
        <f>ABS(IF(AQ53="Yes",AF53*Inputs!$D$50,Data!AF53*Inputs!$D$51))</f>
        <v>0</v>
      </c>
      <c r="AS53" s="308">
        <f t="shared" si="17"/>
        <v>947176</v>
      </c>
      <c r="AT53" s="308">
        <f t="shared" si="32"/>
        <v>947176</v>
      </c>
      <c r="AU53" s="308"/>
      <c r="AV53" s="308">
        <f>ABS(IF($AQ53="Yes",$AF53*Inputs!E$50,Data!$AF53*Inputs!E$51))</f>
        <v>0</v>
      </c>
      <c r="AW53" s="308">
        <f>ABS(IF($AQ53="Yes",$AF53*Inputs!F$50,Data!$AF53*Inputs!F$51))</f>
        <v>33079.929400000001</v>
      </c>
      <c r="AX53" s="308">
        <f>ABS(IF($AQ53="Yes",$AF53*Inputs!G$50,Data!$AF53*Inputs!G$51))</f>
        <v>33079.929400000001</v>
      </c>
      <c r="AY53" s="308">
        <f>ABS(IF($AQ53="Yes",$AF53*Inputs!H$50,Data!$AF53*Inputs!H$51))</f>
        <v>33079.929400000001</v>
      </c>
      <c r="AZ53" s="308">
        <f>ABS(IF($AQ53="Yes",$AF53*Inputs!I$50,Data!$AF53*Inputs!I$51))</f>
        <v>33079.929400000001</v>
      </c>
      <c r="BA53" s="308">
        <f>ABS(IF($AQ53="Yes",$AF53*Inputs!J$50,Data!$AF53*Inputs!J$51))</f>
        <v>33079.929400000001</v>
      </c>
      <c r="BB53" s="308">
        <f>ABS(IF($AQ53="Yes",$AF53*Inputs!K$50,Data!$AF53*Inputs!K$51))</f>
        <v>33079.929400000001</v>
      </c>
      <c r="BC53" s="308">
        <f>ABS(IF($AQ53="Yes",$AF53*Inputs!L$50,Data!$AF53*Inputs!L$51))</f>
        <v>33079.929400000001</v>
      </c>
      <c r="BE53" s="308">
        <f t="shared" si="18"/>
        <v>947176</v>
      </c>
      <c r="BF53" s="308">
        <f t="shared" si="19"/>
        <v>914096.07059999998</v>
      </c>
      <c r="BG53" s="308">
        <f t="shared" si="20"/>
        <v>881016.14119999995</v>
      </c>
      <c r="BH53" s="308">
        <f t="shared" si="21"/>
        <v>847936.21179999993</v>
      </c>
      <c r="BI53" s="308">
        <f t="shared" si="22"/>
        <v>814856.28239999991</v>
      </c>
      <c r="BJ53" s="308">
        <f t="shared" si="23"/>
        <v>781776.35299999989</v>
      </c>
      <c r="BK53" s="308">
        <f t="shared" si="24"/>
        <v>748696.42359999986</v>
      </c>
      <c r="BL53" s="308">
        <f t="shared" si="25"/>
        <v>694763</v>
      </c>
      <c r="BN53" s="308">
        <f t="shared" si="33"/>
        <v>947176</v>
      </c>
      <c r="BO53" s="308">
        <f t="shared" si="34"/>
        <v>914096.07059999998</v>
      </c>
      <c r="BP53" s="308">
        <f t="shared" si="35"/>
        <v>881016.14119999995</v>
      </c>
      <c r="BQ53" s="308">
        <f t="shared" si="36"/>
        <v>847936.21179999993</v>
      </c>
      <c r="BR53" s="308">
        <f t="shared" si="37"/>
        <v>814856.28239999991</v>
      </c>
      <c r="BS53" s="308">
        <f t="shared" si="38"/>
        <v>781776.35299999989</v>
      </c>
      <c r="BT53" s="308">
        <f t="shared" si="39"/>
        <v>748696.42359999986</v>
      </c>
      <c r="BU53" s="308">
        <f t="shared" si="26"/>
        <v>694763</v>
      </c>
    </row>
    <row r="54" spans="1:73" ht="15" x14ac:dyDescent="0.2">
      <c r="A54" s="62" t="s">
        <v>52</v>
      </c>
      <c r="B54" s="55" t="s">
        <v>14</v>
      </c>
      <c r="C54" s="55"/>
      <c r="D54" s="55"/>
      <c r="E54" s="55"/>
      <c r="F54" s="55"/>
      <c r="G54" s="48">
        <v>5</v>
      </c>
      <c r="H54" s="55">
        <v>40</v>
      </c>
      <c r="I54" s="55">
        <f>INDEX('FY 22 OFA Shell'!$K$27:$K$195,MATCH(Data!H54,'FY 22 OFA Shell'!$H$27:$H$195,0))</f>
        <v>847.21</v>
      </c>
      <c r="J54" s="55">
        <f>INDEX('FY 22 OFA Shell'!$N$27:$N$195,MATCH(Data!H54,'FY 22 OFA Shell'!$H$27:$H$195,0))</f>
        <v>93</v>
      </c>
      <c r="K54" s="64">
        <f>INDEX('FY 22 OFA Shell'!$S$27:$S$195,MATCH(Data!H54,'FY 22 OFA Shell'!$H$27:$H$195,0))</f>
        <v>16</v>
      </c>
      <c r="L54" s="150">
        <f t="shared" si="15"/>
        <v>0.109772075400432</v>
      </c>
      <c r="M54" s="149">
        <f>MAX(((L54-Inputs!$E$23)*Data!I54)*Inputs!$E$24,0)</f>
        <v>0</v>
      </c>
      <c r="N54" s="151">
        <f>INDEX('FY 22 OFA Shell'!$V$27:$V$195,MATCH(Data!H54,'FY 22 OFA Shell'!$H$27:$H$195,0))</f>
        <v>862107097.66999996</v>
      </c>
      <c r="O54" s="63">
        <f>INDEX('FY 22 OFA Shell'!$W$27:$W$195,MATCH(Data!H54,'FY 22 OFA Shell'!$H$27:$H$195,0))</f>
        <v>5256</v>
      </c>
      <c r="P54" s="65">
        <f>INDEX('FY 22 OFA Shell'!$Z$27:$Z$195,MATCH(Data!H54,'FY 22 OFA Shell'!$H$27:$H$195,0))</f>
        <v>100689</v>
      </c>
      <c r="Q54" s="63">
        <f>INDEX('FY 22 OFA Shell'!$AF$27:$AF$195,MATCH(Data!H54,'FY 22 OFA Shell'!$H$27:$H$195,0))</f>
        <v>0</v>
      </c>
      <c r="R54" s="66">
        <f>INDEX('FY 22 OFA Shell'!$AG$27:$AG$195,MATCH(Data!H54,'FY 22 OFA Shell'!$H$27:$H$195,0))</f>
        <v>0</v>
      </c>
      <c r="S54" s="66">
        <f>INDEX('FY 22 OFA Shell'!$AJ$27:$AJ$195,MATCH(Data!H54,'FY 22 OFA Shell'!$H$27:$H$195,0))</f>
        <v>0</v>
      </c>
      <c r="T54" s="66">
        <f>INDEX('FY 22 OFA Shell'!$AK$27:$AK$195,MATCH(Data!H54,'FY 22 OFA Shell'!$H$27:$H$195,0))</f>
        <v>0</v>
      </c>
      <c r="U54" s="135">
        <v>1439845</v>
      </c>
      <c r="V54" s="67">
        <f>ROUND(J54*Inputs!$E$22, 2)</f>
        <v>27.9</v>
      </c>
      <c r="W54" s="68">
        <f>I54+V54+K54*Inputs!$E$28+Data!M54</f>
        <v>879.11</v>
      </c>
      <c r="X54" s="69">
        <f t="shared" si="27"/>
        <v>164023.42000000001</v>
      </c>
      <c r="Y54" s="70">
        <f>ROUND(X54/Inputs!$E$32, 6)</f>
        <v>0.85195100000000001</v>
      </c>
      <c r="Z54" s="70">
        <f>ROUND(P54/Inputs!$E$33, 6)</f>
        <v>0.83563299999999996</v>
      </c>
      <c r="AA54" s="59">
        <f>ROUND(1-((Y54*Inputs!$E$29)+Z54*Inputs!$E$27), 6)</f>
        <v>0.152944</v>
      </c>
      <c r="AB54" s="59">
        <v>221.15056721569704</v>
      </c>
      <c r="AC54" s="73">
        <f>INDEX('FY 22 OFA Shell'!$G$27:$G$195,MATCH(Data!H54,'FY 22 OFA Shell'!$H$27:$H$195,0))</f>
        <v>106</v>
      </c>
      <c r="AD54" s="73">
        <f t="shared" si="16"/>
        <v>5</v>
      </c>
      <c r="AE54" s="65">
        <v>1439845</v>
      </c>
      <c r="AF54" s="65">
        <f t="shared" si="28"/>
        <v>109744</v>
      </c>
      <c r="AG54" s="65">
        <f t="shared" si="29"/>
        <v>109744</v>
      </c>
      <c r="AH54" s="52">
        <v>1241423</v>
      </c>
      <c r="AI54" s="107">
        <v>1450524.2290000001</v>
      </c>
      <c r="AJ54"/>
      <c r="AK54">
        <v>0</v>
      </c>
      <c r="AL54" s="165">
        <f>INDEX('FY 22 OFA Shell'!$AU$27:$AU$195,MATCH(Data!H54,'FY 22 OFA Shell'!$H$27:$H$195,0))</f>
        <v>1434092</v>
      </c>
      <c r="AM54" s="165">
        <f>Outputs!H59</f>
        <v>1549589</v>
      </c>
      <c r="AN54" s="165">
        <f>Outputs!G59+Outputs!D59+Outputs!F59</f>
        <v>1549589</v>
      </c>
      <c r="AO54" s="165">
        <v>1439284</v>
      </c>
      <c r="AP54" s="165">
        <f t="shared" si="30"/>
        <v>1450524.2290000001</v>
      </c>
      <c r="AQ54" s="52" t="str">
        <f t="shared" si="31"/>
        <v>Yes</v>
      </c>
      <c r="AR54" s="308">
        <f>ABS(IF(AQ54="Yes",AF54*Inputs!$D$50,Data!AF54*Inputs!$D$51))</f>
        <v>11698.7104</v>
      </c>
      <c r="AS54" s="308">
        <f t="shared" si="17"/>
        <v>1445790.7104</v>
      </c>
      <c r="AT54" s="308">
        <f t="shared" si="32"/>
        <v>1445790.7104</v>
      </c>
      <c r="AU54" s="308"/>
      <c r="AV54" s="308">
        <f>ABS(IF($AQ54="Yes",$AF54*Inputs!E$50,Data!$AF54*Inputs!E$51))</f>
        <v>11698.7104</v>
      </c>
      <c r="AW54" s="308">
        <f>ABS(IF($AQ54="Yes",$AF54*Inputs!F$50,Data!$AF54*Inputs!F$51))</f>
        <v>11698.7104</v>
      </c>
      <c r="AX54" s="308">
        <f>ABS(IF($AQ54="Yes",$AF54*Inputs!G$50,Data!$AF54*Inputs!G$51))</f>
        <v>11698.7104</v>
      </c>
      <c r="AY54" s="308">
        <f>ABS(IF($AQ54="Yes",$AF54*Inputs!H$50,Data!$AF54*Inputs!H$51))</f>
        <v>11698.7104</v>
      </c>
      <c r="AZ54" s="308">
        <f>ABS(IF($AQ54="Yes",$AF54*Inputs!I$50,Data!$AF54*Inputs!I$51))</f>
        <v>11698.7104</v>
      </c>
      <c r="BA54" s="308">
        <f>ABS(IF($AQ54="Yes",$AF54*Inputs!J$50,Data!$AF54*Inputs!J$51))</f>
        <v>11698.7104</v>
      </c>
      <c r="BB54" s="308">
        <f>ABS(IF($AQ54="Yes",$AF54*Inputs!K$50,Data!$AF54*Inputs!K$51))</f>
        <v>0</v>
      </c>
      <c r="BC54" s="308">
        <f>ABS(IF($AQ54="Yes",$AF54*Inputs!L$50,Data!$AF54*Inputs!L$51))</f>
        <v>0</v>
      </c>
      <c r="BE54" s="308">
        <f t="shared" si="18"/>
        <v>1457489.4208</v>
      </c>
      <c r="BF54" s="308">
        <f t="shared" si="19"/>
        <v>1469188.1311999999</v>
      </c>
      <c r="BG54" s="308">
        <f t="shared" si="20"/>
        <v>1480886.8415999999</v>
      </c>
      <c r="BH54" s="308">
        <f t="shared" si="21"/>
        <v>1492585.5519999999</v>
      </c>
      <c r="BI54" s="308">
        <f t="shared" si="22"/>
        <v>1504284.2623999999</v>
      </c>
      <c r="BJ54" s="308">
        <f t="shared" si="23"/>
        <v>1549589</v>
      </c>
      <c r="BK54" s="308">
        <f t="shared" si="24"/>
        <v>1549589</v>
      </c>
      <c r="BL54" s="308">
        <f t="shared" si="25"/>
        <v>1549589</v>
      </c>
      <c r="BN54" s="308">
        <f t="shared" si="33"/>
        <v>1457489.4208</v>
      </c>
      <c r="BO54" s="308">
        <f t="shared" si="34"/>
        <v>1469188.1311999999</v>
      </c>
      <c r="BP54" s="308">
        <f t="shared" si="35"/>
        <v>1480886.8415999999</v>
      </c>
      <c r="BQ54" s="308">
        <f t="shared" si="36"/>
        <v>1492585.5519999999</v>
      </c>
      <c r="BR54" s="308">
        <f t="shared" si="37"/>
        <v>1504284.2623999999</v>
      </c>
      <c r="BS54" s="308">
        <f t="shared" si="38"/>
        <v>1549589</v>
      </c>
      <c r="BT54" s="308">
        <f t="shared" si="39"/>
        <v>1549589</v>
      </c>
      <c r="BU54" s="308">
        <f t="shared" si="26"/>
        <v>1549589</v>
      </c>
    </row>
    <row r="55" spans="1:73" ht="15" x14ac:dyDescent="0.2">
      <c r="A55" s="62" t="s">
        <v>53</v>
      </c>
      <c r="B55" s="55" t="s">
        <v>8</v>
      </c>
      <c r="C55" s="55"/>
      <c r="D55" s="55"/>
      <c r="E55" s="55"/>
      <c r="F55" s="55"/>
      <c r="G55" s="48">
        <v>5</v>
      </c>
      <c r="H55" s="55">
        <v>41</v>
      </c>
      <c r="I55" s="55">
        <f>INDEX('FY 22 OFA Shell'!$K$27:$K$195,MATCH(Data!H55,'FY 22 OFA Shell'!$H$27:$H$195,0))</f>
        <v>955.84</v>
      </c>
      <c r="J55" s="55">
        <f>INDEX('FY 22 OFA Shell'!$N$27:$N$195,MATCH(Data!H55,'FY 22 OFA Shell'!$H$27:$H$195,0))</f>
        <v>203</v>
      </c>
      <c r="K55" s="64">
        <f>INDEX('FY 22 OFA Shell'!$S$27:$S$195,MATCH(Data!H55,'FY 22 OFA Shell'!$H$27:$H$195,0))</f>
        <v>2</v>
      </c>
      <c r="L55" s="150">
        <f t="shared" si="15"/>
        <v>0.21237864077669902</v>
      </c>
      <c r="M55" s="149">
        <f>MAX(((L55-Inputs!$E$23)*Data!I55)*Inputs!$E$24,0)</f>
        <v>0</v>
      </c>
      <c r="N55" s="151">
        <f>INDEX('FY 22 OFA Shell'!$V$27:$V$195,MATCH(Data!H55,'FY 22 OFA Shell'!$H$27:$H$195,0))</f>
        <v>1272740846.6700001</v>
      </c>
      <c r="O55" s="63">
        <f>INDEX('FY 22 OFA Shell'!$W$27:$W$195,MATCH(Data!H55,'FY 22 OFA Shell'!$H$27:$H$195,0))</f>
        <v>9032</v>
      </c>
      <c r="P55" s="65">
        <f>INDEX('FY 22 OFA Shell'!$Z$27:$Z$195,MATCH(Data!H55,'FY 22 OFA Shell'!$H$27:$H$195,0))</f>
        <v>91339</v>
      </c>
      <c r="Q55" s="63">
        <f>INDEX('FY 22 OFA Shell'!$AF$27:$AF$195,MATCH(Data!H55,'FY 22 OFA Shell'!$H$27:$H$195,0))</f>
        <v>0</v>
      </c>
      <c r="R55" s="66">
        <f>INDEX('FY 22 OFA Shell'!$AG$27:$AG$195,MATCH(Data!H55,'FY 22 OFA Shell'!$H$27:$H$195,0))</f>
        <v>0</v>
      </c>
      <c r="S55" s="66">
        <f>INDEX('FY 22 OFA Shell'!$AJ$27:$AJ$195,MATCH(Data!H55,'FY 22 OFA Shell'!$H$27:$H$195,0))</f>
        <v>0</v>
      </c>
      <c r="T55" s="66">
        <f>INDEX('FY 22 OFA Shell'!$AK$27:$AK$195,MATCH(Data!H55,'FY 22 OFA Shell'!$H$27:$H$195,0))</f>
        <v>0</v>
      </c>
      <c r="U55" s="135">
        <v>3686134</v>
      </c>
      <c r="V55" s="67">
        <f>ROUND(J55*Inputs!$E$22, 2)</f>
        <v>60.9</v>
      </c>
      <c r="W55" s="68">
        <f>I55+V55+K55*Inputs!$E$28+Data!M55</f>
        <v>1017.24</v>
      </c>
      <c r="X55" s="69">
        <f t="shared" si="27"/>
        <v>140914.62</v>
      </c>
      <c r="Y55" s="70">
        <f>ROUND(X55/Inputs!$E$32, 6)</f>
        <v>0.73192199999999996</v>
      </c>
      <c r="Z55" s="70">
        <f>ROUND(P55/Inputs!$E$33, 6)</f>
        <v>0.75803600000000004</v>
      </c>
      <c r="AA55" s="59">
        <f>ROUND(1-((Y55*Inputs!$E$29)+Z55*Inputs!$E$27), 6)</f>
        <v>0.26024399999999998</v>
      </c>
      <c r="AB55" s="59">
        <v>228.95836984509722</v>
      </c>
      <c r="AC55" s="73">
        <f>INDEX('FY 22 OFA Shell'!$G$27:$G$195,MATCH(Data!H55,'FY 22 OFA Shell'!$H$27:$H$195,0))</f>
        <v>76</v>
      </c>
      <c r="AD55" s="73">
        <f t="shared" si="16"/>
        <v>5</v>
      </c>
      <c r="AE55" s="65">
        <v>3686134</v>
      </c>
      <c r="AF55" s="65">
        <f t="shared" si="28"/>
        <v>-635114</v>
      </c>
      <c r="AG55" s="65">
        <f t="shared" si="29"/>
        <v>-635114</v>
      </c>
      <c r="AH55" s="52">
        <v>3203033</v>
      </c>
      <c r="AI55" s="107">
        <v>3578190.5</v>
      </c>
      <c r="AJ55"/>
      <c r="AK55">
        <v>0</v>
      </c>
      <c r="AL55" s="165">
        <f>INDEX('FY 22 OFA Shell'!$AU$27:$AU$195,MATCH(Data!H55,'FY 22 OFA Shell'!$H$27:$H$195,0))</f>
        <v>3555957</v>
      </c>
      <c r="AM55" s="165">
        <f>Outputs!H60</f>
        <v>3051020</v>
      </c>
      <c r="AN55" s="165">
        <f>Outputs!G60+Outputs!D60+Outputs!F60</f>
        <v>3051020</v>
      </c>
      <c r="AO55" s="165">
        <v>3562049</v>
      </c>
      <c r="AP55" s="165">
        <f t="shared" si="30"/>
        <v>3578190.5</v>
      </c>
      <c r="AQ55" s="52" t="str">
        <f t="shared" si="31"/>
        <v>No</v>
      </c>
      <c r="AR55" s="308">
        <f>ABS(IF(AQ55="Yes",AF55*Inputs!$D$50,Data!AF55*Inputs!$D$51))</f>
        <v>0</v>
      </c>
      <c r="AS55" s="308">
        <f t="shared" si="17"/>
        <v>3555957</v>
      </c>
      <c r="AT55" s="308">
        <f t="shared" si="32"/>
        <v>3555957</v>
      </c>
      <c r="AU55" s="308"/>
      <c r="AV55" s="308">
        <f>ABS(IF($AQ55="Yes",$AF55*Inputs!E$50,Data!$AF55*Inputs!E$51))</f>
        <v>0</v>
      </c>
      <c r="AW55" s="308">
        <f>ABS(IF($AQ55="Yes",$AF55*Inputs!F$50,Data!$AF55*Inputs!F$51))</f>
        <v>52904.996200000001</v>
      </c>
      <c r="AX55" s="308">
        <f>ABS(IF($AQ55="Yes",$AF55*Inputs!G$50,Data!$AF55*Inputs!G$51))</f>
        <v>52904.996200000001</v>
      </c>
      <c r="AY55" s="308">
        <f>ABS(IF($AQ55="Yes",$AF55*Inputs!H$50,Data!$AF55*Inputs!H$51))</f>
        <v>52904.996200000001</v>
      </c>
      <c r="AZ55" s="308">
        <f>ABS(IF($AQ55="Yes",$AF55*Inputs!I$50,Data!$AF55*Inputs!I$51))</f>
        <v>52904.996200000001</v>
      </c>
      <c r="BA55" s="308">
        <f>ABS(IF($AQ55="Yes",$AF55*Inputs!J$50,Data!$AF55*Inputs!J$51))</f>
        <v>52904.996200000001</v>
      </c>
      <c r="BB55" s="308">
        <f>ABS(IF($AQ55="Yes",$AF55*Inputs!K$50,Data!$AF55*Inputs!K$51))</f>
        <v>52904.996200000001</v>
      </c>
      <c r="BC55" s="308">
        <f>ABS(IF($AQ55="Yes",$AF55*Inputs!L$50,Data!$AF55*Inputs!L$51))</f>
        <v>52904.996200000001</v>
      </c>
      <c r="BE55" s="308">
        <f t="shared" si="18"/>
        <v>3555957</v>
      </c>
      <c r="BF55" s="308">
        <f t="shared" si="19"/>
        <v>3503052.0038000001</v>
      </c>
      <c r="BG55" s="308">
        <f t="shared" si="20"/>
        <v>3450147.0076000001</v>
      </c>
      <c r="BH55" s="308">
        <f t="shared" si="21"/>
        <v>3397242.0114000002</v>
      </c>
      <c r="BI55" s="308">
        <f t="shared" si="22"/>
        <v>3344337.0152000003</v>
      </c>
      <c r="BJ55" s="308">
        <f t="shared" si="23"/>
        <v>3291432.0190000003</v>
      </c>
      <c r="BK55" s="308">
        <f t="shared" si="24"/>
        <v>3238527.0228000004</v>
      </c>
      <c r="BL55" s="308">
        <f t="shared" si="25"/>
        <v>3051020</v>
      </c>
      <c r="BN55" s="308">
        <f t="shared" si="33"/>
        <v>3555957</v>
      </c>
      <c r="BO55" s="308">
        <f t="shared" si="34"/>
        <v>3503052.0038000001</v>
      </c>
      <c r="BP55" s="308">
        <f t="shared" si="35"/>
        <v>3450147.0076000001</v>
      </c>
      <c r="BQ55" s="308">
        <f t="shared" si="36"/>
        <v>3397242.0114000002</v>
      </c>
      <c r="BR55" s="308">
        <f t="shared" si="37"/>
        <v>3344337.0152000003</v>
      </c>
      <c r="BS55" s="308">
        <f t="shared" si="38"/>
        <v>3291432.0190000003</v>
      </c>
      <c r="BT55" s="308">
        <f t="shared" si="39"/>
        <v>3238527.0228000004</v>
      </c>
      <c r="BU55" s="308">
        <f t="shared" si="26"/>
        <v>3051020</v>
      </c>
    </row>
    <row r="56" spans="1:73" ht="15" x14ac:dyDescent="0.2">
      <c r="A56" s="62" t="s">
        <v>54</v>
      </c>
      <c r="B56" s="55" t="s">
        <v>14</v>
      </c>
      <c r="C56" s="55"/>
      <c r="D56" s="55"/>
      <c r="E56" s="55"/>
      <c r="F56" s="55"/>
      <c r="G56" s="48">
        <v>6</v>
      </c>
      <c r="H56" s="55">
        <v>42</v>
      </c>
      <c r="I56" s="55">
        <f>INDEX('FY 22 OFA Shell'!$K$27:$K$195,MATCH(Data!H56,'FY 22 OFA Shell'!$H$27:$H$195,0))</f>
        <v>1866.49</v>
      </c>
      <c r="J56" s="55">
        <f>INDEX('FY 22 OFA Shell'!$N$27:$N$195,MATCH(Data!H56,'FY 22 OFA Shell'!$H$27:$H$195,0))</f>
        <v>390</v>
      </c>
      <c r="K56" s="64">
        <f>INDEX('FY 22 OFA Shell'!$S$27:$S$195,MATCH(Data!H56,'FY 22 OFA Shell'!$H$27:$H$195,0))</f>
        <v>7</v>
      </c>
      <c r="L56" s="150">
        <f t="shared" si="15"/>
        <v>0.20894834689711705</v>
      </c>
      <c r="M56" s="149">
        <f>MAX(((L56-Inputs!$E$23)*Data!I56)*Inputs!$E$24,0)</f>
        <v>0</v>
      </c>
      <c r="N56" s="151">
        <f>INDEX('FY 22 OFA Shell'!$V$27:$V$195,MATCH(Data!H56,'FY 22 OFA Shell'!$H$27:$H$195,0))</f>
        <v>1664012492.6700001</v>
      </c>
      <c r="O56" s="63">
        <f>INDEX('FY 22 OFA Shell'!$W$27:$W$195,MATCH(Data!H56,'FY 22 OFA Shell'!$H$27:$H$195,0))</f>
        <v>12856</v>
      </c>
      <c r="P56" s="65">
        <f>INDEX('FY 22 OFA Shell'!$Z$27:$Z$195,MATCH(Data!H56,'FY 22 OFA Shell'!$H$27:$H$195,0))</f>
        <v>100780</v>
      </c>
      <c r="Q56" s="63">
        <f>INDEX('FY 22 OFA Shell'!$AF$27:$AF$195,MATCH(Data!H56,'FY 22 OFA Shell'!$H$27:$H$195,0))</f>
        <v>0</v>
      </c>
      <c r="R56" s="66">
        <f>INDEX('FY 22 OFA Shell'!$AG$27:$AG$195,MATCH(Data!H56,'FY 22 OFA Shell'!$H$27:$H$195,0))</f>
        <v>0</v>
      </c>
      <c r="S56" s="66">
        <f>INDEX('FY 22 OFA Shell'!$AJ$27:$AJ$195,MATCH(Data!H56,'FY 22 OFA Shell'!$H$27:$H$195,0))</f>
        <v>0</v>
      </c>
      <c r="T56" s="66">
        <f>INDEX('FY 22 OFA Shell'!$AK$27:$AK$195,MATCH(Data!H56,'FY 22 OFA Shell'!$H$27:$H$195,0))</f>
        <v>0</v>
      </c>
      <c r="U56" s="135">
        <v>7538993</v>
      </c>
      <c r="V56" s="67">
        <f>ROUND(J56*Inputs!$E$22, 2)</f>
        <v>117</v>
      </c>
      <c r="W56" s="68">
        <f>I56+V56+K56*Inputs!$E$28+Data!M56</f>
        <v>1985.24</v>
      </c>
      <c r="X56" s="69">
        <f t="shared" si="27"/>
        <v>129434.7</v>
      </c>
      <c r="Y56" s="70">
        <f>ROUND(X56/Inputs!$E$32, 6)</f>
        <v>0.67229399999999995</v>
      </c>
      <c r="Z56" s="70">
        <f>ROUND(P56/Inputs!$E$33, 6)</f>
        <v>0.83638800000000002</v>
      </c>
      <c r="AA56" s="59">
        <f>ROUND(1-((Y56*Inputs!$E$29)+Z56*Inputs!$E$27), 6)</f>
        <v>0.278478</v>
      </c>
      <c r="AB56" s="59">
        <v>223.92172096567319</v>
      </c>
      <c r="AC56" s="73">
        <f>INDEX('FY 22 OFA Shell'!$G$27:$G$195,MATCH(Data!H56,'FY 22 OFA Shell'!$H$27:$H$195,0))</f>
        <v>88</v>
      </c>
      <c r="AD56" s="73">
        <f t="shared" si="16"/>
        <v>5</v>
      </c>
      <c r="AE56" s="65">
        <v>7538993</v>
      </c>
      <c r="AF56" s="65">
        <f t="shared" si="28"/>
        <v>-1167447</v>
      </c>
      <c r="AG56" s="65">
        <f t="shared" si="29"/>
        <v>-1167447</v>
      </c>
      <c r="AH56" s="52">
        <v>6547455</v>
      </c>
      <c r="AI56" s="107">
        <v>7129144</v>
      </c>
      <c r="AJ56"/>
      <c r="AK56">
        <v>0</v>
      </c>
      <c r="AL56" s="165">
        <f>INDEX('FY 22 OFA Shell'!$AU$27:$AU$195,MATCH(Data!H56,'FY 22 OFA Shell'!$H$27:$H$195,0))</f>
        <v>6902775</v>
      </c>
      <c r="AM56" s="165">
        <f>Outputs!H61</f>
        <v>6371546</v>
      </c>
      <c r="AN56" s="165">
        <f>Outputs!G61+Outputs!D61+Outputs!F61</f>
        <v>6371546</v>
      </c>
      <c r="AO56" s="165">
        <v>7020522</v>
      </c>
      <c r="AP56" s="165">
        <f t="shared" si="30"/>
        <v>7129144</v>
      </c>
      <c r="AQ56" s="52" t="str">
        <f t="shared" si="31"/>
        <v>No</v>
      </c>
      <c r="AR56" s="308">
        <f>ABS(IF(AQ56="Yes",AF56*Inputs!$D$50,Data!AF56*Inputs!$D$51))</f>
        <v>0</v>
      </c>
      <c r="AS56" s="308">
        <f t="shared" si="17"/>
        <v>6902775</v>
      </c>
      <c r="AT56" s="308">
        <f t="shared" si="32"/>
        <v>6902775</v>
      </c>
      <c r="AU56" s="308"/>
      <c r="AV56" s="308">
        <f>ABS(IF($AQ56="Yes",$AF56*Inputs!E$50,Data!$AF56*Inputs!E$51))</f>
        <v>0</v>
      </c>
      <c r="AW56" s="308">
        <f>ABS(IF($AQ56="Yes",$AF56*Inputs!F$50,Data!$AF56*Inputs!F$51))</f>
        <v>97248.335099999997</v>
      </c>
      <c r="AX56" s="308">
        <f>ABS(IF($AQ56="Yes",$AF56*Inputs!G$50,Data!$AF56*Inputs!G$51))</f>
        <v>97248.335099999997</v>
      </c>
      <c r="AY56" s="308">
        <f>ABS(IF($AQ56="Yes",$AF56*Inputs!H$50,Data!$AF56*Inputs!H$51))</f>
        <v>97248.335099999997</v>
      </c>
      <c r="AZ56" s="308">
        <f>ABS(IF($AQ56="Yes",$AF56*Inputs!I$50,Data!$AF56*Inputs!I$51))</f>
        <v>97248.335099999997</v>
      </c>
      <c r="BA56" s="308">
        <f>ABS(IF($AQ56="Yes",$AF56*Inputs!J$50,Data!$AF56*Inputs!J$51))</f>
        <v>97248.335099999997</v>
      </c>
      <c r="BB56" s="308">
        <f>ABS(IF($AQ56="Yes",$AF56*Inputs!K$50,Data!$AF56*Inputs!K$51))</f>
        <v>97248.335099999997</v>
      </c>
      <c r="BC56" s="308">
        <f>ABS(IF($AQ56="Yes",$AF56*Inputs!L$50,Data!$AF56*Inputs!L$51))</f>
        <v>97248.335099999997</v>
      </c>
      <c r="BE56" s="308">
        <f t="shared" si="18"/>
        <v>6902775</v>
      </c>
      <c r="BF56" s="308">
        <f t="shared" si="19"/>
        <v>6805526.6649000002</v>
      </c>
      <c r="BG56" s="308">
        <f t="shared" si="20"/>
        <v>6708278.3298000004</v>
      </c>
      <c r="BH56" s="308">
        <f t="shared" si="21"/>
        <v>6611029.9947000006</v>
      </c>
      <c r="BI56" s="308">
        <f t="shared" si="22"/>
        <v>6513781.6596000008</v>
      </c>
      <c r="BJ56" s="308">
        <f t="shared" si="23"/>
        <v>6416533.324500001</v>
      </c>
      <c r="BK56" s="308">
        <f t="shared" si="24"/>
        <v>6319284.9894000012</v>
      </c>
      <c r="BL56" s="308">
        <f t="shared" si="25"/>
        <v>6371546</v>
      </c>
      <c r="BN56" s="308">
        <f t="shared" si="33"/>
        <v>6902775</v>
      </c>
      <c r="BO56" s="308">
        <f t="shared" si="34"/>
        <v>6805526.6649000002</v>
      </c>
      <c r="BP56" s="308">
        <f t="shared" si="35"/>
        <v>6708278.3298000004</v>
      </c>
      <c r="BQ56" s="308">
        <f t="shared" si="36"/>
        <v>6611029.9947000006</v>
      </c>
      <c r="BR56" s="308">
        <f t="shared" si="37"/>
        <v>6513781.6596000008</v>
      </c>
      <c r="BS56" s="308">
        <f t="shared" si="38"/>
        <v>6416533.324500001</v>
      </c>
      <c r="BT56" s="308">
        <f t="shared" si="39"/>
        <v>6319284.9894000012</v>
      </c>
      <c r="BU56" s="308">
        <f t="shared" si="26"/>
        <v>6371546</v>
      </c>
    </row>
    <row r="57" spans="1:73" ht="15" x14ac:dyDescent="0.2">
      <c r="A57" s="62" t="s">
        <v>55</v>
      </c>
      <c r="B57" s="55" t="s">
        <v>6</v>
      </c>
      <c r="C57" s="55">
        <v>1</v>
      </c>
      <c r="D57" s="55">
        <v>1</v>
      </c>
      <c r="E57" s="55">
        <v>0</v>
      </c>
      <c r="F57" s="55">
        <v>1</v>
      </c>
      <c r="G57" s="48">
        <v>10</v>
      </c>
      <c r="H57" s="55">
        <v>43</v>
      </c>
      <c r="I57" s="55">
        <f>INDEX('FY 22 OFA Shell'!$K$27:$K$195,MATCH(Data!H57,'FY 22 OFA Shell'!$H$27:$H$195,0))</f>
        <v>8026.66</v>
      </c>
      <c r="J57" s="55">
        <f>INDEX('FY 22 OFA Shell'!$N$27:$N$195,MATCH(Data!H57,'FY 22 OFA Shell'!$H$27:$H$195,0))</f>
        <v>5050</v>
      </c>
      <c r="K57" s="64">
        <f>INDEX('FY 22 OFA Shell'!$S$27:$S$195,MATCH(Data!H57,'FY 22 OFA Shell'!$H$27:$H$195,0))</f>
        <v>1076</v>
      </c>
      <c r="L57" s="150">
        <f t="shared" si="15"/>
        <v>0.62915334647287913</v>
      </c>
      <c r="M57" s="149">
        <f>MAX(((L57-Inputs!$E$23)*Data!I57)*Inputs!$E$24,0)</f>
        <v>35.100600000000021</v>
      </c>
      <c r="N57" s="151">
        <f>INDEX('FY 22 OFA Shell'!$V$27:$V$195,MATCH(Data!H57,'FY 22 OFA Shell'!$H$27:$H$195,0))</f>
        <v>4158046027</v>
      </c>
      <c r="O57" s="63">
        <f>INDEX('FY 22 OFA Shell'!$W$27:$W$195,MATCH(Data!H57,'FY 22 OFA Shell'!$H$27:$H$195,0))</f>
        <v>50453</v>
      </c>
      <c r="P57" s="65">
        <f>INDEX('FY 22 OFA Shell'!$Z$27:$Z$195,MATCH(Data!H57,'FY 22 OFA Shell'!$H$27:$H$195,0))</f>
        <v>55468</v>
      </c>
      <c r="Q57" s="63">
        <f>INDEX('FY 22 OFA Shell'!$AF$27:$AF$195,MATCH(Data!H57,'FY 22 OFA Shell'!$H$27:$H$195,0))</f>
        <v>0</v>
      </c>
      <c r="R57" s="66">
        <f>INDEX('FY 22 OFA Shell'!$AG$27:$AG$195,MATCH(Data!H57,'FY 22 OFA Shell'!$H$27:$H$195,0))</f>
        <v>0</v>
      </c>
      <c r="S57" s="66">
        <f>INDEX('FY 22 OFA Shell'!$AJ$27:$AJ$195,MATCH(Data!H57,'FY 22 OFA Shell'!$H$27:$H$195,0))</f>
        <v>0</v>
      </c>
      <c r="T57" s="66">
        <f>INDEX('FY 22 OFA Shell'!$AK$27:$AK$195,MATCH(Data!H57,'FY 22 OFA Shell'!$H$27:$H$195,0))</f>
        <v>0</v>
      </c>
      <c r="U57" s="135">
        <v>49075156</v>
      </c>
      <c r="V57" s="67">
        <f>ROUND(J57*Inputs!$E$22, 2)</f>
        <v>1515</v>
      </c>
      <c r="W57" s="68">
        <f>I57+V57+K57*Inputs!$E$28+Data!M57</f>
        <v>9845.7605999999996</v>
      </c>
      <c r="X57" s="69">
        <f t="shared" si="27"/>
        <v>82414.25</v>
      </c>
      <c r="Y57" s="70">
        <f>ROUND(X57/Inputs!$E$32, 6)</f>
        <v>0.428066</v>
      </c>
      <c r="Z57" s="70">
        <f>ROUND(P57/Inputs!$E$33, 6)</f>
        <v>0.460337</v>
      </c>
      <c r="AA57" s="59">
        <f>ROUND(1-((Y57*Inputs!$E$29)+Z57*Inputs!$E$27), 6)</f>
        <v>0.562253</v>
      </c>
      <c r="AB57" s="59">
        <v>351.22735748906393</v>
      </c>
      <c r="AC57" s="73">
        <f>INDEX('FY 22 OFA Shell'!$G$27:$G$195,MATCH(Data!H57,'FY 22 OFA Shell'!$H$27:$H$195,0))</f>
        <v>9</v>
      </c>
      <c r="AD57" s="73">
        <f t="shared" si="16"/>
        <v>2</v>
      </c>
      <c r="AE57" s="65">
        <v>49075156</v>
      </c>
      <c r="AF57" s="65">
        <f t="shared" si="28"/>
        <v>20398656</v>
      </c>
      <c r="AG57" s="65">
        <f t="shared" si="29"/>
        <v>20398656</v>
      </c>
      <c r="AH57" s="52">
        <v>48825156</v>
      </c>
      <c r="AI57" s="107">
        <v>49985676.210000001</v>
      </c>
      <c r="AJ57">
        <v>62</v>
      </c>
      <c r="AK57">
        <v>78894.251864853009</v>
      </c>
      <c r="AL57" s="165">
        <f>INDEX('FY 22 OFA Shell'!$AU$27:$AU$195,MATCH(Data!H57,'FY 22 OFA Shell'!$H$27:$H$195,0))</f>
        <v>54387012</v>
      </c>
      <c r="AM57" s="165">
        <f>Outputs!H62</f>
        <v>69473812</v>
      </c>
      <c r="AN57" s="165">
        <f>Outputs!G62+Outputs!D62+Outputs!F62</f>
        <v>69473812</v>
      </c>
      <c r="AO57" s="165">
        <v>52184093</v>
      </c>
      <c r="AP57" s="165">
        <f t="shared" si="30"/>
        <v>50064570.461864851</v>
      </c>
      <c r="AQ57" s="52" t="str">
        <f t="shared" si="31"/>
        <v>Yes</v>
      </c>
      <c r="AR57" s="308">
        <f>ABS(IF(AQ57="Yes",AF57*Inputs!$D$50,Data!AF57*Inputs!$D$51))</f>
        <v>2174496.7296000002</v>
      </c>
      <c r="AS57" s="308">
        <f t="shared" si="17"/>
        <v>56561508.729599997</v>
      </c>
      <c r="AT57" s="308">
        <f t="shared" si="32"/>
        <v>56561508.729599997</v>
      </c>
      <c r="AU57" s="308"/>
      <c r="AV57" s="308">
        <f>ABS(IF($AQ57="Yes",$AF57*Inputs!E$50,Data!$AF57*Inputs!E$51))</f>
        <v>2174496.7296000002</v>
      </c>
      <c r="AW57" s="308">
        <f>ABS(IF($AQ57="Yes",$AF57*Inputs!F$50,Data!$AF57*Inputs!F$51))</f>
        <v>2174496.7296000002</v>
      </c>
      <c r="AX57" s="308">
        <f>ABS(IF($AQ57="Yes",$AF57*Inputs!G$50,Data!$AF57*Inputs!G$51))</f>
        <v>2174496.7296000002</v>
      </c>
      <c r="AY57" s="308">
        <f>ABS(IF($AQ57="Yes",$AF57*Inputs!H$50,Data!$AF57*Inputs!H$51))</f>
        <v>2174496.7296000002</v>
      </c>
      <c r="AZ57" s="308">
        <f>ABS(IF($AQ57="Yes",$AF57*Inputs!I$50,Data!$AF57*Inputs!I$51))</f>
        <v>2174496.7296000002</v>
      </c>
      <c r="BA57" s="308">
        <f>ABS(IF($AQ57="Yes",$AF57*Inputs!J$50,Data!$AF57*Inputs!J$51))</f>
        <v>2174496.7296000002</v>
      </c>
      <c r="BB57" s="308">
        <f>ABS(IF($AQ57="Yes",$AF57*Inputs!K$50,Data!$AF57*Inputs!K$51))</f>
        <v>0</v>
      </c>
      <c r="BC57" s="308">
        <f>ABS(IF($AQ57="Yes",$AF57*Inputs!L$50,Data!$AF57*Inputs!L$51))</f>
        <v>0</v>
      </c>
      <c r="BE57" s="308">
        <f t="shared" si="18"/>
        <v>58736005.459199995</v>
      </c>
      <c r="BF57" s="308">
        <f t="shared" si="19"/>
        <v>60910502.188799992</v>
      </c>
      <c r="BG57" s="308">
        <f t="shared" si="20"/>
        <v>63084998.91839999</v>
      </c>
      <c r="BH57" s="308">
        <f t="shared" si="21"/>
        <v>65259495.647999987</v>
      </c>
      <c r="BI57" s="308">
        <f t="shared" si="22"/>
        <v>67433992.377599984</v>
      </c>
      <c r="BJ57" s="308">
        <f t="shared" si="23"/>
        <v>69473812</v>
      </c>
      <c r="BK57" s="308">
        <f t="shared" si="24"/>
        <v>69473812</v>
      </c>
      <c r="BL57" s="308">
        <f t="shared" si="25"/>
        <v>69473812</v>
      </c>
      <c r="BN57" s="308">
        <f t="shared" si="33"/>
        <v>58736005.459199995</v>
      </c>
      <c r="BO57" s="308">
        <f t="shared" si="34"/>
        <v>60910502.188799992</v>
      </c>
      <c r="BP57" s="308">
        <f t="shared" si="35"/>
        <v>63084998.91839999</v>
      </c>
      <c r="BQ57" s="308">
        <f t="shared" si="36"/>
        <v>65259495.647999987</v>
      </c>
      <c r="BR57" s="308">
        <f t="shared" si="37"/>
        <v>67433992.377599984</v>
      </c>
      <c r="BS57" s="308">
        <f t="shared" si="38"/>
        <v>69473812</v>
      </c>
      <c r="BT57" s="308">
        <f t="shared" si="39"/>
        <v>69473812</v>
      </c>
      <c r="BU57" s="308">
        <f t="shared" si="26"/>
        <v>69473812</v>
      </c>
    </row>
    <row r="58" spans="1:73" ht="15" x14ac:dyDescent="0.2">
      <c r="A58" s="62" t="s">
        <v>56</v>
      </c>
      <c r="B58" s="55" t="s">
        <v>19</v>
      </c>
      <c r="C58" s="55"/>
      <c r="D58" s="55">
        <v>1</v>
      </c>
      <c r="E58" s="55">
        <v>1</v>
      </c>
      <c r="F58" s="55"/>
      <c r="G58" s="48">
        <v>9</v>
      </c>
      <c r="H58" s="55">
        <v>44</v>
      </c>
      <c r="I58" s="55">
        <f>INDEX('FY 22 OFA Shell'!$K$27:$K$195,MATCH(Data!H58,'FY 22 OFA Shell'!$H$27:$H$195,0))</f>
        <v>3136.07</v>
      </c>
      <c r="J58" s="55">
        <f>INDEX('FY 22 OFA Shell'!$N$27:$N$195,MATCH(Data!H58,'FY 22 OFA Shell'!$H$27:$H$195,0))</f>
        <v>1605</v>
      </c>
      <c r="K58" s="64">
        <f>INDEX('FY 22 OFA Shell'!$S$27:$S$195,MATCH(Data!H58,'FY 22 OFA Shell'!$H$27:$H$195,0))</f>
        <v>272</v>
      </c>
      <c r="L58" s="150">
        <f t="shared" si="15"/>
        <v>0.51178704556977361</v>
      </c>
      <c r="M58" s="149">
        <f>MAX(((L58-Inputs!$E$23)*Data!I58)*Inputs!$E$24,0)</f>
        <v>0</v>
      </c>
      <c r="N58" s="151">
        <f>INDEX('FY 22 OFA Shell'!$V$27:$V$195,MATCH(Data!H58,'FY 22 OFA Shell'!$H$27:$H$195,0))</f>
        <v>2907842389.3299999</v>
      </c>
      <c r="O58" s="63">
        <f>INDEX('FY 22 OFA Shell'!$W$27:$W$195,MATCH(Data!H58,'FY 22 OFA Shell'!$H$27:$H$195,0))</f>
        <v>28860</v>
      </c>
      <c r="P58" s="65">
        <f>INDEX('FY 22 OFA Shell'!$Z$27:$Z$195,MATCH(Data!H58,'FY 22 OFA Shell'!$H$27:$H$195,0))</f>
        <v>65333</v>
      </c>
      <c r="Q58" s="63">
        <f>INDEX('FY 22 OFA Shell'!$AF$27:$AF$195,MATCH(Data!H58,'FY 22 OFA Shell'!$H$27:$H$195,0))</f>
        <v>0</v>
      </c>
      <c r="R58" s="66">
        <f>INDEX('FY 22 OFA Shell'!$AG$27:$AG$195,MATCH(Data!H58,'FY 22 OFA Shell'!$H$27:$H$195,0))</f>
        <v>0</v>
      </c>
      <c r="S58" s="66">
        <f>INDEX('FY 22 OFA Shell'!$AJ$27:$AJ$195,MATCH(Data!H58,'FY 22 OFA Shell'!$H$27:$H$195,0))</f>
        <v>0</v>
      </c>
      <c r="T58" s="66">
        <f>INDEX('FY 22 OFA Shell'!$AK$27:$AK$195,MATCH(Data!H58,'FY 22 OFA Shell'!$H$27:$H$195,0))</f>
        <v>0</v>
      </c>
      <c r="U58" s="135">
        <v>19595415</v>
      </c>
      <c r="V58" s="67">
        <f>ROUND(J58*Inputs!$E$22, 2)</f>
        <v>481.5</v>
      </c>
      <c r="W58" s="68">
        <f>I58+V58+K58*Inputs!$E$28+Data!M58</f>
        <v>3685.57</v>
      </c>
      <c r="X58" s="69">
        <f t="shared" si="27"/>
        <v>100756.84</v>
      </c>
      <c r="Y58" s="70">
        <f>ROUND(X58/Inputs!$E$32, 6)</f>
        <v>0.523339</v>
      </c>
      <c r="Z58" s="70">
        <f>ROUND(P58/Inputs!$E$33, 6)</f>
        <v>0.54220800000000002</v>
      </c>
      <c r="AA58" s="59">
        <f>ROUND(1-((Y58*Inputs!$E$29)+Z58*Inputs!$E$27), 6)</f>
        <v>0.47099999999999997</v>
      </c>
      <c r="AB58" s="59">
        <v>292.16555111175222</v>
      </c>
      <c r="AC58" s="73">
        <f>INDEX('FY 22 OFA Shell'!$G$27:$G$195,MATCH(Data!H58,'FY 22 OFA Shell'!$H$27:$H$195,0))</f>
        <v>26</v>
      </c>
      <c r="AD58" s="73">
        <f t="shared" si="16"/>
        <v>5</v>
      </c>
      <c r="AE58" s="65">
        <v>19595415</v>
      </c>
      <c r="AF58" s="65">
        <f t="shared" si="28"/>
        <v>410872</v>
      </c>
      <c r="AG58" s="65">
        <f t="shared" si="29"/>
        <v>410872</v>
      </c>
      <c r="AH58" s="52">
        <v>19466330</v>
      </c>
      <c r="AI58" s="107">
        <v>19629837.329</v>
      </c>
      <c r="AJ58">
        <v>4</v>
      </c>
      <c r="AK58">
        <v>5089.9517332163232</v>
      </c>
      <c r="AL58" s="165">
        <f>INDEX('FY 22 OFA Shell'!$AU$27:$AU$195,MATCH(Data!H58,'FY 22 OFA Shell'!$H$27:$H$195,0))</f>
        <v>19825403</v>
      </c>
      <c r="AM58" s="165">
        <f>Outputs!H63</f>
        <v>20006287</v>
      </c>
      <c r="AN58" s="165">
        <f>Outputs!G63+Outputs!D63+Outputs!F63</f>
        <v>20006287</v>
      </c>
      <c r="AO58" s="165">
        <v>19752617</v>
      </c>
      <c r="AP58" s="165">
        <f t="shared" si="30"/>
        <v>19634927.280733217</v>
      </c>
      <c r="AQ58" s="52" t="str">
        <f t="shared" si="31"/>
        <v>Yes</v>
      </c>
      <c r="AR58" s="308">
        <f>ABS(IF(AQ58="Yes",AF58*Inputs!$D$50,Data!AF58*Inputs!$D$51))</f>
        <v>43798.955199999997</v>
      </c>
      <c r="AS58" s="308">
        <f t="shared" si="17"/>
        <v>19869201.955200002</v>
      </c>
      <c r="AT58" s="308">
        <f t="shared" si="32"/>
        <v>19869201.955200002</v>
      </c>
      <c r="AU58" s="308"/>
      <c r="AV58" s="308">
        <f>ABS(IF($AQ58="Yes",$AF58*Inputs!E$50,Data!$AF58*Inputs!E$51))</f>
        <v>43798.955199999997</v>
      </c>
      <c r="AW58" s="308">
        <f>ABS(IF($AQ58="Yes",$AF58*Inputs!F$50,Data!$AF58*Inputs!F$51))</f>
        <v>43798.955199999997</v>
      </c>
      <c r="AX58" s="308">
        <f>ABS(IF($AQ58="Yes",$AF58*Inputs!G$50,Data!$AF58*Inputs!G$51))</f>
        <v>43798.955199999997</v>
      </c>
      <c r="AY58" s="308">
        <f>ABS(IF($AQ58="Yes",$AF58*Inputs!H$50,Data!$AF58*Inputs!H$51))</f>
        <v>43798.955199999997</v>
      </c>
      <c r="AZ58" s="308">
        <f>ABS(IF($AQ58="Yes",$AF58*Inputs!I$50,Data!$AF58*Inputs!I$51))</f>
        <v>43798.955199999997</v>
      </c>
      <c r="BA58" s="308">
        <f>ABS(IF($AQ58="Yes",$AF58*Inputs!J$50,Data!$AF58*Inputs!J$51))</f>
        <v>43798.955199999997</v>
      </c>
      <c r="BB58" s="308">
        <f>ABS(IF($AQ58="Yes",$AF58*Inputs!K$50,Data!$AF58*Inputs!K$51))</f>
        <v>0</v>
      </c>
      <c r="BC58" s="308">
        <f>ABS(IF($AQ58="Yes",$AF58*Inputs!L$50,Data!$AF58*Inputs!L$51))</f>
        <v>0</v>
      </c>
      <c r="BE58" s="308">
        <f t="shared" si="18"/>
        <v>19913000.910400003</v>
      </c>
      <c r="BF58" s="308">
        <f t="shared" si="19"/>
        <v>19956799.865600005</v>
      </c>
      <c r="BG58" s="308">
        <f t="shared" si="20"/>
        <v>20000598.820800006</v>
      </c>
      <c r="BH58" s="308">
        <f t="shared" si="21"/>
        <v>20044397.776000008</v>
      </c>
      <c r="BI58" s="308">
        <f t="shared" si="22"/>
        <v>20088196.73120001</v>
      </c>
      <c r="BJ58" s="308">
        <f t="shared" si="23"/>
        <v>20006287</v>
      </c>
      <c r="BK58" s="308">
        <f t="shared" si="24"/>
        <v>20006287</v>
      </c>
      <c r="BL58" s="308">
        <f t="shared" si="25"/>
        <v>20006287</v>
      </c>
      <c r="BN58" s="308">
        <f t="shared" si="33"/>
        <v>19913000.910400003</v>
      </c>
      <c r="BO58" s="308">
        <f t="shared" si="34"/>
        <v>19956799.865600005</v>
      </c>
      <c r="BP58" s="308">
        <f t="shared" si="35"/>
        <v>20000598.820800006</v>
      </c>
      <c r="BQ58" s="308">
        <f t="shared" si="36"/>
        <v>20044397.776000008</v>
      </c>
      <c r="BR58" s="308">
        <f t="shared" si="37"/>
        <v>20088196.73120001</v>
      </c>
      <c r="BS58" s="308">
        <f t="shared" si="38"/>
        <v>20006287</v>
      </c>
      <c r="BT58" s="308">
        <f t="shared" si="39"/>
        <v>20006287</v>
      </c>
      <c r="BU58" s="308">
        <f t="shared" si="26"/>
        <v>20006287</v>
      </c>
    </row>
    <row r="59" spans="1:73" ht="15" x14ac:dyDescent="0.2">
      <c r="A59" s="62" t="s">
        <v>57</v>
      </c>
      <c r="B59" s="55" t="s">
        <v>14</v>
      </c>
      <c r="C59" s="55"/>
      <c r="D59" s="55"/>
      <c r="E59" s="55"/>
      <c r="F59" s="55"/>
      <c r="G59" s="48">
        <v>4</v>
      </c>
      <c r="H59" s="55">
        <v>45</v>
      </c>
      <c r="I59" s="55">
        <f>INDEX('FY 22 OFA Shell'!$K$27:$K$195,MATCH(Data!H59,'FY 22 OFA Shell'!$H$27:$H$195,0))</f>
        <v>2462.02</v>
      </c>
      <c r="J59" s="55">
        <f>INDEX('FY 22 OFA Shell'!$N$27:$N$195,MATCH(Data!H59,'FY 22 OFA Shell'!$H$27:$H$195,0))</f>
        <v>578</v>
      </c>
      <c r="K59" s="64">
        <f>INDEX('FY 22 OFA Shell'!$S$27:$S$195,MATCH(Data!H59,'FY 22 OFA Shell'!$H$27:$H$195,0))</f>
        <v>57</v>
      </c>
      <c r="L59" s="150">
        <f t="shared" si="15"/>
        <v>0.23476657378900254</v>
      </c>
      <c r="M59" s="149">
        <f>MAX(((L59-Inputs!$E$23)*Data!I59)*Inputs!$E$24,0)</f>
        <v>0</v>
      </c>
      <c r="N59" s="151">
        <f>INDEX('FY 22 OFA Shell'!$V$27:$V$195,MATCH(Data!H59,'FY 22 OFA Shell'!$H$27:$H$195,0))</f>
        <v>3235230338</v>
      </c>
      <c r="O59" s="63">
        <f>INDEX('FY 22 OFA Shell'!$W$27:$W$195,MATCH(Data!H59,'FY 22 OFA Shell'!$H$27:$H$195,0))</f>
        <v>18766</v>
      </c>
      <c r="P59" s="65">
        <f>INDEX('FY 22 OFA Shell'!$Z$27:$Z$195,MATCH(Data!H59,'FY 22 OFA Shell'!$H$27:$H$195,0))</f>
        <v>93416</v>
      </c>
      <c r="Q59" s="63">
        <f>INDEX('FY 22 OFA Shell'!$AF$27:$AF$195,MATCH(Data!H59,'FY 22 OFA Shell'!$H$27:$H$195,0))</f>
        <v>0</v>
      </c>
      <c r="R59" s="66">
        <f>INDEX('FY 22 OFA Shell'!$AG$27:$AG$195,MATCH(Data!H59,'FY 22 OFA Shell'!$H$27:$H$195,0))</f>
        <v>0</v>
      </c>
      <c r="S59" s="66">
        <f>INDEX('FY 22 OFA Shell'!$AJ$27:$AJ$195,MATCH(Data!H59,'FY 22 OFA Shell'!$H$27:$H$195,0))</f>
        <v>0</v>
      </c>
      <c r="T59" s="66">
        <f>INDEX('FY 22 OFA Shell'!$AK$27:$AK$195,MATCH(Data!H59,'FY 22 OFA Shell'!$H$27:$H$195,0))</f>
        <v>0</v>
      </c>
      <c r="U59" s="135">
        <v>6918462</v>
      </c>
      <c r="V59" s="67">
        <f>ROUND(J59*Inputs!$E$22, 2)</f>
        <v>173.4</v>
      </c>
      <c r="W59" s="68">
        <f>I59+V59+K59*Inputs!$E$28+Data!M59</f>
        <v>2649.67</v>
      </c>
      <c r="X59" s="69">
        <f t="shared" si="27"/>
        <v>172398.5</v>
      </c>
      <c r="Y59" s="70">
        <f>ROUND(X59/Inputs!$E$32, 6)</f>
        <v>0.89545200000000003</v>
      </c>
      <c r="Z59" s="70">
        <f>ROUND(P59/Inputs!$E$33, 6)</f>
        <v>0.77527400000000002</v>
      </c>
      <c r="AA59" s="59">
        <f>ROUND(1-((Y59*Inputs!$E$29)+Z59*Inputs!$E$27), 6)</f>
        <v>0.140601</v>
      </c>
      <c r="AB59" s="59">
        <v>223.85195703640417</v>
      </c>
      <c r="AC59" s="73">
        <f>INDEX('FY 22 OFA Shell'!$G$27:$G$195,MATCH(Data!H59,'FY 22 OFA Shell'!$H$27:$H$195,0))</f>
        <v>72</v>
      </c>
      <c r="AD59" s="73">
        <f t="shared" si="16"/>
        <v>5</v>
      </c>
      <c r="AE59" s="65">
        <v>6918462</v>
      </c>
      <c r="AF59" s="65">
        <f t="shared" si="28"/>
        <v>-2624866</v>
      </c>
      <c r="AG59" s="65">
        <f t="shared" si="29"/>
        <v>-2624866</v>
      </c>
      <c r="AH59" s="52">
        <v>5975949</v>
      </c>
      <c r="AI59" s="107">
        <v>6449135.5</v>
      </c>
      <c r="AJ59">
        <v>1</v>
      </c>
      <c r="AK59">
        <v>1272.4879333040808</v>
      </c>
      <c r="AL59" s="165">
        <f>INDEX('FY 22 OFA Shell'!$AU$27:$AU$195,MATCH(Data!H59,'FY 22 OFA Shell'!$H$27:$H$195,0))</f>
        <v>6076507</v>
      </c>
      <c r="AM59" s="165">
        <f>Outputs!H64</f>
        <v>4293596</v>
      </c>
      <c r="AN59" s="165">
        <f>Outputs!G64+Outputs!D64+Outputs!F64</f>
        <v>4293596</v>
      </c>
      <c r="AO59" s="165">
        <v>6261508</v>
      </c>
      <c r="AP59" s="165">
        <f t="shared" si="30"/>
        <v>6450407.9879333042</v>
      </c>
      <c r="AQ59" s="52" t="str">
        <f t="shared" si="31"/>
        <v>No</v>
      </c>
      <c r="AR59" s="308">
        <f>ABS(IF(AQ59="Yes",AF59*Inputs!$D$50,Data!AF59*Inputs!$D$51))</f>
        <v>0</v>
      </c>
      <c r="AS59" s="308">
        <f t="shared" si="17"/>
        <v>6076507</v>
      </c>
      <c r="AT59" s="308">
        <f t="shared" si="32"/>
        <v>6076507</v>
      </c>
      <c r="AU59" s="308"/>
      <c r="AV59" s="308">
        <f>ABS(IF($AQ59="Yes",$AF59*Inputs!E$50,Data!$AF59*Inputs!E$51))</f>
        <v>0</v>
      </c>
      <c r="AW59" s="308">
        <f>ABS(IF($AQ59="Yes",$AF59*Inputs!F$50,Data!$AF59*Inputs!F$51))</f>
        <v>218651.33780000001</v>
      </c>
      <c r="AX59" s="308">
        <f>ABS(IF($AQ59="Yes",$AF59*Inputs!G$50,Data!$AF59*Inputs!G$51))</f>
        <v>218651.33780000001</v>
      </c>
      <c r="AY59" s="308">
        <f>ABS(IF($AQ59="Yes",$AF59*Inputs!H$50,Data!$AF59*Inputs!H$51))</f>
        <v>218651.33780000001</v>
      </c>
      <c r="AZ59" s="308">
        <f>ABS(IF($AQ59="Yes",$AF59*Inputs!I$50,Data!$AF59*Inputs!I$51))</f>
        <v>218651.33780000001</v>
      </c>
      <c r="BA59" s="308">
        <f>ABS(IF($AQ59="Yes",$AF59*Inputs!J$50,Data!$AF59*Inputs!J$51))</f>
        <v>218651.33780000001</v>
      </c>
      <c r="BB59" s="308">
        <f>ABS(IF($AQ59="Yes",$AF59*Inputs!K$50,Data!$AF59*Inputs!K$51))</f>
        <v>218651.33780000001</v>
      </c>
      <c r="BC59" s="308">
        <f>ABS(IF($AQ59="Yes",$AF59*Inputs!L$50,Data!$AF59*Inputs!L$51))</f>
        <v>218651.33780000001</v>
      </c>
      <c r="BE59" s="308">
        <f t="shared" si="18"/>
        <v>6076507</v>
      </c>
      <c r="BF59" s="308">
        <f t="shared" si="19"/>
        <v>5857855.6622000001</v>
      </c>
      <c r="BG59" s="308">
        <f t="shared" si="20"/>
        <v>5639204.3244000003</v>
      </c>
      <c r="BH59" s="308">
        <f t="shared" si="21"/>
        <v>5420552.9866000004</v>
      </c>
      <c r="BI59" s="308">
        <f t="shared" si="22"/>
        <v>5201901.6488000005</v>
      </c>
      <c r="BJ59" s="308">
        <f t="shared" si="23"/>
        <v>4983250.3110000007</v>
      </c>
      <c r="BK59" s="308">
        <f t="shared" si="24"/>
        <v>4764598.9732000008</v>
      </c>
      <c r="BL59" s="308">
        <f t="shared" si="25"/>
        <v>4293596</v>
      </c>
      <c r="BN59" s="308">
        <f t="shared" si="33"/>
        <v>6076507</v>
      </c>
      <c r="BO59" s="308">
        <f t="shared" si="34"/>
        <v>5857855.6622000001</v>
      </c>
      <c r="BP59" s="308">
        <f t="shared" si="35"/>
        <v>5639204.3244000003</v>
      </c>
      <c r="BQ59" s="308">
        <f t="shared" si="36"/>
        <v>5420552.9866000004</v>
      </c>
      <c r="BR59" s="308">
        <f t="shared" si="37"/>
        <v>5201901.6488000005</v>
      </c>
      <c r="BS59" s="308">
        <f t="shared" si="38"/>
        <v>4983250.3110000007</v>
      </c>
      <c r="BT59" s="308">
        <f t="shared" si="39"/>
        <v>4764598.9732000008</v>
      </c>
      <c r="BU59" s="308">
        <f t="shared" si="26"/>
        <v>4293596</v>
      </c>
    </row>
    <row r="60" spans="1:73" ht="15" x14ac:dyDescent="0.2">
      <c r="A60" s="62" t="s">
        <v>58</v>
      </c>
      <c r="B60" s="55" t="s">
        <v>46</v>
      </c>
      <c r="C60" s="55"/>
      <c r="D60" s="55"/>
      <c r="E60" s="55"/>
      <c r="F60" s="55"/>
      <c r="G60" s="48">
        <v>1</v>
      </c>
      <c r="H60" s="55">
        <v>46</v>
      </c>
      <c r="I60" s="55">
        <f>INDEX('FY 22 OFA Shell'!$K$27:$K$195,MATCH(Data!H60,'FY 22 OFA Shell'!$H$27:$H$195,0))</f>
        <v>1249.94</v>
      </c>
      <c r="J60" s="55">
        <f>INDEX('FY 22 OFA Shell'!$N$27:$N$195,MATCH(Data!H60,'FY 22 OFA Shell'!$H$27:$H$195,0))</f>
        <v>128</v>
      </c>
      <c r="K60" s="64">
        <f>INDEX('FY 22 OFA Shell'!$S$27:$S$195,MATCH(Data!H60,'FY 22 OFA Shell'!$H$27:$H$195,0))</f>
        <v>16</v>
      </c>
      <c r="L60" s="150">
        <f t="shared" si="15"/>
        <v>0.10240491543594092</v>
      </c>
      <c r="M60" s="149">
        <f>MAX(((L60-Inputs!$E$23)*Data!I60)*Inputs!$E$24,0)</f>
        <v>0</v>
      </c>
      <c r="N60" s="151">
        <f>INDEX('FY 22 OFA Shell'!$V$27:$V$195,MATCH(Data!H60,'FY 22 OFA Shell'!$H$27:$H$195,0))</f>
        <v>1783716354.3299999</v>
      </c>
      <c r="O60" s="63">
        <f>INDEX('FY 22 OFA Shell'!$W$27:$W$195,MATCH(Data!H60,'FY 22 OFA Shell'!$H$27:$H$195,0))</f>
        <v>7558</v>
      </c>
      <c r="P60" s="65">
        <f>INDEX('FY 22 OFA Shell'!$Z$27:$Z$195,MATCH(Data!H60,'FY 22 OFA Shell'!$H$27:$H$195,0))</f>
        <v>142841</v>
      </c>
      <c r="Q60" s="63">
        <f>INDEX('FY 22 OFA Shell'!$AF$27:$AF$195,MATCH(Data!H60,'FY 22 OFA Shell'!$H$27:$H$195,0))</f>
        <v>414</v>
      </c>
      <c r="R60" s="66">
        <f>INDEX('FY 22 OFA Shell'!$AG$27:$AG$195,MATCH(Data!H60,'FY 22 OFA Shell'!$H$27:$H$195,0))</f>
        <v>4</v>
      </c>
      <c r="S60" s="66">
        <f>INDEX('FY 22 OFA Shell'!$AJ$27:$AJ$195,MATCH(Data!H60,'FY 22 OFA Shell'!$H$27:$H$195,0))</f>
        <v>0</v>
      </c>
      <c r="T60" s="66">
        <f>INDEX('FY 22 OFA Shell'!$AK$27:$AK$195,MATCH(Data!H60,'FY 22 OFA Shell'!$H$27:$H$195,0))</f>
        <v>0</v>
      </c>
      <c r="U60" s="135">
        <v>177907</v>
      </c>
      <c r="V60" s="67">
        <f>ROUND(J60*Inputs!$E$22, 2)</f>
        <v>38.4</v>
      </c>
      <c r="W60" s="68">
        <f>I60+V60+K60*Inputs!$E$28+Data!M60</f>
        <v>1292.3400000000001</v>
      </c>
      <c r="X60" s="69">
        <f t="shared" si="27"/>
        <v>236003.75</v>
      </c>
      <c r="Y60" s="70">
        <f>ROUND(X60/Inputs!$E$32, 6)</f>
        <v>1.2258230000000001</v>
      </c>
      <c r="Z60" s="70">
        <f>ROUND(P60/Inputs!$E$33, 6)</f>
        <v>1.185459</v>
      </c>
      <c r="AA60" s="59">
        <f>ROUND(1-((Y60*Inputs!$E$29)+Z60*Inputs!$E$27), 6)</f>
        <v>-0.21371399999999999</v>
      </c>
      <c r="AB60" s="59">
        <v>171.6054663813868</v>
      </c>
      <c r="AC60" s="73">
        <f>INDEX('FY 22 OFA Shell'!$G$27:$G$195,MATCH(Data!H60,'FY 22 OFA Shell'!$H$27:$H$195,0))</f>
        <v>148</v>
      </c>
      <c r="AD60" s="73">
        <f t="shared" si="16"/>
        <v>5</v>
      </c>
      <c r="AE60" s="65">
        <v>177907</v>
      </c>
      <c r="AF60" s="65">
        <f t="shared" si="28"/>
        <v>136635</v>
      </c>
      <c r="AG60" s="65">
        <f t="shared" si="29"/>
        <v>136635</v>
      </c>
      <c r="AH60" s="52">
        <v>154868</v>
      </c>
      <c r="AI60" s="107">
        <v>174582.5</v>
      </c>
      <c r="AJ60"/>
      <c r="AK60">
        <v>0</v>
      </c>
      <c r="AL60" s="165">
        <f>INDEX('FY 22 OFA Shell'!$AU$27:$AU$195,MATCH(Data!H60,'FY 22 OFA Shell'!$H$27:$H$195,0))</f>
        <v>172080</v>
      </c>
      <c r="AM60" s="165">
        <f>Outputs!H65</f>
        <v>314542</v>
      </c>
      <c r="AN60" s="165">
        <f>Outputs!G65+Outputs!D65+Outputs!F65</f>
        <v>314542</v>
      </c>
      <c r="AO60" s="165">
        <v>173188</v>
      </c>
      <c r="AP60" s="165">
        <f t="shared" si="30"/>
        <v>174582.5</v>
      </c>
      <c r="AQ60" s="52" t="str">
        <f t="shared" si="31"/>
        <v>Yes</v>
      </c>
      <c r="AR60" s="308">
        <f>ABS(IF(AQ60="Yes",AF60*Inputs!$D$50,Data!AF60*Inputs!$D$51))</f>
        <v>14565.290999999999</v>
      </c>
      <c r="AS60" s="308">
        <f t="shared" si="17"/>
        <v>186645.291</v>
      </c>
      <c r="AT60" s="308">
        <f t="shared" si="32"/>
        <v>186645.291</v>
      </c>
      <c r="AU60" s="308"/>
      <c r="AV60" s="308">
        <f>ABS(IF($AQ60="Yes",$AF60*Inputs!E$50,Data!$AF60*Inputs!E$51))</f>
        <v>14565.290999999999</v>
      </c>
      <c r="AW60" s="308">
        <f>ABS(IF($AQ60="Yes",$AF60*Inputs!F$50,Data!$AF60*Inputs!F$51))</f>
        <v>14565.290999999999</v>
      </c>
      <c r="AX60" s="308">
        <f>ABS(IF($AQ60="Yes",$AF60*Inputs!G$50,Data!$AF60*Inputs!G$51))</f>
        <v>14565.290999999999</v>
      </c>
      <c r="AY60" s="308">
        <f>ABS(IF($AQ60="Yes",$AF60*Inputs!H$50,Data!$AF60*Inputs!H$51))</f>
        <v>14565.290999999999</v>
      </c>
      <c r="AZ60" s="308">
        <f>ABS(IF($AQ60="Yes",$AF60*Inputs!I$50,Data!$AF60*Inputs!I$51))</f>
        <v>14565.290999999999</v>
      </c>
      <c r="BA60" s="308">
        <f>ABS(IF($AQ60="Yes",$AF60*Inputs!J$50,Data!$AF60*Inputs!J$51))</f>
        <v>14565.290999999999</v>
      </c>
      <c r="BB60" s="308">
        <f>ABS(IF($AQ60="Yes",$AF60*Inputs!K$50,Data!$AF60*Inputs!K$51))</f>
        <v>0</v>
      </c>
      <c r="BC60" s="308">
        <f>ABS(IF($AQ60="Yes",$AF60*Inputs!L$50,Data!$AF60*Inputs!L$51))</f>
        <v>0</v>
      </c>
      <c r="BE60" s="308">
        <f t="shared" si="18"/>
        <v>201210.58199999999</v>
      </c>
      <c r="BF60" s="308">
        <f t="shared" si="19"/>
        <v>215775.87299999999</v>
      </c>
      <c r="BG60" s="308">
        <f t="shared" si="20"/>
        <v>230341.16399999999</v>
      </c>
      <c r="BH60" s="308">
        <f t="shared" si="21"/>
        <v>244906.45499999999</v>
      </c>
      <c r="BI60" s="308">
        <f t="shared" si="22"/>
        <v>259471.74599999998</v>
      </c>
      <c r="BJ60" s="308">
        <f t="shared" si="23"/>
        <v>314542</v>
      </c>
      <c r="BK60" s="308">
        <f t="shared" si="24"/>
        <v>314542</v>
      </c>
      <c r="BL60" s="308">
        <f t="shared" si="25"/>
        <v>314542</v>
      </c>
      <c r="BN60" s="308">
        <f t="shared" si="33"/>
        <v>201210.58199999999</v>
      </c>
      <c r="BO60" s="308">
        <f t="shared" si="34"/>
        <v>215775.87299999999</v>
      </c>
      <c r="BP60" s="308">
        <f t="shared" si="35"/>
        <v>230341.16399999999</v>
      </c>
      <c r="BQ60" s="308">
        <f t="shared" si="36"/>
        <v>244906.45499999999</v>
      </c>
      <c r="BR60" s="308">
        <f t="shared" si="37"/>
        <v>259471.74599999998</v>
      </c>
      <c r="BS60" s="308">
        <f t="shared" si="38"/>
        <v>314542</v>
      </c>
      <c r="BT60" s="308">
        <f t="shared" si="39"/>
        <v>314542</v>
      </c>
      <c r="BU60" s="308">
        <f t="shared" si="26"/>
        <v>314542</v>
      </c>
    </row>
    <row r="61" spans="1:73" ht="15" x14ac:dyDescent="0.2">
      <c r="A61" s="62" t="s">
        <v>59</v>
      </c>
      <c r="B61" s="55" t="s">
        <v>32</v>
      </c>
      <c r="C61" s="55"/>
      <c r="D61" s="55">
        <v>1</v>
      </c>
      <c r="E61" s="55">
        <v>1</v>
      </c>
      <c r="F61" s="55"/>
      <c r="G61" s="48">
        <v>8</v>
      </c>
      <c r="H61" s="55">
        <v>47</v>
      </c>
      <c r="I61" s="55">
        <f>INDEX('FY 22 OFA Shell'!$K$27:$K$195,MATCH(Data!H61,'FY 22 OFA Shell'!$H$27:$H$195,0))</f>
        <v>1116.52</v>
      </c>
      <c r="J61" s="55">
        <f>INDEX('FY 22 OFA Shell'!$N$27:$N$195,MATCH(Data!H61,'FY 22 OFA Shell'!$H$27:$H$195,0))</f>
        <v>509</v>
      </c>
      <c r="K61" s="64">
        <f>INDEX('FY 22 OFA Shell'!$S$27:$S$195,MATCH(Data!H61,'FY 22 OFA Shell'!$H$27:$H$195,0))</f>
        <v>77</v>
      </c>
      <c r="L61" s="150">
        <f t="shared" si="15"/>
        <v>0.455880772399957</v>
      </c>
      <c r="M61" s="149">
        <f>MAX(((L61-Inputs!$E$23)*Data!I61)*Inputs!$E$24,0)</f>
        <v>0</v>
      </c>
      <c r="N61" s="151">
        <f>INDEX('FY 22 OFA Shell'!$V$27:$V$195,MATCH(Data!H61,'FY 22 OFA Shell'!$H$27:$H$195,0))</f>
        <v>1410573865.6700001</v>
      </c>
      <c r="O61" s="63">
        <f>INDEX('FY 22 OFA Shell'!$W$27:$W$195,MATCH(Data!H61,'FY 22 OFA Shell'!$H$27:$H$195,0))</f>
        <v>11379</v>
      </c>
      <c r="P61" s="65">
        <f>INDEX('FY 22 OFA Shell'!$Z$27:$Z$195,MATCH(Data!H61,'FY 22 OFA Shell'!$H$27:$H$195,0))</f>
        <v>74974</v>
      </c>
      <c r="Q61" s="63">
        <f>INDEX('FY 22 OFA Shell'!$AF$27:$AF$195,MATCH(Data!H61,'FY 22 OFA Shell'!$H$27:$H$195,0))</f>
        <v>0</v>
      </c>
      <c r="R61" s="66">
        <f>INDEX('FY 22 OFA Shell'!$AG$27:$AG$195,MATCH(Data!H61,'FY 22 OFA Shell'!$H$27:$H$195,0))</f>
        <v>0</v>
      </c>
      <c r="S61" s="66">
        <f>INDEX('FY 22 OFA Shell'!$AJ$27:$AJ$195,MATCH(Data!H61,'FY 22 OFA Shell'!$H$27:$H$195,0))</f>
        <v>0</v>
      </c>
      <c r="T61" s="66">
        <f>INDEX('FY 22 OFA Shell'!$AK$27:$AK$195,MATCH(Data!H61,'FY 22 OFA Shell'!$H$27:$H$195,0))</f>
        <v>0</v>
      </c>
      <c r="U61" s="135">
        <v>5669122</v>
      </c>
      <c r="V61" s="67">
        <f>ROUND(J61*Inputs!$E$22, 2)</f>
        <v>152.69999999999999</v>
      </c>
      <c r="W61" s="68">
        <f>I61+V61+K61*Inputs!$E$28+Data!M61</f>
        <v>1288.47</v>
      </c>
      <c r="X61" s="69">
        <f t="shared" si="27"/>
        <v>123962.9</v>
      </c>
      <c r="Y61" s="70">
        <f>ROUND(X61/Inputs!$E$32, 6)</f>
        <v>0.64387399999999995</v>
      </c>
      <c r="Z61" s="70">
        <f>ROUND(P61/Inputs!$E$33, 6)</f>
        <v>0.62222100000000002</v>
      </c>
      <c r="AA61" s="59">
        <f>ROUND(1-((Y61*Inputs!$E$29)+Z61*Inputs!$E$27), 6)</f>
        <v>0.362622</v>
      </c>
      <c r="AB61" s="59">
        <v>263.45542769438646</v>
      </c>
      <c r="AC61" s="73">
        <f>INDEX('FY 22 OFA Shell'!$G$27:$G$195,MATCH(Data!H61,'FY 22 OFA Shell'!$H$27:$H$195,0))</f>
        <v>34</v>
      </c>
      <c r="AD61" s="73">
        <f t="shared" si="16"/>
        <v>5</v>
      </c>
      <c r="AE61" s="65">
        <v>5669122</v>
      </c>
      <c r="AF61" s="65">
        <f t="shared" si="28"/>
        <v>-284324</v>
      </c>
      <c r="AG61" s="65">
        <f t="shared" si="29"/>
        <v>0</v>
      </c>
      <c r="AH61" s="52">
        <v>5627408</v>
      </c>
      <c r="AI61" s="107">
        <v>5669122</v>
      </c>
      <c r="AJ61">
        <v>5</v>
      </c>
      <c r="AK61">
        <v>6362.439666520404</v>
      </c>
      <c r="AL61" s="165">
        <f>INDEX('FY 22 OFA Shell'!$AU$27:$AU$195,MATCH(Data!H61,'FY 22 OFA Shell'!$H$27:$H$195,0))</f>
        <v>5669122</v>
      </c>
      <c r="AM61" s="165">
        <f>Outputs!H66</f>
        <v>5669122</v>
      </c>
      <c r="AN61" s="165">
        <f>Outputs!G66+Outputs!D66+Outputs!F66</f>
        <v>5384798</v>
      </c>
      <c r="AO61" s="165">
        <v>5669122</v>
      </c>
      <c r="AP61" s="165">
        <f t="shared" si="30"/>
        <v>5675484.4396665208</v>
      </c>
      <c r="AQ61" s="52" t="str">
        <f t="shared" si="31"/>
        <v>No</v>
      </c>
      <c r="AR61" s="308">
        <f>ABS(IF(AQ61="Yes",AF61*Inputs!$D$50,Data!AF61*Inputs!$D$51))</f>
        <v>0</v>
      </c>
      <c r="AS61" s="308">
        <f t="shared" si="17"/>
        <v>5669122</v>
      </c>
      <c r="AT61" s="308">
        <f t="shared" si="32"/>
        <v>5669122</v>
      </c>
      <c r="AU61" s="308"/>
      <c r="AV61" s="308">
        <f>ABS(IF($AQ61="Yes",$AF61*Inputs!E$50,Data!$AF61*Inputs!E$51))</f>
        <v>0</v>
      </c>
      <c r="AW61" s="308">
        <f>ABS(IF($AQ61="Yes",$AF61*Inputs!F$50,Data!$AF61*Inputs!F$51))</f>
        <v>23684.189200000001</v>
      </c>
      <c r="AX61" s="308">
        <f>ABS(IF($AQ61="Yes",$AF61*Inputs!G$50,Data!$AF61*Inputs!G$51))</f>
        <v>23684.189200000001</v>
      </c>
      <c r="AY61" s="308">
        <f>ABS(IF($AQ61="Yes",$AF61*Inputs!H$50,Data!$AF61*Inputs!H$51))</f>
        <v>23684.189200000001</v>
      </c>
      <c r="AZ61" s="308">
        <f>ABS(IF($AQ61="Yes",$AF61*Inputs!I$50,Data!$AF61*Inputs!I$51))</f>
        <v>23684.189200000001</v>
      </c>
      <c r="BA61" s="308">
        <f>ABS(IF($AQ61="Yes",$AF61*Inputs!J$50,Data!$AF61*Inputs!J$51))</f>
        <v>23684.189200000001</v>
      </c>
      <c r="BB61" s="308">
        <f>ABS(IF($AQ61="Yes",$AF61*Inputs!K$50,Data!$AF61*Inputs!K$51))</f>
        <v>23684.189200000001</v>
      </c>
      <c r="BC61" s="308">
        <f>ABS(IF($AQ61="Yes",$AF61*Inputs!L$50,Data!$AF61*Inputs!L$51))</f>
        <v>23684.189200000001</v>
      </c>
      <c r="BE61" s="308">
        <f t="shared" si="18"/>
        <v>5669122</v>
      </c>
      <c r="BF61" s="308">
        <f t="shared" si="19"/>
        <v>5645437.8108000001</v>
      </c>
      <c r="BG61" s="308">
        <f t="shared" si="20"/>
        <v>5621753.6216000002</v>
      </c>
      <c r="BH61" s="308">
        <f t="shared" si="21"/>
        <v>5598069.4324000003</v>
      </c>
      <c r="BI61" s="308">
        <f t="shared" si="22"/>
        <v>5574385.2432000004</v>
      </c>
      <c r="BJ61" s="308">
        <f t="shared" si="23"/>
        <v>5550701.0540000005</v>
      </c>
      <c r="BK61" s="308">
        <f t="shared" si="24"/>
        <v>5527016.8648000006</v>
      </c>
      <c r="BL61" s="308">
        <f t="shared" si="25"/>
        <v>5384798</v>
      </c>
      <c r="BN61" s="308">
        <f t="shared" si="33"/>
        <v>5669122</v>
      </c>
      <c r="BO61" s="308">
        <f t="shared" si="34"/>
        <v>5669122</v>
      </c>
      <c r="BP61" s="308">
        <f t="shared" si="35"/>
        <v>5669122</v>
      </c>
      <c r="BQ61" s="308">
        <f t="shared" si="36"/>
        <v>5669122</v>
      </c>
      <c r="BR61" s="308">
        <f t="shared" si="37"/>
        <v>5669122</v>
      </c>
      <c r="BS61" s="308">
        <f t="shared" si="38"/>
        <v>5669122</v>
      </c>
      <c r="BT61" s="308">
        <f t="shared" si="39"/>
        <v>5669122</v>
      </c>
      <c r="BU61" s="308">
        <f t="shared" si="26"/>
        <v>5669122</v>
      </c>
    </row>
    <row r="62" spans="1:73" ht="15" x14ac:dyDescent="0.2">
      <c r="A62" s="62" t="s">
        <v>60</v>
      </c>
      <c r="B62" s="55" t="s">
        <v>4</v>
      </c>
      <c r="C62" s="55"/>
      <c r="D62" s="55"/>
      <c r="E62" s="55"/>
      <c r="F62" s="55"/>
      <c r="G62" s="48">
        <v>7</v>
      </c>
      <c r="H62" s="55">
        <v>48</v>
      </c>
      <c r="I62" s="55">
        <f>INDEX('FY 22 OFA Shell'!$K$27:$K$195,MATCH(Data!H62,'FY 22 OFA Shell'!$H$27:$H$195,0))</f>
        <v>2627.05</v>
      </c>
      <c r="J62" s="55">
        <f>INDEX('FY 22 OFA Shell'!$N$27:$N$195,MATCH(Data!H62,'FY 22 OFA Shell'!$H$27:$H$195,0))</f>
        <v>413</v>
      </c>
      <c r="K62" s="64">
        <f>INDEX('FY 22 OFA Shell'!$S$27:$S$195,MATCH(Data!H62,'FY 22 OFA Shell'!$H$27:$H$195,0))</f>
        <v>41</v>
      </c>
      <c r="L62" s="150">
        <f t="shared" si="15"/>
        <v>0.15721055937268036</v>
      </c>
      <c r="M62" s="149">
        <f>MAX(((L62-Inputs!$E$23)*Data!I62)*Inputs!$E$24,0)</f>
        <v>0</v>
      </c>
      <c r="N62" s="151">
        <f>INDEX('FY 22 OFA Shell'!$V$27:$V$195,MATCH(Data!H62,'FY 22 OFA Shell'!$H$27:$H$195,0))</f>
        <v>2020035213.6700001</v>
      </c>
      <c r="O62" s="63">
        <f>INDEX('FY 22 OFA Shell'!$W$27:$W$195,MATCH(Data!H62,'FY 22 OFA Shell'!$H$27:$H$195,0))</f>
        <v>16041</v>
      </c>
      <c r="P62" s="65">
        <f>INDEX('FY 22 OFA Shell'!$Z$27:$Z$195,MATCH(Data!H62,'FY 22 OFA Shell'!$H$27:$H$195,0))</f>
        <v>85572</v>
      </c>
      <c r="Q62" s="63">
        <f>INDEX('FY 22 OFA Shell'!$AF$27:$AF$195,MATCH(Data!H62,'FY 22 OFA Shell'!$H$27:$H$195,0))</f>
        <v>0</v>
      </c>
      <c r="R62" s="66">
        <f>INDEX('FY 22 OFA Shell'!$AG$27:$AG$195,MATCH(Data!H62,'FY 22 OFA Shell'!$H$27:$H$195,0))</f>
        <v>0</v>
      </c>
      <c r="S62" s="66">
        <f>INDEX('FY 22 OFA Shell'!$AJ$27:$AJ$195,MATCH(Data!H62,'FY 22 OFA Shell'!$H$27:$H$195,0))</f>
        <v>0</v>
      </c>
      <c r="T62" s="66">
        <f>INDEX('FY 22 OFA Shell'!$AK$27:$AK$195,MATCH(Data!H62,'FY 22 OFA Shell'!$H$27:$H$195,0))</f>
        <v>0</v>
      </c>
      <c r="U62" s="135">
        <v>9684435</v>
      </c>
      <c r="V62" s="67">
        <f>ROUND(J62*Inputs!$E$22, 2)</f>
        <v>123.9</v>
      </c>
      <c r="W62" s="68">
        <f>I62+V62+K62*Inputs!$E$28+Data!M62</f>
        <v>2761.2000000000003</v>
      </c>
      <c r="X62" s="69">
        <f t="shared" si="27"/>
        <v>125929.51</v>
      </c>
      <c r="Y62" s="70">
        <f>ROUND(X62/Inputs!$E$32, 6)</f>
        <v>0.654088</v>
      </c>
      <c r="Z62" s="70">
        <f>ROUND(P62/Inputs!$E$33, 6)</f>
        <v>0.710175</v>
      </c>
      <c r="AA62" s="59">
        <f>ROUND(1-((Y62*Inputs!$E$29)+Z62*Inputs!$E$27), 6)</f>
        <v>0.32908599999999999</v>
      </c>
      <c r="AB62" s="59">
        <v>232.16878625611164</v>
      </c>
      <c r="AC62" s="73">
        <f>INDEX('FY 22 OFA Shell'!$G$27:$G$195,MATCH(Data!H62,'FY 22 OFA Shell'!$H$27:$H$195,0))</f>
        <v>92</v>
      </c>
      <c r="AD62" s="73">
        <f t="shared" si="16"/>
        <v>5</v>
      </c>
      <c r="AE62" s="65">
        <v>9684435</v>
      </c>
      <c r="AF62" s="65">
        <f t="shared" si="28"/>
        <v>788013</v>
      </c>
      <c r="AG62" s="65">
        <f t="shared" si="29"/>
        <v>788013</v>
      </c>
      <c r="AH62" s="52">
        <v>8406850</v>
      </c>
      <c r="AI62" s="107">
        <v>9699781.5460000001</v>
      </c>
      <c r="AJ62"/>
      <c r="AK62">
        <v>0</v>
      </c>
      <c r="AL62" s="165">
        <f>INDEX('FY 22 OFA Shell'!$AU$27:$AU$195,MATCH(Data!H62,'FY 22 OFA Shell'!$H$27:$H$195,0))</f>
        <v>9946889</v>
      </c>
      <c r="AM62" s="165">
        <f>Outputs!H67</f>
        <v>10472448</v>
      </c>
      <c r="AN62" s="165">
        <f>Outputs!G67+Outputs!D67+Outputs!F67</f>
        <v>10472448</v>
      </c>
      <c r="AO62" s="165">
        <v>9830497</v>
      </c>
      <c r="AP62" s="165">
        <f t="shared" si="30"/>
        <v>9699781.5460000001</v>
      </c>
      <c r="AQ62" s="52" t="str">
        <f t="shared" si="31"/>
        <v>Yes</v>
      </c>
      <c r="AR62" s="308">
        <f>ABS(IF(AQ62="Yes",AF62*Inputs!$D$50,Data!AF62*Inputs!$D$51))</f>
        <v>84002.185800000007</v>
      </c>
      <c r="AS62" s="308">
        <f t="shared" si="17"/>
        <v>10030891.185799999</v>
      </c>
      <c r="AT62" s="308">
        <f t="shared" si="32"/>
        <v>10030891.185799999</v>
      </c>
      <c r="AU62" s="308"/>
      <c r="AV62" s="308">
        <f>ABS(IF($AQ62="Yes",$AF62*Inputs!E$50,Data!$AF62*Inputs!E$51))</f>
        <v>84002.185800000007</v>
      </c>
      <c r="AW62" s="308">
        <f>ABS(IF($AQ62="Yes",$AF62*Inputs!F$50,Data!$AF62*Inputs!F$51))</f>
        <v>84002.185800000007</v>
      </c>
      <c r="AX62" s="308">
        <f>ABS(IF($AQ62="Yes",$AF62*Inputs!G$50,Data!$AF62*Inputs!G$51))</f>
        <v>84002.185800000007</v>
      </c>
      <c r="AY62" s="308">
        <f>ABS(IF($AQ62="Yes",$AF62*Inputs!H$50,Data!$AF62*Inputs!H$51))</f>
        <v>84002.185800000007</v>
      </c>
      <c r="AZ62" s="308">
        <f>ABS(IF($AQ62="Yes",$AF62*Inputs!I$50,Data!$AF62*Inputs!I$51))</f>
        <v>84002.185800000007</v>
      </c>
      <c r="BA62" s="308">
        <f>ABS(IF($AQ62="Yes",$AF62*Inputs!J$50,Data!$AF62*Inputs!J$51))</f>
        <v>84002.185800000007</v>
      </c>
      <c r="BB62" s="308">
        <f>ABS(IF($AQ62="Yes",$AF62*Inputs!K$50,Data!$AF62*Inputs!K$51))</f>
        <v>0</v>
      </c>
      <c r="BC62" s="308">
        <f>ABS(IF($AQ62="Yes",$AF62*Inputs!L$50,Data!$AF62*Inputs!L$51))</f>
        <v>0</v>
      </c>
      <c r="BE62" s="308">
        <f t="shared" si="18"/>
        <v>10114893.371599998</v>
      </c>
      <c r="BF62" s="308">
        <f t="shared" si="19"/>
        <v>10198895.557399997</v>
      </c>
      <c r="BG62" s="308">
        <f t="shared" si="20"/>
        <v>10282897.743199997</v>
      </c>
      <c r="BH62" s="308">
        <f t="shared" si="21"/>
        <v>10366899.928999996</v>
      </c>
      <c r="BI62" s="308">
        <f t="shared" si="22"/>
        <v>10450902.114799995</v>
      </c>
      <c r="BJ62" s="308">
        <f t="shared" si="23"/>
        <v>10472448</v>
      </c>
      <c r="BK62" s="308">
        <f t="shared" si="24"/>
        <v>10472448</v>
      </c>
      <c r="BL62" s="308">
        <f t="shared" si="25"/>
        <v>10472448</v>
      </c>
      <c r="BN62" s="308">
        <f t="shared" si="33"/>
        <v>10114893.371599998</v>
      </c>
      <c r="BO62" s="308">
        <f t="shared" si="34"/>
        <v>10198895.557399997</v>
      </c>
      <c r="BP62" s="308">
        <f t="shared" si="35"/>
        <v>10282897.743199997</v>
      </c>
      <c r="BQ62" s="308">
        <f t="shared" si="36"/>
        <v>10366899.928999996</v>
      </c>
      <c r="BR62" s="308">
        <f t="shared" si="37"/>
        <v>10450902.114799995</v>
      </c>
      <c r="BS62" s="308">
        <f t="shared" si="38"/>
        <v>10472448</v>
      </c>
      <c r="BT62" s="308">
        <f t="shared" si="39"/>
        <v>10472448</v>
      </c>
      <c r="BU62" s="308">
        <f t="shared" si="26"/>
        <v>10472448</v>
      </c>
    </row>
    <row r="63" spans="1:73" ht="15" x14ac:dyDescent="0.2">
      <c r="A63" s="62" t="s">
        <v>61</v>
      </c>
      <c r="B63" s="55" t="s">
        <v>32</v>
      </c>
      <c r="C63" s="55"/>
      <c r="D63" s="55"/>
      <c r="E63" s="55"/>
      <c r="F63" s="55"/>
      <c r="G63" s="48">
        <v>9</v>
      </c>
      <c r="H63" s="55">
        <v>49</v>
      </c>
      <c r="I63" s="55">
        <f>INDEX('FY 22 OFA Shell'!$K$27:$K$195,MATCH(Data!H63,'FY 22 OFA Shell'!$H$27:$H$195,0))</f>
        <v>5164.76</v>
      </c>
      <c r="J63" s="55">
        <f>INDEX('FY 22 OFA Shell'!$N$27:$N$195,MATCH(Data!H63,'FY 22 OFA Shell'!$H$27:$H$195,0))</f>
        <v>2401</v>
      </c>
      <c r="K63" s="64">
        <f>INDEX('FY 22 OFA Shell'!$S$27:$S$195,MATCH(Data!H63,'FY 22 OFA Shell'!$H$27:$H$195,0))</f>
        <v>143</v>
      </c>
      <c r="L63" s="150">
        <f t="shared" si="15"/>
        <v>0.46488123359071865</v>
      </c>
      <c r="M63" s="149">
        <f>MAX(((L63-Inputs!$E$23)*Data!I63)*Inputs!$E$24,0)</f>
        <v>0</v>
      </c>
      <c r="N63" s="151">
        <f>INDEX('FY 22 OFA Shell'!$V$27:$V$195,MATCH(Data!H63,'FY 22 OFA Shell'!$H$27:$H$195,0))</f>
        <v>4321096338.6700001</v>
      </c>
      <c r="O63" s="63">
        <f>INDEX('FY 22 OFA Shell'!$W$27:$W$195,MATCH(Data!H63,'FY 22 OFA Shell'!$H$27:$H$195,0))</f>
        <v>44455</v>
      </c>
      <c r="P63" s="65">
        <f>INDEX('FY 22 OFA Shell'!$Z$27:$Z$195,MATCH(Data!H63,'FY 22 OFA Shell'!$H$27:$H$195,0))</f>
        <v>76423</v>
      </c>
      <c r="Q63" s="63">
        <f>INDEX('FY 22 OFA Shell'!$AF$27:$AF$195,MATCH(Data!H63,'FY 22 OFA Shell'!$H$27:$H$195,0))</f>
        <v>0</v>
      </c>
      <c r="R63" s="66">
        <f>INDEX('FY 22 OFA Shell'!$AG$27:$AG$195,MATCH(Data!H63,'FY 22 OFA Shell'!$H$27:$H$195,0))</f>
        <v>0</v>
      </c>
      <c r="S63" s="66">
        <f>INDEX('FY 22 OFA Shell'!$AJ$27:$AJ$195,MATCH(Data!H63,'FY 22 OFA Shell'!$H$27:$H$195,0))</f>
        <v>0</v>
      </c>
      <c r="T63" s="66">
        <f>INDEX('FY 22 OFA Shell'!$AK$27:$AK$195,MATCH(Data!H63,'FY 22 OFA Shell'!$H$27:$H$195,0))</f>
        <v>0</v>
      </c>
      <c r="U63" s="135">
        <v>28585010</v>
      </c>
      <c r="V63" s="67">
        <f>ROUND(J63*Inputs!$E$22, 2)</f>
        <v>720.3</v>
      </c>
      <c r="W63" s="68">
        <f>I63+V63+K63*Inputs!$E$28+Data!M63</f>
        <v>5920.81</v>
      </c>
      <c r="X63" s="69">
        <f t="shared" si="27"/>
        <v>97201.58</v>
      </c>
      <c r="Y63" s="70">
        <f>ROUND(X63/Inputs!$E$32, 6)</f>
        <v>0.50487300000000002</v>
      </c>
      <c r="Z63" s="70">
        <f>ROUND(P63/Inputs!$E$33, 6)</f>
        <v>0.63424599999999998</v>
      </c>
      <c r="AA63" s="59">
        <f>ROUND(1-((Y63*Inputs!$E$29)+Z63*Inputs!$E$27), 6)</f>
        <v>0.45631500000000003</v>
      </c>
      <c r="AB63" s="59">
        <v>272.06220943618359</v>
      </c>
      <c r="AC63" s="73">
        <f>INDEX('FY 22 OFA Shell'!$G$27:$G$195,MATCH(Data!H63,'FY 22 OFA Shell'!$H$27:$H$195,0))</f>
        <v>32</v>
      </c>
      <c r="AD63" s="73">
        <f t="shared" si="16"/>
        <v>5</v>
      </c>
      <c r="AE63" s="65">
        <v>28585010</v>
      </c>
      <c r="AF63" s="65">
        <f t="shared" si="28"/>
        <v>2552710</v>
      </c>
      <c r="AG63" s="65">
        <f t="shared" si="29"/>
        <v>2552710</v>
      </c>
      <c r="AH63" s="52">
        <v>24811811</v>
      </c>
      <c r="AI63" s="107">
        <v>28752342.684999999</v>
      </c>
      <c r="AJ63">
        <v>3</v>
      </c>
      <c r="AK63">
        <v>3817.4637999122424</v>
      </c>
      <c r="AL63" s="165">
        <f>INDEX('FY 22 OFA Shell'!$AU$27:$AU$195,MATCH(Data!H63,'FY 22 OFA Shell'!$H$27:$H$195,0))</f>
        <v>29551526</v>
      </c>
      <c r="AM63" s="165">
        <f>Outputs!H68</f>
        <v>31137720</v>
      </c>
      <c r="AN63" s="165">
        <f>Outputs!G68+Outputs!D68+Outputs!F68</f>
        <v>31137720</v>
      </c>
      <c r="AO63" s="165">
        <v>29169999</v>
      </c>
      <c r="AP63" s="165">
        <f t="shared" si="30"/>
        <v>28756160.148799911</v>
      </c>
      <c r="AQ63" s="52" t="str">
        <f t="shared" si="31"/>
        <v>Yes</v>
      </c>
      <c r="AR63" s="308">
        <f>ABS(IF(AQ63="Yes",AF63*Inputs!$D$50,Data!AF63*Inputs!$D$51))</f>
        <v>272118.886</v>
      </c>
      <c r="AS63" s="308">
        <f t="shared" si="17"/>
        <v>29823644.886</v>
      </c>
      <c r="AT63" s="308">
        <f t="shared" si="32"/>
        <v>29823644.886</v>
      </c>
      <c r="AU63" s="308"/>
      <c r="AV63" s="308">
        <f>ABS(IF($AQ63="Yes",$AF63*Inputs!E$50,Data!$AF63*Inputs!E$51))</f>
        <v>272118.886</v>
      </c>
      <c r="AW63" s="308">
        <f>ABS(IF($AQ63="Yes",$AF63*Inputs!F$50,Data!$AF63*Inputs!F$51))</f>
        <v>272118.886</v>
      </c>
      <c r="AX63" s="308">
        <f>ABS(IF($AQ63="Yes",$AF63*Inputs!G$50,Data!$AF63*Inputs!G$51))</f>
        <v>272118.886</v>
      </c>
      <c r="AY63" s="308">
        <f>ABS(IF($AQ63="Yes",$AF63*Inputs!H$50,Data!$AF63*Inputs!H$51))</f>
        <v>272118.886</v>
      </c>
      <c r="AZ63" s="308">
        <f>ABS(IF($AQ63="Yes",$AF63*Inputs!I$50,Data!$AF63*Inputs!I$51))</f>
        <v>272118.886</v>
      </c>
      <c r="BA63" s="308">
        <f>ABS(IF($AQ63="Yes",$AF63*Inputs!J$50,Data!$AF63*Inputs!J$51))</f>
        <v>272118.886</v>
      </c>
      <c r="BB63" s="308">
        <f>ABS(IF($AQ63="Yes",$AF63*Inputs!K$50,Data!$AF63*Inputs!K$51))</f>
        <v>0</v>
      </c>
      <c r="BC63" s="308">
        <f>ABS(IF($AQ63="Yes",$AF63*Inputs!L$50,Data!$AF63*Inputs!L$51))</f>
        <v>0</v>
      </c>
      <c r="BE63" s="308">
        <f t="shared" si="18"/>
        <v>30095763.772</v>
      </c>
      <c r="BF63" s="308">
        <f t="shared" si="19"/>
        <v>30367882.658</v>
      </c>
      <c r="BG63" s="308">
        <f t="shared" si="20"/>
        <v>30640001.544</v>
      </c>
      <c r="BH63" s="308">
        <f t="shared" si="21"/>
        <v>30912120.43</v>
      </c>
      <c r="BI63" s="308">
        <f t="shared" si="22"/>
        <v>31184239.316</v>
      </c>
      <c r="BJ63" s="308">
        <f t="shared" si="23"/>
        <v>31137720</v>
      </c>
      <c r="BK63" s="308">
        <f t="shared" si="24"/>
        <v>31137720</v>
      </c>
      <c r="BL63" s="308">
        <f t="shared" si="25"/>
        <v>31137720</v>
      </c>
      <c r="BN63" s="308">
        <f t="shared" si="33"/>
        <v>30095763.772</v>
      </c>
      <c r="BO63" s="308">
        <f t="shared" si="34"/>
        <v>30367882.658</v>
      </c>
      <c r="BP63" s="308">
        <f t="shared" si="35"/>
        <v>30640001.544</v>
      </c>
      <c r="BQ63" s="308">
        <f t="shared" si="36"/>
        <v>30912120.43</v>
      </c>
      <c r="BR63" s="308">
        <f t="shared" si="37"/>
        <v>31184239.316</v>
      </c>
      <c r="BS63" s="308">
        <f t="shared" si="38"/>
        <v>31137720</v>
      </c>
      <c r="BT63" s="308">
        <f t="shared" si="39"/>
        <v>31137720</v>
      </c>
      <c r="BU63" s="308">
        <f t="shared" si="26"/>
        <v>31137720</v>
      </c>
    </row>
    <row r="64" spans="1:73" ht="15" x14ac:dyDescent="0.2">
      <c r="A64" s="62" t="s">
        <v>62</v>
      </c>
      <c r="B64" s="55" t="s">
        <v>4</v>
      </c>
      <c r="C64" s="55"/>
      <c r="D64" s="55"/>
      <c r="E64" s="55"/>
      <c r="F64" s="55"/>
      <c r="G64" s="48">
        <v>2</v>
      </c>
      <c r="H64" s="55">
        <v>50</v>
      </c>
      <c r="I64" s="55">
        <f>INDEX('FY 22 OFA Shell'!$K$27:$K$195,MATCH(Data!H64,'FY 22 OFA Shell'!$H$27:$H$195,0))</f>
        <v>645.44000000000005</v>
      </c>
      <c r="J64" s="55">
        <f>INDEX('FY 22 OFA Shell'!$N$27:$N$195,MATCH(Data!H64,'FY 22 OFA Shell'!$H$27:$H$195,0))</f>
        <v>120</v>
      </c>
      <c r="K64" s="64">
        <f>INDEX('FY 22 OFA Shell'!$S$27:$S$195,MATCH(Data!H64,'FY 22 OFA Shell'!$H$27:$H$195,0))</f>
        <v>10</v>
      </c>
      <c r="L64" s="150">
        <f t="shared" si="15"/>
        <v>0.18591968269707485</v>
      </c>
      <c r="M64" s="149">
        <f>MAX(((L64-Inputs!$E$23)*Data!I64)*Inputs!$E$24,0)</f>
        <v>0</v>
      </c>
      <c r="N64" s="151">
        <f>INDEX('FY 22 OFA Shell'!$V$27:$V$195,MATCH(Data!H64,'FY 22 OFA Shell'!$H$27:$H$195,0))</f>
        <v>1548254227.6700001</v>
      </c>
      <c r="O64" s="63">
        <f>INDEX('FY 22 OFA Shell'!$W$27:$W$195,MATCH(Data!H64,'FY 22 OFA Shell'!$H$27:$H$195,0))</f>
        <v>6599</v>
      </c>
      <c r="P64" s="65">
        <f>INDEX('FY 22 OFA Shell'!$Z$27:$Z$195,MATCH(Data!H64,'FY 22 OFA Shell'!$H$27:$H$195,0))</f>
        <v>87000</v>
      </c>
      <c r="Q64" s="63">
        <f>INDEX('FY 22 OFA Shell'!$AF$27:$AF$195,MATCH(Data!H64,'FY 22 OFA Shell'!$H$27:$H$195,0))</f>
        <v>353</v>
      </c>
      <c r="R64" s="66">
        <f>INDEX('FY 22 OFA Shell'!$AG$27:$AG$195,MATCH(Data!H64,'FY 22 OFA Shell'!$H$27:$H$195,0))</f>
        <v>6</v>
      </c>
      <c r="S64" s="66">
        <f>INDEX('FY 22 OFA Shell'!$AJ$27:$AJ$195,MATCH(Data!H64,'FY 22 OFA Shell'!$H$27:$H$195,0))</f>
        <v>0</v>
      </c>
      <c r="T64" s="66">
        <f>INDEX('FY 22 OFA Shell'!$AK$27:$AK$195,MATCH(Data!H64,'FY 22 OFA Shell'!$H$27:$H$195,0))</f>
        <v>0</v>
      </c>
      <c r="U64" s="135">
        <v>105052</v>
      </c>
      <c r="V64" s="67">
        <f>ROUND(J64*Inputs!$E$22, 2)</f>
        <v>36</v>
      </c>
      <c r="W64" s="68">
        <f>I64+V64+K64*Inputs!$E$28+Data!M64</f>
        <v>683.94</v>
      </c>
      <c r="X64" s="69">
        <f t="shared" si="27"/>
        <v>234619.51999999999</v>
      </c>
      <c r="Y64" s="70">
        <f>ROUND(X64/Inputs!$E$32, 6)</f>
        <v>1.2186330000000001</v>
      </c>
      <c r="Z64" s="70">
        <f>ROUND(P64/Inputs!$E$33, 6)</f>
        <v>0.72202599999999995</v>
      </c>
      <c r="AA64" s="59">
        <f>ROUND(1-((Y64*Inputs!$E$29)+Z64*Inputs!$E$27), 6)</f>
        <v>-6.9651000000000005E-2</v>
      </c>
      <c r="AB64" s="59">
        <v>177.61811161383341</v>
      </c>
      <c r="AC64" s="73">
        <f>INDEX('FY 22 OFA Shell'!$G$27:$G$195,MATCH(Data!H64,'FY 22 OFA Shell'!$H$27:$H$195,0))</f>
        <v>149</v>
      </c>
      <c r="AD64" s="73">
        <f t="shared" si="16"/>
        <v>5</v>
      </c>
      <c r="AE64" s="65">
        <v>105052</v>
      </c>
      <c r="AF64" s="65">
        <f t="shared" si="28"/>
        <v>185572</v>
      </c>
      <c r="AG64" s="65">
        <f t="shared" si="29"/>
        <v>185572</v>
      </c>
      <c r="AH64" s="52">
        <v>83571</v>
      </c>
      <c r="AI64" s="107">
        <v>105065.038</v>
      </c>
      <c r="AJ64"/>
      <c r="AK64">
        <v>0</v>
      </c>
      <c r="AL64" s="165">
        <f>INDEX('FY 22 OFA Shell'!$AU$27:$AU$195,MATCH(Data!H64,'FY 22 OFA Shell'!$H$27:$H$195,0))</f>
        <v>103926</v>
      </c>
      <c r="AM64" s="165">
        <f>Outputs!H69</f>
        <v>290624</v>
      </c>
      <c r="AN64" s="165">
        <f>Outputs!G69+Outputs!D69+Outputs!F69</f>
        <v>290624</v>
      </c>
      <c r="AO64" s="165">
        <v>104620</v>
      </c>
      <c r="AP64" s="165">
        <f t="shared" si="30"/>
        <v>105065.038</v>
      </c>
      <c r="AQ64" s="52" t="str">
        <f t="shared" si="31"/>
        <v>Yes</v>
      </c>
      <c r="AR64" s="308">
        <f>ABS(IF(AQ64="Yes",AF64*Inputs!$D$50,Data!AF64*Inputs!$D$51))</f>
        <v>19781.975200000001</v>
      </c>
      <c r="AS64" s="308">
        <f t="shared" si="17"/>
        <v>123707.9752</v>
      </c>
      <c r="AT64" s="308">
        <f t="shared" si="32"/>
        <v>123707.9752</v>
      </c>
      <c r="AU64" s="308"/>
      <c r="AV64" s="308">
        <f>ABS(IF($AQ64="Yes",$AF64*Inputs!E$50,Data!$AF64*Inputs!E$51))</f>
        <v>19781.975200000001</v>
      </c>
      <c r="AW64" s="308">
        <f>ABS(IF($AQ64="Yes",$AF64*Inputs!F$50,Data!$AF64*Inputs!F$51))</f>
        <v>19781.975200000001</v>
      </c>
      <c r="AX64" s="308">
        <f>ABS(IF($AQ64="Yes",$AF64*Inputs!G$50,Data!$AF64*Inputs!G$51))</f>
        <v>19781.975200000001</v>
      </c>
      <c r="AY64" s="308">
        <f>ABS(IF($AQ64="Yes",$AF64*Inputs!H$50,Data!$AF64*Inputs!H$51))</f>
        <v>19781.975200000001</v>
      </c>
      <c r="AZ64" s="308">
        <f>ABS(IF($AQ64="Yes",$AF64*Inputs!I$50,Data!$AF64*Inputs!I$51))</f>
        <v>19781.975200000001</v>
      </c>
      <c r="BA64" s="308">
        <f>ABS(IF($AQ64="Yes",$AF64*Inputs!J$50,Data!$AF64*Inputs!J$51))</f>
        <v>19781.975200000001</v>
      </c>
      <c r="BB64" s="308">
        <f>ABS(IF($AQ64="Yes",$AF64*Inputs!K$50,Data!$AF64*Inputs!K$51))</f>
        <v>0</v>
      </c>
      <c r="BC64" s="308">
        <f>ABS(IF($AQ64="Yes",$AF64*Inputs!L$50,Data!$AF64*Inputs!L$51))</f>
        <v>0</v>
      </c>
      <c r="BE64" s="308">
        <f t="shared" si="18"/>
        <v>143489.9504</v>
      </c>
      <c r="BF64" s="308">
        <f t="shared" si="19"/>
        <v>163271.92560000002</v>
      </c>
      <c r="BG64" s="308">
        <f t="shared" si="20"/>
        <v>183053.9008</v>
      </c>
      <c r="BH64" s="308">
        <f t="shared" si="21"/>
        <v>202835.87599999999</v>
      </c>
      <c r="BI64" s="308">
        <f t="shared" si="22"/>
        <v>222617.85119999998</v>
      </c>
      <c r="BJ64" s="308">
        <f t="shared" si="23"/>
        <v>290624</v>
      </c>
      <c r="BK64" s="308">
        <f t="shared" si="24"/>
        <v>290624</v>
      </c>
      <c r="BL64" s="308">
        <f t="shared" si="25"/>
        <v>290624</v>
      </c>
      <c r="BN64" s="308">
        <f t="shared" si="33"/>
        <v>143489.9504</v>
      </c>
      <c r="BO64" s="308">
        <f t="shared" si="34"/>
        <v>163271.92560000002</v>
      </c>
      <c r="BP64" s="308">
        <f t="shared" si="35"/>
        <v>183053.9008</v>
      </c>
      <c r="BQ64" s="308">
        <f t="shared" si="36"/>
        <v>202835.87599999999</v>
      </c>
      <c r="BR64" s="308">
        <f t="shared" si="37"/>
        <v>222617.85119999998</v>
      </c>
      <c r="BS64" s="308">
        <f t="shared" si="38"/>
        <v>290624</v>
      </c>
      <c r="BT64" s="308">
        <f t="shared" si="39"/>
        <v>290624</v>
      </c>
      <c r="BU64" s="308">
        <f t="shared" si="26"/>
        <v>290624</v>
      </c>
    </row>
    <row r="65" spans="1:73" ht="15" x14ac:dyDescent="0.2">
      <c r="A65" s="62" t="s">
        <v>63</v>
      </c>
      <c r="B65" s="55" t="s">
        <v>10</v>
      </c>
      <c r="C65" s="55"/>
      <c r="D65" s="55"/>
      <c r="E65" s="55"/>
      <c r="F65" s="55"/>
      <c r="G65" s="48">
        <v>2</v>
      </c>
      <c r="H65" s="55">
        <v>51</v>
      </c>
      <c r="I65" s="55">
        <f>INDEX('FY 22 OFA Shell'!$K$27:$K$195,MATCH(Data!H65,'FY 22 OFA Shell'!$H$27:$H$195,0))</f>
        <v>9441.06</v>
      </c>
      <c r="J65" s="55">
        <f>INDEX('FY 22 OFA Shell'!$N$27:$N$195,MATCH(Data!H65,'FY 22 OFA Shell'!$H$27:$H$195,0))</f>
        <v>1461</v>
      </c>
      <c r="K65" s="64">
        <f>INDEX('FY 22 OFA Shell'!$S$27:$S$195,MATCH(Data!H65,'FY 22 OFA Shell'!$H$27:$H$195,0))</f>
        <v>229</v>
      </c>
      <c r="L65" s="150">
        <f t="shared" si="15"/>
        <v>0.15474957261154998</v>
      </c>
      <c r="M65" s="149">
        <f>MAX(((L65-Inputs!$E$23)*Data!I65)*Inputs!$E$24,0)</f>
        <v>0</v>
      </c>
      <c r="N65" s="151">
        <f>INDEX('FY 22 OFA Shell'!$V$27:$V$195,MATCH(Data!H65,'FY 22 OFA Shell'!$H$27:$H$195,0))</f>
        <v>16401217199.67</v>
      </c>
      <c r="O65" s="63">
        <f>INDEX('FY 22 OFA Shell'!$W$27:$W$195,MATCH(Data!H65,'FY 22 OFA Shell'!$H$27:$H$195,0))</f>
        <v>61598</v>
      </c>
      <c r="P65" s="65">
        <f>INDEX('FY 22 OFA Shell'!$Z$27:$Z$195,MATCH(Data!H65,'FY 22 OFA Shell'!$H$27:$H$195,0))</f>
        <v>134559</v>
      </c>
      <c r="Q65" s="63">
        <f>INDEX('FY 22 OFA Shell'!$AF$27:$AF$195,MATCH(Data!H65,'FY 22 OFA Shell'!$H$27:$H$195,0))</f>
        <v>0</v>
      </c>
      <c r="R65" s="66">
        <f>INDEX('FY 22 OFA Shell'!$AG$27:$AG$195,MATCH(Data!H65,'FY 22 OFA Shell'!$H$27:$H$195,0))</f>
        <v>0</v>
      </c>
      <c r="S65" s="66">
        <f>INDEX('FY 22 OFA Shell'!$AJ$27:$AJ$195,MATCH(Data!H65,'FY 22 OFA Shell'!$H$27:$H$195,0))</f>
        <v>0</v>
      </c>
      <c r="T65" s="66">
        <f>INDEX('FY 22 OFA Shell'!$AK$27:$AK$195,MATCH(Data!H65,'FY 22 OFA Shell'!$H$27:$H$195,0))</f>
        <v>0</v>
      </c>
      <c r="U65" s="135">
        <v>1087165</v>
      </c>
      <c r="V65" s="67">
        <f>ROUND(J65*Inputs!$E$22, 2)</f>
        <v>438.3</v>
      </c>
      <c r="W65" s="68">
        <f>I65+V65+K65*Inputs!$E$28+Data!M65</f>
        <v>9936.6099999999988</v>
      </c>
      <c r="X65" s="69">
        <f t="shared" si="27"/>
        <v>266262.17</v>
      </c>
      <c r="Y65" s="70">
        <f>ROUND(X65/Inputs!$E$32, 6)</f>
        <v>1.3829880000000001</v>
      </c>
      <c r="Z65" s="70">
        <f>ROUND(P65/Inputs!$E$33, 6)</f>
        <v>1.116725</v>
      </c>
      <c r="AA65" s="59">
        <f>ROUND(1-((Y65*Inputs!$E$29)+Z65*Inputs!$E$27), 6)</f>
        <v>-0.30310900000000002</v>
      </c>
      <c r="AB65" s="59">
        <v>173.30195420535688</v>
      </c>
      <c r="AC65" s="73">
        <f>INDEX('FY 22 OFA Shell'!$G$27:$G$195,MATCH(Data!H65,'FY 22 OFA Shell'!$H$27:$H$195,0))</f>
        <v>147</v>
      </c>
      <c r="AD65" s="73">
        <f t="shared" si="16"/>
        <v>5</v>
      </c>
      <c r="AE65" s="65">
        <v>1087165</v>
      </c>
      <c r="AF65" s="65">
        <f t="shared" si="28"/>
        <v>58029</v>
      </c>
      <c r="AG65" s="65">
        <f t="shared" si="29"/>
        <v>58029</v>
      </c>
      <c r="AH65" s="52">
        <v>903828</v>
      </c>
      <c r="AI65" s="107">
        <v>1091333.183</v>
      </c>
      <c r="AJ65"/>
      <c r="AK65">
        <v>0</v>
      </c>
      <c r="AL65" s="165">
        <f>INDEX('FY 22 OFA Shell'!$AU$27:$AU$195,MATCH(Data!H65,'FY 22 OFA Shell'!$H$27:$H$195,0))</f>
        <v>1111544</v>
      </c>
      <c r="AM65" s="165">
        <f>Outputs!H70</f>
        <v>1145194</v>
      </c>
      <c r="AN65" s="165">
        <f>Outputs!G70+Outputs!D70+Outputs!F70</f>
        <v>1145194</v>
      </c>
      <c r="AO65" s="165">
        <v>1102465</v>
      </c>
      <c r="AP65" s="165">
        <f t="shared" si="30"/>
        <v>1091333.183</v>
      </c>
      <c r="AQ65" s="52" t="str">
        <f t="shared" si="31"/>
        <v>Yes</v>
      </c>
      <c r="AR65" s="308">
        <f>ABS(IF(AQ65="Yes",AF65*Inputs!$D$50,Data!AF65*Inputs!$D$51))</f>
        <v>6185.8914000000004</v>
      </c>
      <c r="AS65" s="308">
        <f t="shared" si="17"/>
        <v>1117729.8914000001</v>
      </c>
      <c r="AT65" s="308">
        <f t="shared" si="32"/>
        <v>1117729.8914000001</v>
      </c>
      <c r="AU65" s="308"/>
      <c r="AV65" s="308">
        <f>ABS(IF($AQ65="Yes",$AF65*Inputs!E$50,Data!$AF65*Inputs!E$51))</f>
        <v>6185.8914000000004</v>
      </c>
      <c r="AW65" s="308">
        <f>ABS(IF($AQ65="Yes",$AF65*Inputs!F$50,Data!$AF65*Inputs!F$51))</f>
        <v>6185.8914000000004</v>
      </c>
      <c r="AX65" s="308">
        <f>ABS(IF($AQ65="Yes",$AF65*Inputs!G$50,Data!$AF65*Inputs!G$51))</f>
        <v>6185.8914000000004</v>
      </c>
      <c r="AY65" s="308">
        <f>ABS(IF($AQ65="Yes",$AF65*Inputs!H$50,Data!$AF65*Inputs!H$51))</f>
        <v>6185.8914000000004</v>
      </c>
      <c r="AZ65" s="308">
        <f>ABS(IF($AQ65="Yes",$AF65*Inputs!I$50,Data!$AF65*Inputs!I$51))</f>
        <v>6185.8914000000004</v>
      </c>
      <c r="BA65" s="308">
        <f>ABS(IF($AQ65="Yes",$AF65*Inputs!J$50,Data!$AF65*Inputs!J$51))</f>
        <v>6185.8914000000004</v>
      </c>
      <c r="BB65" s="308">
        <f>ABS(IF($AQ65="Yes",$AF65*Inputs!K$50,Data!$AF65*Inputs!K$51))</f>
        <v>0</v>
      </c>
      <c r="BC65" s="308">
        <f>ABS(IF($AQ65="Yes",$AF65*Inputs!L$50,Data!$AF65*Inputs!L$51))</f>
        <v>0</v>
      </c>
      <c r="BE65" s="308">
        <f t="shared" si="18"/>
        <v>1123915.7828000002</v>
      </c>
      <c r="BF65" s="308">
        <f t="shared" si="19"/>
        <v>1130101.6742000002</v>
      </c>
      <c r="BG65" s="308">
        <f t="shared" si="20"/>
        <v>1136287.5656000003</v>
      </c>
      <c r="BH65" s="308">
        <f t="shared" si="21"/>
        <v>1142473.4570000004</v>
      </c>
      <c r="BI65" s="308">
        <f t="shared" si="22"/>
        <v>1148659.3484000005</v>
      </c>
      <c r="BJ65" s="308">
        <f t="shared" si="23"/>
        <v>1145194</v>
      </c>
      <c r="BK65" s="308">
        <f t="shared" si="24"/>
        <v>1145194</v>
      </c>
      <c r="BL65" s="308">
        <f t="shared" si="25"/>
        <v>1145194</v>
      </c>
      <c r="BN65" s="308">
        <f t="shared" si="33"/>
        <v>1123915.7828000002</v>
      </c>
      <c r="BO65" s="308">
        <f t="shared" si="34"/>
        <v>1130101.6742000002</v>
      </c>
      <c r="BP65" s="308">
        <f t="shared" si="35"/>
        <v>1136287.5656000003</v>
      </c>
      <c r="BQ65" s="308">
        <f t="shared" si="36"/>
        <v>1142473.4570000004</v>
      </c>
      <c r="BR65" s="308">
        <f t="shared" si="37"/>
        <v>1148659.3484000005</v>
      </c>
      <c r="BS65" s="308">
        <f t="shared" si="38"/>
        <v>1145194</v>
      </c>
      <c r="BT65" s="308">
        <f t="shared" si="39"/>
        <v>1145194</v>
      </c>
      <c r="BU65" s="308">
        <f t="shared" si="26"/>
        <v>1145194</v>
      </c>
    </row>
    <row r="66" spans="1:73" ht="15" x14ac:dyDescent="0.2">
      <c r="A66" s="62" t="s">
        <v>64</v>
      </c>
      <c r="B66" s="55" t="s">
        <v>10</v>
      </c>
      <c r="C66" s="55"/>
      <c r="D66" s="55"/>
      <c r="E66" s="55"/>
      <c r="F66" s="55"/>
      <c r="G66" s="48">
        <v>3</v>
      </c>
      <c r="H66" s="55">
        <v>52</v>
      </c>
      <c r="I66" s="55">
        <f>INDEX('FY 22 OFA Shell'!$K$27:$K$195,MATCH(Data!H66,'FY 22 OFA Shell'!$H$27:$H$195,0))</f>
        <v>4040.75</v>
      </c>
      <c r="J66" s="55">
        <f>INDEX('FY 22 OFA Shell'!$N$27:$N$195,MATCH(Data!H66,'FY 22 OFA Shell'!$H$27:$H$195,0))</f>
        <v>666</v>
      </c>
      <c r="K66" s="64">
        <f>INDEX('FY 22 OFA Shell'!$S$27:$S$195,MATCH(Data!H66,'FY 22 OFA Shell'!$H$27:$H$195,0))</f>
        <v>164</v>
      </c>
      <c r="L66" s="150">
        <f t="shared" si="15"/>
        <v>0.16482088721153251</v>
      </c>
      <c r="M66" s="149">
        <f>MAX(((L66-Inputs!$E$23)*Data!I66)*Inputs!$E$24,0)</f>
        <v>0</v>
      </c>
      <c r="N66" s="151">
        <f>INDEX('FY 22 OFA Shell'!$V$27:$V$195,MATCH(Data!H66,'FY 22 OFA Shell'!$H$27:$H$195,0))</f>
        <v>5372016207</v>
      </c>
      <c r="O66" s="63">
        <f>INDEX('FY 22 OFA Shell'!$W$27:$W$195,MATCH(Data!H66,'FY 22 OFA Shell'!$H$27:$H$195,0))</f>
        <v>25546</v>
      </c>
      <c r="P66" s="65">
        <f>INDEX('FY 22 OFA Shell'!$Z$27:$Z$195,MATCH(Data!H66,'FY 22 OFA Shell'!$H$27:$H$195,0))</f>
        <v>94606</v>
      </c>
      <c r="Q66" s="63">
        <f>INDEX('FY 22 OFA Shell'!$AF$27:$AF$195,MATCH(Data!H66,'FY 22 OFA Shell'!$H$27:$H$195,0))</f>
        <v>0</v>
      </c>
      <c r="R66" s="66">
        <f>INDEX('FY 22 OFA Shell'!$AG$27:$AG$195,MATCH(Data!H66,'FY 22 OFA Shell'!$H$27:$H$195,0))</f>
        <v>0</v>
      </c>
      <c r="S66" s="66">
        <f>INDEX('FY 22 OFA Shell'!$AJ$27:$AJ$195,MATCH(Data!H66,'FY 22 OFA Shell'!$H$27:$H$195,0))</f>
        <v>0</v>
      </c>
      <c r="T66" s="66">
        <f>INDEX('FY 22 OFA Shell'!$AK$27:$AK$195,MATCH(Data!H66,'FY 22 OFA Shell'!$H$27:$H$195,0))</f>
        <v>0</v>
      </c>
      <c r="U66" s="135">
        <v>1095080</v>
      </c>
      <c r="V66" s="67">
        <f>ROUND(J66*Inputs!$E$22, 2)</f>
        <v>199.8</v>
      </c>
      <c r="W66" s="68">
        <f>I66+V66+K66*Inputs!$E$28+Data!M66</f>
        <v>4281.55</v>
      </c>
      <c r="X66" s="69">
        <f t="shared" si="27"/>
        <v>210287.96</v>
      </c>
      <c r="Y66" s="70">
        <f>ROUND(X66/Inputs!$E$32, 6)</f>
        <v>1.0922529999999999</v>
      </c>
      <c r="Z66" s="70">
        <f>ROUND(P66/Inputs!$E$33, 6)</f>
        <v>0.78514899999999999</v>
      </c>
      <c r="AA66" s="59">
        <f>ROUND(1-((Y66*Inputs!$E$29)+Z66*Inputs!$E$27), 6)</f>
        <v>-1.22E-4</v>
      </c>
      <c r="AB66" s="59">
        <v>183.35213792864948</v>
      </c>
      <c r="AC66" s="73">
        <f>INDEX('FY 22 OFA Shell'!$G$27:$G$195,MATCH(Data!H66,'FY 22 OFA Shell'!$H$27:$H$195,0))</f>
        <v>146</v>
      </c>
      <c r="AD66" s="73">
        <f t="shared" si="16"/>
        <v>5</v>
      </c>
      <c r="AE66" s="65">
        <v>1095080</v>
      </c>
      <c r="AF66" s="65">
        <f t="shared" si="28"/>
        <v>-601631</v>
      </c>
      <c r="AG66" s="65">
        <f t="shared" si="29"/>
        <v>-601631</v>
      </c>
      <c r="AH66" s="52">
        <v>887257</v>
      </c>
      <c r="AI66" s="107">
        <v>943540.75</v>
      </c>
      <c r="AJ66">
        <v>5</v>
      </c>
      <c r="AK66">
        <v>6362.439666520404</v>
      </c>
      <c r="AL66" s="165">
        <f>INDEX('FY 22 OFA Shell'!$AU$27:$AU$195,MATCH(Data!H66,'FY 22 OFA Shell'!$H$27:$H$195,0))</f>
        <v>843467</v>
      </c>
      <c r="AM66" s="165">
        <f>Outputs!H71</f>
        <v>493449</v>
      </c>
      <c r="AN66" s="165">
        <f>Outputs!G71+Outputs!D71+Outputs!F71</f>
        <v>493449</v>
      </c>
      <c r="AO66" s="165">
        <v>893279</v>
      </c>
      <c r="AP66" s="165">
        <f t="shared" si="30"/>
        <v>949903.18966652045</v>
      </c>
      <c r="AQ66" s="52" t="str">
        <f t="shared" si="31"/>
        <v>No</v>
      </c>
      <c r="AR66" s="308">
        <f>ABS(IF(AQ66="Yes",AF66*Inputs!$D$50,Data!AF66*Inputs!$D$51))</f>
        <v>0</v>
      </c>
      <c r="AS66" s="308">
        <f t="shared" si="17"/>
        <v>843467</v>
      </c>
      <c r="AT66" s="308">
        <f t="shared" si="32"/>
        <v>843467</v>
      </c>
      <c r="AU66" s="308"/>
      <c r="AV66" s="308">
        <f>ABS(IF($AQ66="Yes",$AF66*Inputs!E$50,Data!$AF66*Inputs!E$51))</f>
        <v>0</v>
      </c>
      <c r="AW66" s="308">
        <f>ABS(IF($AQ66="Yes",$AF66*Inputs!F$50,Data!$AF66*Inputs!F$51))</f>
        <v>50115.862300000001</v>
      </c>
      <c r="AX66" s="308">
        <f>ABS(IF($AQ66="Yes",$AF66*Inputs!G$50,Data!$AF66*Inputs!G$51))</f>
        <v>50115.862300000001</v>
      </c>
      <c r="AY66" s="308">
        <f>ABS(IF($AQ66="Yes",$AF66*Inputs!H$50,Data!$AF66*Inputs!H$51))</f>
        <v>50115.862300000001</v>
      </c>
      <c r="AZ66" s="308">
        <f>ABS(IF($AQ66="Yes",$AF66*Inputs!I$50,Data!$AF66*Inputs!I$51))</f>
        <v>50115.862300000001</v>
      </c>
      <c r="BA66" s="308">
        <f>ABS(IF($AQ66="Yes",$AF66*Inputs!J$50,Data!$AF66*Inputs!J$51))</f>
        <v>50115.862300000001</v>
      </c>
      <c r="BB66" s="308">
        <f>ABS(IF($AQ66="Yes",$AF66*Inputs!K$50,Data!$AF66*Inputs!K$51))</f>
        <v>50115.862300000001</v>
      </c>
      <c r="BC66" s="308">
        <f>ABS(IF($AQ66="Yes",$AF66*Inputs!L$50,Data!$AF66*Inputs!L$51))</f>
        <v>50115.862300000001</v>
      </c>
      <c r="BE66" s="308">
        <f t="shared" si="18"/>
        <v>843467</v>
      </c>
      <c r="BF66" s="308">
        <f t="shared" si="19"/>
        <v>793351.13769999996</v>
      </c>
      <c r="BG66" s="308">
        <f t="shared" si="20"/>
        <v>743235.27539999993</v>
      </c>
      <c r="BH66" s="308">
        <f t="shared" si="21"/>
        <v>693119.41309999989</v>
      </c>
      <c r="BI66" s="308">
        <f t="shared" si="22"/>
        <v>643003.55079999985</v>
      </c>
      <c r="BJ66" s="308">
        <f t="shared" si="23"/>
        <v>592887.68849999981</v>
      </c>
      <c r="BK66" s="308">
        <f t="shared" si="24"/>
        <v>542771.82619999978</v>
      </c>
      <c r="BL66" s="308">
        <f t="shared" si="25"/>
        <v>493449</v>
      </c>
      <c r="BN66" s="308">
        <f t="shared" si="33"/>
        <v>843467</v>
      </c>
      <c r="BO66" s="308">
        <f t="shared" si="34"/>
        <v>793351.13769999996</v>
      </c>
      <c r="BP66" s="308">
        <f t="shared" si="35"/>
        <v>743235.27539999993</v>
      </c>
      <c r="BQ66" s="308">
        <f t="shared" si="36"/>
        <v>693119.41309999989</v>
      </c>
      <c r="BR66" s="308">
        <f t="shared" si="37"/>
        <v>643003.55079999985</v>
      </c>
      <c r="BS66" s="308">
        <f t="shared" si="38"/>
        <v>592887.68849999981</v>
      </c>
      <c r="BT66" s="308">
        <f t="shared" si="39"/>
        <v>542771.82619999978</v>
      </c>
      <c r="BU66" s="308">
        <f t="shared" si="26"/>
        <v>493449</v>
      </c>
    </row>
    <row r="67" spans="1:73" ht="15" x14ac:dyDescent="0.2">
      <c r="A67" s="62" t="s">
        <v>65</v>
      </c>
      <c r="B67" s="55" t="s">
        <v>8</v>
      </c>
      <c r="C67" s="55"/>
      <c r="D67" s="55"/>
      <c r="E67" s="55"/>
      <c r="F67" s="55"/>
      <c r="G67" s="48">
        <v>5</v>
      </c>
      <c r="H67" s="55">
        <v>53</v>
      </c>
      <c r="I67" s="55">
        <f>INDEX('FY 22 OFA Shell'!$K$27:$K$195,MATCH(Data!H67,'FY 22 OFA Shell'!$H$27:$H$195,0))</f>
        <v>210.55</v>
      </c>
      <c r="J67" s="55">
        <f>INDEX('FY 22 OFA Shell'!$N$27:$N$195,MATCH(Data!H67,'FY 22 OFA Shell'!$H$27:$H$195,0))</f>
        <v>41</v>
      </c>
      <c r="K67" s="64">
        <f>INDEX('FY 22 OFA Shell'!$S$27:$S$195,MATCH(Data!H67,'FY 22 OFA Shell'!$H$27:$H$195,0))</f>
        <v>0</v>
      </c>
      <c r="L67" s="150">
        <f t="shared" si="15"/>
        <v>0.1947280930895274</v>
      </c>
      <c r="M67" s="149">
        <f>MAX(((L67-Inputs!$E$23)*Data!I67)*Inputs!$E$24,0)</f>
        <v>0</v>
      </c>
      <c r="N67" s="151">
        <f>INDEX('FY 22 OFA Shell'!$V$27:$V$195,MATCH(Data!H67,'FY 22 OFA Shell'!$H$27:$H$195,0))</f>
        <v>333873795.32999998</v>
      </c>
      <c r="O67" s="63">
        <f>INDEX('FY 22 OFA Shell'!$W$27:$W$195,MATCH(Data!H67,'FY 22 OFA Shell'!$H$27:$H$195,0))</f>
        <v>1842</v>
      </c>
      <c r="P67" s="65">
        <f>INDEX('FY 22 OFA Shell'!$Z$27:$Z$195,MATCH(Data!H67,'FY 22 OFA Shell'!$H$27:$H$195,0))</f>
        <v>94000</v>
      </c>
      <c r="Q67" s="63">
        <f>INDEX('FY 22 OFA Shell'!$AF$27:$AF$195,MATCH(Data!H67,'FY 22 OFA Shell'!$H$27:$H$195,0))</f>
        <v>0</v>
      </c>
      <c r="R67" s="66">
        <f>INDEX('FY 22 OFA Shell'!$AG$27:$AG$195,MATCH(Data!H67,'FY 22 OFA Shell'!$H$27:$H$195,0))</f>
        <v>0</v>
      </c>
      <c r="S67" s="66">
        <f>INDEX('FY 22 OFA Shell'!$AJ$27:$AJ$195,MATCH(Data!H67,'FY 22 OFA Shell'!$H$27:$H$195,0))</f>
        <v>49</v>
      </c>
      <c r="T67" s="66">
        <f>INDEX('FY 22 OFA Shell'!$AK$27:$AK$195,MATCH(Data!H67,'FY 22 OFA Shell'!$H$27:$H$195,0))</f>
        <v>4</v>
      </c>
      <c r="U67" s="135">
        <v>923278</v>
      </c>
      <c r="V67" s="67">
        <f>ROUND(J67*Inputs!$E$22, 2)</f>
        <v>12.3</v>
      </c>
      <c r="W67" s="68">
        <f>I67+V67+K67*Inputs!$E$28+Data!M67</f>
        <v>222.85000000000002</v>
      </c>
      <c r="X67" s="69">
        <f t="shared" si="27"/>
        <v>181256.13</v>
      </c>
      <c r="Y67" s="70">
        <f>ROUND(X67/Inputs!$E$32, 6)</f>
        <v>0.94145900000000005</v>
      </c>
      <c r="Z67" s="70">
        <f>ROUND(P67/Inputs!$E$33, 6)</f>
        <v>0.78012000000000004</v>
      </c>
      <c r="AA67" s="59">
        <f>ROUND(1-((Y67*Inputs!$E$29)+Z67*Inputs!$E$27), 6)</f>
        <v>0.106943</v>
      </c>
      <c r="AB67" s="59">
        <v>223.18460421627378</v>
      </c>
      <c r="AC67" s="73">
        <f>INDEX('FY 22 OFA Shell'!$G$27:$G$195,MATCH(Data!H67,'FY 22 OFA Shell'!$H$27:$H$195,0))</f>
        <v>79</v>
      </c>
      <c r="AD67" s="73">
        <f t="shared" si="16"/>
        <v>5</v>
      </c>
      <c r="AE67" s="65">
        <v>923278</v>
      </c>
      <c r="AF67" s="65">
        <f t="shared" si="28"/>
        <v>-629011</v>
      </c>
      <c r="AG67" s="65">
        <f t="shared" si="29"/>
        <v>-629011</v>
      </c>
      <c r="AH67" s="52">
        <v>798725</v>
      </c>
      <c r="AI67" s="107">
        <v>829080</v>
      </c>
      <c r="AJ67"/>
      <c r="AK67">
        <v>0</v>
      </c>
      <c r="AL67" s="165">
        <f>INDEX('FY 22 OFA Shell'!$AU$27:$AU$195,MATCH(Data!H67,'FY 22 OFA Shell'!$H$27:$H$195,0))</f>
        <v>736256</v>
      </c>
      <c r="AM67" s="165">
        <f>Outputs!H72</f>
        <v>294267</v>
      </c>
      <c r="AN67" s="165">
        <f>Outputs!G72+Outputs!D72+Outputs!F72</f>
        <v>294267</v>
      </c>
      <c r="AO67" s="165">
        <v>784087</v>
      </c>
      <c r="AP67" s="165">
        <f t="shared" si="30"/>
        <v>829080</v>
      </c>
      <c r="AQ67" s="52" t="str">
        <f t="shared" si="31"/>
        <v>No</v>
      </c>
      <c r="AR67" s="308">
        <f>ABS(IF(AQ67="Yes",AF67*Inputs!$D$50,Data!AF67*Inputs!$D$51))</f>
        <v>0</v>
      </c>
      <c r="AS67" s="308">
        <f t="shared" si="17"/>
        <v>736256</v>
      </c>
      <c r="AT67" s="308">
        <f t="shared" si="32"/>
        <v>736256</v>
      </c>
      <c r="AU67" s="308"/>
      <c r="AV67" s="308">
        <f>ABS(IF($AQ67="Yes",$AF67*Inputs!E$50,Data!$AF67*Inputs!E$51))</f>
        <v>0</v>
      </c>
      <c r="AW67" s="308">
        <f>ABS(IF($AQ67="Yes",$AF67*Inputs!F$50,Data!$AF67*Inputs!F$51))</f>
        <v>52396.616300000002</v>
      </c>
      <c r="AX67" s="308">
        <f>ABS(IF($AQ67="Yes",$AF67*Inputs!G$50,Data!$AF67*Inputs!G$51))</f>
        <v>52396.616300000002</v>
      </c>
      <c r="AY67" s="308">
        <f>ABS(IF($AQ67="Yes",$AF67*Inputs!H$50,Data!$AF67*Inputs!H$51))</f>
        <v>52396.616300000002</v>
      </c>
      <c r="AZ67" s="308">
        <f>ABS(IF($AQ67="Yes",$AF67*Inputs!I$50,Data!$AF67*Inputs!I$51))</f>
        <v>52396.616300000002</v>
      </c>
      <c r="BA67" s="308">
        <f>ABS(IF($AQ67="Yes",$AF67*Inputs!J$50,Data!$AF67*Inputs!J$51))</f>
        <v>52396.616300000002</v>
      </c>
      <c r="BB67" s="308">
        <f>ABS(IF($AQ67="Yes",$AF67*Inputs!K$50,Data!$AF67*Inputs!K$51))</f>
        <v>52396.616300000002</v>
      </c>
      <c r="BC67" s="308">
        <f>ABS(IF($AQ67="Yes",$AF67*Inputs!L$50,Data!$AF67*Inputs!L$51))</f>
        <v>52396.616300000002</v>
      </c>
      <c r="BE67" s="308">
        <f t="shared" si="18"/>
        <v>736256</v>
      </c>
      <c r="BF67" s="308">
        <f t="shared" si="19"/>
        <v>683859.38370000001</v>
      </c>
      <c r="BG67" s="308">
        <f t="shared" si="20"/>
        <v>631462.76740000001</v>
      </c>
      <c r="BH67" s="308">
        <f t="shared" si="21"/>
        <v>579066.15110000002</v>
      </c>
      <c r="BI67" s="308">
        <f t="shared" si="22"/>
        <v>526669.53480000002</v>
      </c>
      <c r="BJ67" s="308">
        <f t="shared" si="23"/>
        <v>474272.91850000003</v>
      </c>
      <c r="BK67" s="308">
        <f t="shared" si="24"/>
        <v>421876.30220000003</v>
      </c>
      <c r="BL67" s="308">
        <f t="shared" si="25"/>
        <v>294267</v>
      </c>
      <c r="BN67" s="308">
        <f t="shared" si="33"/>
        <v>736256</v>
      </c>
      <c r="BO67" s="308">
        <f t="shared" si="34"/>
        <v>683859.38370000001</v>
      </c>
      <c r="BP67" s="308">
        <f t="shared" si="35"/>
        <v>631462.76740000001</v>
      </c>
      <c r="BQ67" s="308">
        <f t="shared" si="36"/>
        <v>579066.15110000002</v>
      </c>
      <c r="BR67" s="308">
        <f t="shared" si="37"/>
        <v>526669.53480000002</v>
      </c>
      <c r="BS67" s="308">
        <f t="shared" si="38"/>
        <v>474272.91850000003</v>
      </c>
      <c r="BT67" s="308">
        <f t="shared" si="39"/>
        <v>421876.30220000003</v>
      </c>
      <c r="BU67" s="308">
        <f t="shared" si="26"/>
        <v>294267</v>
      </c>
    </row>
    <row r="68" spans="1:73" ht="15" x14ac:dyDescent="0.2">
      <c r="A68" s="62" t="s">
        <v>66</v>
      </c>
      <c r="B68" s="55" t="s">
        <v>10</v>
      </c>
      <c r="C68" s="55"/>
      <c r="D68" s="55"/>
      <c r="E68" s="55"/>
      <c r="F68" s="55"/>
      <c r="G68" s="48">
        <v>3</v>
      </c>
      <c r="H68" s="55">
        <v>54</v>
      </c>
      <c r="I68" s="55">
        <f>INDEX('FY 22 OFA Shell'!$K$27:$K$195,MATCH(Data!H68,'FY 22 OFA Shell'!$H$27:$H$195,0))</f>
        <v>5817.61</v>
      </c>
      <c r="J68" s="55">
        <f>INDEX('FY 22 OFA Shell'!$N$27:$N$195,MATCH(Data!H68,'FY 22 OFA Shell'!$H$27:$H$195,0))</f>
        <v>791</v>
      </c>
      <c r="K68" s="64">
        <f>INDEX('FY 22 OFA Shell'!$S$27:$S$195,MATCH(Data!H68,'FY 22 OFA Shell'!$H$27:$H$195,0))</f>
        <v>156</v>
      </c>
      <c r="L68" s="150">
        <f t="shared" si="15"/>
        <v>0.13596648795639446</v>
      </c>
      <c r="M68" s="149">
        <f>MAX(((L68-Inputs!$E$23)*Data!I68)*Inputs!$E$24,0)</f>
        <v>0</v>
      </c>
      <c r="N68" s="151">
        <f>INDEX('FY 22 OFA Shell'!$V$27:$V$195,MATCH(Data!H68,'FY 22 OFA Shell'!$H$27:$H$195,0))</f>
        <v>6101830840.6700001</v>
      </c>
      <c r="O68" s="63">
        <f>INDEX('FY 22 OFA Shell'!$W$27:$W$195,MATCH(Data!H68,'FY 22 OFA Shell'!$H$27:$H$195,0))</f>
        <v>34578</v>
      </c>
      <c r="P68" s="65">
        <f>INDEX('FY 22 OFA Shell'!$Z$27:$Z$195,MATCH(Data!H68,'FY 22 OFA Shell'!$H$27:$H$195,0))</f>
        <v>116625</v>
      </c>
      <c r="Q68" s="63">
        <f>INDEX('FY 22 OFA Shell'!$AF$27:$AF$195,MATCH(Data!H68,'FY 22 OFA Shell'!$H$27:$H$195,0))</f>
        <v>0</v>
      </c>
      <c r="R68" s="66">
        <f>INDEX('FY 22 OFA Shell'!$AG$27:$AG$195,MATCH(Data!H68,'FY 22 OFA Shell'!$H$27:$H$195,0))</f>
        <v>0</v>
      </c>
      <c r="S68" s="66">
        <f>INDEX('FY 22 OFA Shell'!$AJ$27:$AJ$195,MATCH(Data!H68,'FY 22 OFA Shell'!$H$27:$H$195,0))</f>
        <v>0</v>
      </c>
      <c r="T68" s="66">
        <f>INDEX('FY 22 OFA Shell'!$AK$27:$AK$195,MATCH(Data!H68,'FY 22 OFA Shell'!$H$27:$H$195,0))</f>
        <v>0</v>
      </c>
      <c r="U68" s="135">
        <v>6654380</v>
      </c>
      <c r="V68" s="67">
        <f>ROUND(J68*Inputs!$E$22, 2)</f>
        <v>237.3</v>
      </c>
      <c r="W68" s="68">
        <f>I68+V68+K68*Inputs!$E$28+Data!M68</f>
        <v>6093.91</v>
      </c>
      <c r="X68" s="69">
        <f t="shared" si="27"/>
        <v>176465.7</v>
      </c>
      <c r="Y68" s="70">
        <f>ROUND(X68/Inputs!$E$32, 6)</f>
        <v>0.91657699999999998</v>
      </c>
      <c r="Z68" s="70">
        <f>ROUND(P68/Inputs!$E$33, 6)</f>
        <v>0.967889</v>
      </c>
      <c r="AA68" s="59">
        <f>ROUND(1-((Y68*Inputs!$E$29)+Z68*Inputs!$E$27), 6)</f>
        <v>6.8029000000000006E-2</v>
      </c>
      <c r="AB68" s="59">
        <v>209.29089407630926</v>
      </c>
      <c r="AC68" s="73">
        <f>INDEX('FY 22 OFA Shell'!$G$27:$G$195,MATCH(Data!H68,'FY 22 OFA Shell'!$H$27:$H$195,0))</f>
        <v>140</v>
      </c>
      <c r="AD68" s="73">
        <f t="shared" si="16"/>
        <v>5</v>
      </c>
      <c r="AE68" s="65">
        <v>6654380</v>
      </c>
      <c r="AF68" s="65">
        <f t="shared" si="28"/>
        <v>-1876546</v>
      </c>
      <c r="AG68" s="65">
        <f t="shared" si="29"/>
        <v>-1876546</v>
      </c>
      <c r="AH68" s="52">
        <v>5723309</v>
      </c>
      <c r="AI68" s="107">
        <v>5865227</v>
      </c>
      <c r="AJ68">
        <v>6</v>
      </c>
      <c r="AK68">
        <v>7634.9275998244848</v>
      </c>
      <c r="AL68" s="165">
        <f>INDEX('FY 22 OFA Shell'!$AU$27:$AU$195,MATCH(Data!H68,'FY 22 OFA Shell'!$H$27:$H$195,0))</f>
        <v>5379255</v>
      </c>
      <c r="AM68" s="165">
        <f>Outputs!H73</f>
        <v>4777834</v>
      </c>
      <c r="AN68" s="165">
        <f>Outputs!G73+Outputs!D73+Outputs!F73</f>
        <v>4777834</v>
      </c>
      <c r="AO68" s="165">
        <v>5605710</v>
      </c>
      <c r="AP68" s="165">
        <f t="shared" si="30"/>
        <v>5872861.927599824</v>
      </c>
      <c r="AQ68" s="52" t="str">
        <f t="shared" si="31"/>
        <v>No</v>
      </c>
      <c r="AR68" s="308">
        <f>ABS(IF(AQ68="Yes",AF68*Inputs!$D$50,Data!AF68*Inputs!$D$51))</f>
        <v>0</v>
      </c>
      <c r="AS68" s="308">
        <f t="shared" si="17"/>
        <v>5379255</v>
      </c>
      <c r="AT68" s="308">
        <f t="shared" si="32"/>
        <v>5379255</v>
      </c>
      <c r="AU68" s="308"/>
      <c r="AV68" s="308">
        <f>ABS(IF($AQ68="Yes",$AF68*Inputs!E$50,Data!$AF68*Inputs!E$51))</f>
        <v>0</v>
      </c>
      <c r="AW68" s="308">
        <f>ABS(IF($AQ68="Yes",$AF68*Inputs!F$50,Data!$AF68*Inputs!F$51))</f>
        <v>156316.2818</v>
      </c>
      <c r="AX68" s="308">
        <f>ABS(IF($AQ68="Yes",$AF68*Inputs!G$50,Data!$AF68*Inputs!G$51))</f>
        <v>156316.2818</v>
      </c>
      <c r="AY68" s="308">
        <f>ABS(IF($AQ68="Yes",$AF68*Inputs!H$50,Data!$AF68*Inputs!H$51))</f>
        <v>156316.2818</v>
      </c>
      <c r="AZ68" s="308">
        <f>ABS(IF($AQ68="Yes",$AF68*Inputs!I$50,Data!$AF68*Inputs!I$51))</f>
        <v>156316.2818</v>
      </c>
      <c r="BA68" s="308">
        <f>ABS(IF($AQ68="Yes",$AF68*Inputs!J$50,Data!$AF68*Inputs!J$51))</f>
        <v>156316.2818</v>
      </c>
      <c r="BB68" s="308">
        <f>ABS(IF($AQ68="Yes",$AF68*Inputs!K$50,Data!$AF68*Inputs!K$51))</f>
        <v>156316.2818</v>
      </c>
      <c r="BC68" s="308">
        <f>ABS(IF($AQ68="Yes",$AF68*Inputs!L$50,Data!$AF68*Inputs!L$51))</f>
        <v>156316.2818</v>
      </c>
      <c r="BE68" s="308">
        <f t="shared" si="18"/>
        <v>5379255</v>
      </c>
      <c r="BF68" s="308">
        <f t="shared" si="19"/>
        <v>5222938.7182</v>
      </c>
      <c r="BG68" s="308">
        <f t="shared" si="20"/>
        <v>5066622.4364</v>
      </c>
      <c r="BH68" s="308">
        <f t="shared" si="21"/>
        <v>4910306.1546</v>
      </c>
      <c r="BI68" s="308">
        <f t="shared" si="22"/>
        <v>4753989.8728</v>
      </c>
      <c r="BJ68" s="308">
        <f t="shared" si="23"/>
        <v>4597673.591</v>
      </c>
      <c r="BK68" s="308">
        <f t="shared" si="24"/>
        <v>4441357.3092</v>
      </c>
      <c r="BL68" s="308">
        <f t="shared" si="25"/>
        <v>4777834</v>
      </c>
      <c r="BN68" s="308">
        <f t="shared" si="33"/>
        <v>5379255</v>
      </c>
      <c r="BO68" s="308">
        <f t="shared" si="34"/>
        <v>5222938.7182</v>
      </c>
      <c r="BP68" s="308">
        <f t="shared" si="35"/>
        <v>5066622.4364</v>
      </c>
      <c r="BQ68" s="308">
        <f t="shared" si="36"/>
        <v>4910306.1546</v>
      </c>
      <c r="BR68" s="308">
        <f t="shared" si="37"/>
        <v>4753989.8728</v>
      </c>
      <c r="BS68" s="308">
        <f t="shared" si="38"/>
        <v>4597673.591</v>
      </c>
      <c r="BT68" s="308">
        <f t="shared" si="39"/>
        <v>4441357.3092</v>
      </c>
      <c r="BU68" s="308">
        <f t="shared" si="26"/>
        <v>4777834</v>
      </c>
    </row>
    <row r="69" spans="1:73" ht="15" x14ac:dyDescent="0.2">
      <c r="A69" s="62" t="s">
        <v>67</v>
      </c>
      <c r="B69" s="55" t="s">
        <v>8</v>
      </c>
      <c r="C69" s="55"/>
      <c r="D69" s="55"/>
      <c r="E69" s="55"/>
      <c r="F69" s="55"/>
      <c r="G69" s="48">
        <v>2</v>
      </c>
      <c r="H69" s="55">
        <v>55</v>
      </c>
      <c r="I69" s="55">
        <f>INDEX('FY 22 OFA Shell'!$K$27:$K$195,MATCH(Data!H69,'FY 22 OFA Shell'!$H$27:$H$195,0))</f>
        <v>330.94</v>
      </c>
      <c r="J69" s="55">
        <f>INDEX('FY 22 OFA Shell'!$N$27:$N$195,MATCH(Data!H69,'FY 22 OFA Shell'!$H$27:$H$195,0))</f>
        <v>74</v>
      </c>
      <c r="K69" s="64">
        <f>INDEX('FY 22 OFA Shell'!$S$27:$S$195,MATCH(Data!H69,'FY 22 OFA Shell'!$H$27:$H$195,0))</f>
        <v>7</v>
      </c>
      <c r="L69" s="150">
        <f t="shared" si="15"/>
        <v>0.22360548739952862</v>
      </c>
      <c r="M69" s="149">
        <f>MAX(((L69-Inputs!$E$23)*Data!I69)*Inputs!$E$24,0)</f>
        <v>0</v>
      </c>
      <c r="N69" s="151">
        <f>INDEX('FY 22 OFA Shell'!$V$27:$V$195,MATCH(Data!H69,'FY 22 OFA Shell'!$H$27:$H$195,0))</f>
        <v>791251335.33000004</v>
      </c>
      <c r="O69" s="63">
        <f>INDEX('FY 22 OFA Shell'!$W$27:$W$195,MATCH(Data!H69,'FY 22 OFA Shell'!$H$27:$H$195,0))</f>
        <v>2903</v>
      </c>
      <c r="P69" s="65">
        <f>INDEX('FY 22 OFA Shell'!$Z$27:$Z$195,MATCH(Data!H69,'FY 22 OFA Shell'!$H$27:$H$195,0))</f>
        <v>98967</v>
      </c>
      <c r="Q69" s="63">
        <f>INDEX('FY 22 OFA Shell'!$AF$27:$AF$195,MATCH(Data!H69,'FY 22 OFA Shell'!$H$27:$H$195,0))</f>
        <v>341</v>
      </c>
      <c r="R69" s="66">
        <f>INDEX('FY 22 OFA Shell'!$AG$27:$AG$195,MATCH(Data!H69,'FY 22 OFA Shell'!$H$27:$H$195,0))</f>
        <v>13</v>
      </c>
      <c r="S69" s="66">
        <f>INDEX('FY 22 OFA Shell'!$AJ$27:$AJ$195,MATCH(Data!H69,'FY 22 OFA Shell'!$H$27:$H$195,0))</f>
        <v>0</v>
      </c>
      <c r="T69" s="66">
        <f>INDEX('FY 22 OFA Shell'!$AK$27:$AK$195,MATCH(Data!H69,'FY 22 OFA Shell'!$H$27:$H$195,0))</f>
        <v>0</v>
      </c>
      <c r="U69" s="135">
        <v>82025</v>
      </c>
      <c r="V69" s="67">
        <f>ROUND(J69*Inputs!$E$22, 2)</f>
        <v>22.2</v>
      </c>
      <c r="W69" s="68">
        <f>I69+V69+K69*Inputs!$E$28+Data!M69</f>
        <v>354.89</v>
      </c>
      <c r="X69" s="69">
        <f t="shared" si="27"/>
        <v>272563.33</v>
      </c>
      <c r="Y69" s="70">
        <f>ROUND(X69/Inputs!$E$32, 6)</f>
        <v>1.415716</v>
      </c>
      <c r="Z69" s="70">
        <f>ROUND(P69/Inputs!$E$33, 6)</f>
        <v>0.82134200000000002</v>
      </c>
      <c r="AA69" s="59">
        <f>ROUND(1-((Y69*Inputs!$E$29)+Z69*Inputs!$E$27), 6)</f>
        <v>-0.237404</v>
      </c>
      <c r="AB69" s="59">
        <v>201.09149574221237</v>
      </c>
      <c r="AC69" s="73">
        <f>INDEX('FY 22 OFA Shell'!$G$27:$G$195,MATCH(Data!H69,'FY 22 OFA Shell'!$H$27:$H$195,0))</f>
        <v>141</v>
      </c>
      <c r="AD69" s="73">
        <f t="shared" si="16"/>
        <v>5</v>
      </c>
      <c r="AE69" s="65">
        <v>82025</v>
      </c>
      <c r="AF69" s="65">
        <f t="shared" si="28"/>
        <v>402176</v>
      </c>
      <c r="AG69" s="65">
        <f t="shared" si="29"/>
        <v>402176</v>
      </c>
      <c r="AH69" s="52">
        <v>71403</v>
      </c>
      <c r="AI69" s="107">
        <v>80959.25</v>
      </c>
      <c r="AJ69"/>
      <c r="AK69">
        <v>0</v>
      </c>
      <c r="AL69" s="165">
        <f>INDEX('FY 22 OFA Shell'!$AU$27:$AU$195,MATCH(Data!H69,'FY 22 OFA Shell'!$H$27:$H$195,0))</f>
        <v>80162</v>
      </c>
      <c r="AM69" s="165">
        <f>Outputs!H74</f>
        <v>484201</v>
      </c>
      <c r="AN69" s="165">
        <f>Outputs!G74+Outputs!D74+Outputs!F74</f>
        <v>484201</v>
      </c>
      <c r="AO69" s="165">
        <v>80429</v>
      </c>
      <c r="AP69" s="165">
        <f t="shared" si="30"/>
        <v>80959.25</v>
      </c>
      <c r="AQ69" s="52" t="str">
        <f t="shared" si="31"/>
        <v>Yes</v>
      </c>
      <c r="AR69" s="308">
        <f>ABS(IF(AQ69="Yes",AF69*Inputs!$D$50,Data!AF69*Inputs!$D$51))</f>
        <v>42871.961600000002</v>
      </c>
      <c r="AS69" s="308">
        <f t="shared" si="17"/>
        <v>123033.96160000001</v>
      </c>
      <c r="AT69" s="308">
        <f t="shared" si="32"/>
        <v>123033.96160000001</v>
      </c>
      <c r="AU69" s="308"/>
      <c r="AV69" s="308">
        <f>ABS(IF($AQ69="Yes",$AF69*Inputs!E$50,Data!$AF69*Inputs!E$51))</f>
        <v>42871.961600000002</v>
      </c>
      <c r="AW69" s="308">
        <f>ABS(IF($AQ69="Yes",$AF69*Inputs!F$50,Data!$AF69*Inputs!F$51))</f>
        <v>42871.961600000002</v>
      </c>
      <c r="AX69" s="308">
        <f>ABS(IF($AQ69="Yes",$AF69*Inputs!G$50,Data!$AF69*Inputs!G$51))</f>
        <v>42871.961600000002</v>
      </c>
      <c r="AY69" s="308">
        <f>ABS(IF($AQ69="Yes",$AF69*Inputs!H$50,Data!$AF69*Inputs!H$51))</f>
        <v>42871.961600000002</v>
      </c>
      <c r="AZ69" s="308">
        <f>ABS(IF($AQ69="Yes",$AF69*Inputs!I$50,Data!$AF69*Inputs!I$51))</f>
        <v>42871.961600000002</v>
      </c>
      <c r="BA69" s="308">
        <f>ABS(IF($AQ69="Yes",$AF69*Inputs!J$50,Data!$AF69*Inputs!J$51))</f>
        <v>42871.961600000002</v>
      </c>
      <c r="BB69" s="308">
        <f>ABS(IF($AQ69="Yes",$AF69*Inputs!K$50,Data!$AF69*Inputs!K$51))</f>
        <v>0</v>
      </c>
      <c r="BC69" s="308">
        <f>ABS(IF($AQ69="Yes",$AF69*Inputs!L$50,Data!$AF69*Inputs!L$51))</f>
        <v>0</v>
      </c>
      <c r="BE69" s="308">
        <f t="shared" si="18"/>
        <v>165905.92320000002</v>
      </c>
      <c r="BF69" s="308">
        <f t="shared" si="19"/>
        <v>208777.88480000003</v>
      </c>
      <c r="BG69" s="308">
        <f t="shared" si="20"/>
        <v>251649.84640000004</v>
      </c>
      <c r="BH69" s="308">
        <f t="shared" si="21"/>
        <v>294521.80800000002</v>
      </c>
      <c r="BI69" s="308">
        <f t="shared" si="22"/>
        <v>337393.7696</v>
      </c>
      <c r="BJ69" s="308">
        <f t="shared" si="23"/>
        <v>484201</v>
      </c>
      <c r="BK69" s="308">
        <f t="shared" si="24"/>
        <v>484201</v>
      </c>
      <c r="BL69" s="308">
        <f t="shared" si="25"/>
        <v>484201</v>
      </c>
      <c r="BN69" s="308">
        <f t="shared" si="33"/>
        <v>165905.92320000002</v>
      </c>
      <c r="BO69" s="308">
        <f t="shared" si="34"/>
        <v>208777.88480000003</v>
      </c>
      <c r="BP69" s="308">
        <f t="shared" si="35"/>
        <v>251649.84640000004</v>
      </c>
      <c r="BQ69" s="308">
        <f t="shared" si="36"/>
        <v>294521.80800000002</v>
      </c>
      <c r="BR69" s="308">
        <f t="shared" si="37"/>
        <v>337393.7696</v>
      </c>
      <c r="BS69" s="308">
        <f t="shared" si="38"/>
        <v>484201</v>
      </c>
      <c r="BT69" s="308">
        <f t="shared" si="39"/>
        <v>484201</v>
      </c>
      <c r="BU69" s="308">
        <f t="shared" si="26"/>
        <v>484201</v>
      </c>
    </row>
    <row r="70" spans="1:73" ht="15" x14ac:dyDescent="0.2">
      <c r="A70" s="62" t="s">
        <v>68</v>
      </c>
      <c r="B70" s="55" t="s">
        <v>10</v>
      </c>
      <c r="C70" s="55"/>
      <c r="D70" s="55"/>
      <c r="E70" s="55"/>
      <c r="F70" s="55"/>
      <c r="G70" s="48">
        <v>5</v>
      </c>
      <c r="H70" s="55">
        <v>56</v>
      </c>
      <c r="I70" s="55">
        <f>INDEX('FY 22 OFA Shell'!$K$27:$K$195,MATCH(Data!H70,'FY 22 OFA Shell'!$H$27:$H$195,0))</f>
        <v>1694.85</v>
      </c>
      <c r="J70" s="55">
        <f>INDEX('FY 22 OFA Shell'!$N$27:$N$195,MATCH(Data!H70,'FY 22 OFA Shell'!$H$27:$H$195,0))</f>
        <v>163</v>
      </c>
      <c r="K70" s="64">
        <f>INDEX('FY 22 OFA Shell'!$S$27:$S$195,MATCH(Data!H70,'FY 22 OFA Shell'!$H$27:$H$195,0))</f>
        <v>3</v>
      </c>
      <c r="L70" s="150">
        <f t="shared" si="15"/>
        <v>9.6173702687553472E-2</v>
      </c>
      <c r="M70" s="149">
        <f>MAX(((L70-Inputs!$E$23)*Data!I70)*Inputs!$E$24,0)</f>
        <v>0</v>
      </c>
      <c r="N70" s="151">
        <f>INDEX('FY 22 OFA Shell'!$V$27:$V$195,MATCH(Data!H70,'FY 22 OFA Shell'!$H$27:$H$195,0))</f>
        <v>1477984689.6700001</v>
      </c>
      <c r="O70" s="63">
        <f>INDEX('FY 22 OFA Shell'!$W$27:$W$195,MATCH(Data!H70,'FY 22 OFA Shell'!$H$27:$H$195,0))</f>
        <v>11305</v>
      </c>
      <c r="P70" s="65">
        <f>INDEX('FY 22 OFA Shell'!$Z$27:$Z$195,MATCH(Data!H70,'FY 22 OFA Shell'!$H$27:$H$195,0))</f>
        <v>121114</v>
      </c>
      <c r="Q70" s="63">
        <f>INDEX('FY 22 OFA Shell'!$AF$27:$AF$195,MATCH(Data!H70,'FY 22 OFA Shell'!$H$27:$H$195,0))</f>
        <v>0</v>
      </c>
      <c r="R70" s="66">
        <f>INDEX('FY 22 OFA Shell'!$AG$27:$AG$195,MATCH(Data!H70,'FY 22 OFA Shell'!$H$27:$H$195,0))</f>
        <v>0</v>
      </c>
      <c r="S70" s="66">
        <f>INDEX('FY 22 OFA Shell'!$AJ$27:$AJ$195,MATCH(Data!H70,'FY 22 OFA Shell'!$H$27:$H$195,0))</f>
        <v>0</v>
      </c>
      <c r="T70" s="66">
        <f>INDEX('FY 22 OFA Shell'!$AK$27:$AK$195,MATCH(Data!H70,'FY 22 OFA Shell'!$H$27:$H$195,0))</f>
        <v>0</v>
      </c>
      <c r="U70" s="135">
        <v>5510220</v>
      </c>
      <c r="V70" s="67">
        <f>ROUND(J70*Inputs!$E$22, 2)</f>
        <v>48.9</v>
      </c>
      <c r="W70" s="68">
        <f>I70+V70+K70*Inputs!$E$28+Data!M70</f>
        <v>1744.5</v>
      </c>
      <c r="X70" s="69">
        <f t="shared" si="27"/>
        <v>130737.26</v>
      </c>
      <c r="Y70" s="70">
        <f>ROUND(X70/Inputs!$E$32, 6)</f>
        <v>0.67906</v>
      </c>
      <c r="Z70" s="70">
        <f>ROUND(P70/Inputs!$E$33, 6)</f>
        <v>1.0051429999999999</v>
      </c>
      <c r="AA70" s="59">
        <f>ROUND(1-((Y70*Inputs!$E$29)+Z70*Inputs!$E$27), 6)</f>
        <v>0.22311500000000001</v>
      </c>
      <c r="AB70" s="59">
        <v>207.42425468524436</v>
      </c>
      <c r="AC70" s="73">
        <f>INDEX('FY 22 OFA Shell'!$G$27:$G$195,MATCH(Data!H70,'FY 22 OFA Shell'!$H$27:$H$195,0))</f>
        <v>129</v>
      </c>
      <c r="AD70" s="73">
        <f t="shared" si="16"/>
        <v>5</v>
      </c>
      <c r="AE70" s="65">
        <v>5510220</v>
      </c>
      <c r="AF70" s="65">
        <f t="shared" si="28"/>
        <v>-1024412</v>
      </c>
      <c r="AG70" s="65">
        <f t="shared" si="29"/>
        <v>-1024412</v>
      </c>
      <c r="AH70" s="52">
        <v>4787152</v>
      </c>
      <c r="AI70" s="107">
        <v>5391340.5</v>
      </c>
      <c r="AJ70"/>
      <c r="AK70">
        <v>0</v>
      </c>
      <c r="AL70" s="165">
        <f>INDEX('FY 22 OFA Shell'!$AU$27:$AU$195,MATCH(Data!H70,'FY 22 OFA Shell'!$H$27:$H$195,0))</f>
        <v>5278314</v>
      </c>
      <c r="AM70" s="165">
        <f>Outputs!H75</f>
        <v>4485808</v>
      </c>
      <c r="AN70" s="165">
        <f>Outputs!G75+Outputs!D75+Outputs!F75</f>
        <v>4485808</v>
      </c>
      <c r="AO70" s="165">
        <v>5330218</v>
      </c>
      <c r="AP70" s="165">
        <f t="shared" si="30"/>
        <v>5391340.5</v>
      </c>
      <c r="AQ70" s="52" t="str">
        <f t="shared" si="31"/>
        <v>No</v>
      </c>
      <c r="AR70" s="308">
        <f>ABS(IF(AQ70="Yes",AF70*Inputs!$D$50,Data!AF70*Inputs!$D$51))</f>
        <v>0</v>
      </c>
      <c r="AS70" s="308">
        <f t="shared" si="17"/>
        <v>5278314</v>
      </c>
      <c r="AT70" s="308">
        <f t="shared" si="32"/>
        <v>5278314</v>
      </c>
      <c r="AU70" s="308"/>
      <c r="AV70" s="308">
        <f>ABS(IF($AQ70="Yes",$AF70*Inputs!E$50,Data!$AF70*Inputs!E$51))</f>
        <v>0</v>
      </c>
      <c r="AW70" s="308">
        <f>ABS(IF($AQ70="Yes",$AF70*Inputs!F$50,Data!$AF70*Inputs!F$51))</f>
        <v>85333.5196</v>
      </c>
      <c r="AX70" s="308">
        <f>ABS(IF($AQ70="Yes",$AF70*Inputs!G$50,Data!$AF70*Inputs!G$51))</f>
        <v>85333.5196</v>
      </c>
      <c r="AY70" s="308">
        <f>ABS(IF($AQ70="Yes",$AF70*Inputs!H$50,Data!$AF70*Inputs!H$51))</f>
        <v>85333.5196</v>
      </c>
      <c r="AZ70" s="308">
        <f>ABS(IF($AQ70="Yes",$AF70*Inputs!I$50,Data!$AF70*Inputs!I$51))</f>
        <v>85333.5196</v>
      </c>
      <c r="BA70" s="308">
        <f>ABS(IF($AQ70="Yes",$AF70*Inputs!J$50,Data!$AF70*Inputs!J$51))</f>
        <v>85333.5196</v>
      </c>
      <c r="BB70" s="308">
        <f>ABS(IF($AQ70="Yes",$AF70*Inputs!K$50,Data!$AF70*Inputs!K$51))</f>
        <v>85333.5196</v>
      </c>
      <c r="BC70" s="308">
        <f>ABS(IF($AQ70="Yes",$AF70*Inputs!L$50,Data!$AF70*Inputs!L$51))</f>
        <v>85333.5196</v>
      </c>
      <c r="BE70" s="308">
        <f t="shared" si="18"/>
        <v>5278314</v>
      </c>
      <c r="BF70" s="308">
        <f t="shared" si="19"/>
        <v>5192980.4803999998</v>
      </c>
      <c r="BG70" s="308">
        <f t="shared" si="20"/>
        <v>5107646.9607999995</v>
      </c>
      <c r="BH70" s="308">
        <f t="shared" si="21"/>
        <v>5022313.4411999993</v>
      </c>
      <c r="BI70" s="308">
        <f t="shared" si="22"/>
        <v>4936979.9215999991</v>
      </c>
      <c r="BJ70" s="308">
        <f t="shared" si="23"/>
        <v>4851646.4019999988</v>
      </c>
      <c r="BK70" s="308">
        <f t="shared" si="24"/>
        <v>4766312.8823999986</v>
      </c>
      <c r="BL70" s="308">
        <f t="shared" si="25"/>
        <v>4485808</v>
      </c>
      <c r="BN70" s="308">
        <f t="shared" si="33"/>
        <v>5278314</v>
      </c>
      <c r="BO70" s="308">
        <f t="shared" si="34"/>
        <v>5192980.4803999998</v>
      </c>
      <c r="BP70" s="308">
        <f t="shared" si="35"/>
        <v>5107646.9607999995</v>
      </c>
      <c r="BQ70" s="308">
        <f t="shared" si="36"/>
        <v>5022313.4411999993</v>
      </c>
      <c r="BR70" s="308">
        <f t="shared" si="37"/>
        <v>4936979.9215999991</v>
      </c>
      <c r="BS70" s="308">
        <f t="shared" si="38"/>
        <v>4851646.4019999988</v>
      </c>
      <c r="BT70" s="308">
        <f t="shared" si="39"/>
        <v>4766312.8823999986</v>
      </c>
      <c r="BU70" s="308">
        <f t="shared" si="26"/>
        <v>4485808</v>
      </c>
    </row>
    <row r="71" spans="1:73" ht="15" x14ac:dyDescent="0.2">
      <c r="A71" s="62" t="s">
        <v>69</v>
      </c>
      <c r="B71" s="55" t="s">
        <v>10</v>
      </c>
      <c r="C71" s="55"/>
      <c r="D71" s="55"/>
      <c r="E71" s="55"/>
      <c r="F71" s="55"/>
      <c r="G71" s="48">
        <v>1</v>
      </c>
      <c r="H71" s="55">
        <v>57</v>
      </c>
      <c r="I71" s="55">
        <f>INDEX('FY 22 OFA Shell'!$K$27:$K$195,MATCH(Data!H71,'FY 22 OFA Shell'!$H$27:$H$195,0))</f>
        <v>8588.06</v>
      </c>
      <c r="J71" s="55">
        <f>INDEX('FY 22 OFA Shell'!$N$27:$N$195,MATCH(Data!H71,'FY 22 OFA Shell'!$H$27:$H$195,0))</f>
        <v>1891</v>
      </c>
      <c r="K71" s="64">
        <f>INDEX('FY 22 OFA Shell'!$S$27:$S$195,MATCH(Data!H71,'FY 22 OFA Shell'!$H$27:$H$195,0))</f>
        <v>353</v>
      </c>
      <c r="L71" s="150">
        <f t="shared" si="15"/>
        <v>0.22018942578417014</v>
      </c>
      <c r="M71" s="149">
        <f>MAX(((L71-Inputs!$E$23)*Data!I71)*Inputs!$E$24,0)</f>
        <v>0</v>
      </c>
      <c r="N71" s="151">
        <f>INDEX('FY 22 OFA Shell'!$V$27:$V$195,MATCH(Data!H71,'FY 22 OFA Shell'!$H$27:$H$195,0))</f>
        <v>49439639594.330002</v>
      </c>
      <c r="O71" s="63">
        <f>INDEX('FY 22 OFA Shell'!$W$27:$W$195,MATCH(Data!H71,'FY 22 OFA Shell'!$H$27:$H$195,0))</f>
        <v>62574</v>
      </c>
      <c r="P71" s="65">
        <f>INDEX('FY 22 OFA Shell'!$Z$27:$Z$195,MATCH(Data!H71,'FY 22 OFA Shell'!$H$27:$H$195,0))</f>
        <v>142819</v>
      </c>
      <c r="Q71" s="63">
        <f>INDEX('FY 22 OFA Shell'!$AF$27:$AF$195,MATCH(Data!H71,'FY 22 OFA Shell'!$H$27:$H$195,0))</f>
        <v>0</v>
      </c>
      <c r="R71" s="66">
        <f>INDEX('FY 22 OFA Shell'!$AG$27:$AG$195,MATCH(Data!H71,'FY 22 OFA Shell'!$H$27:$H$195,0))</f>
        <v>0</v>
      </c>
      <c r="S71" s="66">
        <f>INDEX('FY 22 OFA Shell'!$AJ$27:$AJ$195,MATCH(Data!H71,'FY 22 OFA Shell'!$H$27:$H$195,0))</f>
        <v>0</v>
      </c>
      <c r="T71" s="66">
        <f>INDEX('FY 22 OFA Shell'!$AK$27:$AK$195,MATCH(Data!H71,'FY 22 OFA Shell'!$H$27:$H$195,0))</f>
        <v>0</v>
      </c>
      <c r="U71" s="135">
        <v>136859</v>
      </c>
      <c r="V71" s="67">
        <f>ROUND(J71*Inputs!$E$22, 2)</f>
        <v>567.29999999999995</v>
      </c>
      <c r="W71" s="68">
        <f>I71+V71+K71*Inputs!$E$28+Data!M71</f>
        <v>9243.6099999999988</v>
      </c>
      <c r="X71" s="69">
        <f t="shared" si="27"/>
        <v>790098.76</v>
      </c>
      <c r="Y71" s="70">
        <f>ROUND(X71/Inputs!$E$32, 6)</f>
        <v>4.1038379999999997</v>
      </c>
      <c r="Z71" s="70">
        <f>ROUND(P71/Inputs!$E$33, 6)</f>
        <v>1.185276</v>
      </c>
      <c r="AA71" s="59">
        <f>ROUND(1-((Y71*Inputs!$E$29)+Z71*Inputs!$E$27), 6)</f>
        <v>-2.2282690000000001</v>
      </c>
      <c r="AB71" s="59">
        <v>23.391404472085778</v>
      </c>
      <c r="AC71" s="73">
        <f>INDEX('FY 22 OFA Shell'!$G$27:$G$195,MATCH(Data!H71,'FY 22 OFA Shell'!$H$27:$H$195,0))</f>
        <v>169</v>
      </c>
      <c r="AD71" s="73">
        <f t="shared" si="16"/>
        <v>5</v>
      </c>
      <c r="AE71" s="65">
        <v>136859</v>
      </c>
      <c r="AF71" s="65">
        <f t="shared" si="28"/>
        <v>928467</v>
      </c>
      <c r="AG71" s="65">
        <f t="shared" si="29"/>
        <v>928467</v>
      </c>
      <c r="AH71" s="52">
        <v>32768</v>
      </c>
      <c r="AI71" s="107">
        <v>175368.41399999999</v>
      </c>
      <c r="AJ71">
        <v>5</v>
      </c>
      <c r="AK71">
        <v>6362.439666520404</v>
      </c>
      <c r="AL71" s="165">
        <f>INDEX('FY 22 OFA Shell'!$AU$27:$AU$195,MATCH(Data!H71,'FY 22 OFA Shell'!$H$27:$H$195,0))</f>
        <v>378649</v>
      </c>
      <c r="AM71" s="165">
        <f>Outputs!H76</f>
        <v>1065326</v>
      </c>
      <c r="AN71" s="165">
        <f>Outputs!G76+Outputs!D76+Outputs!F76</f>
        <v>1065326</v>
      </c>
      <c r="AO71" s="165">
        <v>277367</v>
      </c>
      <c r="AP71" s="165">
        <f t="shared" si="30"/>
        <v>181730.85366652039</v>
      </c>
      <c r="AQ71" s="52" t="str">
        <f t="shared" si="31"/>
        <v>Yes</v>
      </c>
      <c r="AR71" s="308">
        <f>ABS(IF(AQ71="Yes",AF71*Inputs!$D$50,Data!AF71*Inputs!$D$51))</f>
        <v>98974.582200000004</v>
      </c>
      <c r="AS71" s="308">
        <f t="shared" si="17"/>
        <v>477623.5822</v>
      </c>
      <c r="AT71" s="308">
        <f t="shared" si="32"/>
        <v>477623.5822</v>
      </c>
      <c r="AU71" s="308"/>
      <c r="AV71" s="308">
        <f>ABS(IF($AQ71="Yes",$AF71*Inputs!E$50,Data!$AF71*Inputs!E$51))</f>
        <v>98974.582200000004</v>
      </c>
      <c r="AW71" s="308">
        <f>ABS(IF($AQ71="Yes",$AF71*Inputs!F$50,Data!$AF71*Inputs!F$51))</f>
        <v>98974.582200000004</v>
      </c>
      <c r="AX71" s="308">
        <f>ABS(IF($AQ71="Yes",$AF71*Inputs!G$50,Data!$AF71*Inputs!G$51))</f>
        <v>98974.582200000004</v>
      </c>
      <c r="AY71" s="308">
        <f>ABS(IF($AQ71="Yes",$AF71*Inputs!H$50,Data!$AF71*Inputs!H$51))</f>
        <v>98974.582200000004</v>
      </c>
      <c r="AZ71" s="308">
        <f>ABS(IF($AQ71="Yes",$AF71*Inputs!I$50,Data!$AF71*Inputs!I$51))</f>
        <v>98974.582200000004</v>
      </c>
      <c r="BA71" s="308">
        <f>ABS(IF($AQ71="Yes",$AF71*Inputs!J$50,Data!$AF71*Inputs!J$51))</f>
        <v>98974.582200000004</v>
      </c>
      <c r="BB71" s="308">
        <f>ABS(IF($AQ71="Yes",$AF71*Inputs!K$50,Data!$AF71*Inputs!K$51))</f>
        <v>0</v>
      </c>
      <c r="BC71" s="308">
        <f>ABS(IF($AQ71="Yes",$AF71*Inputs!L$50,Data!$AF71*Inputs!L$51))</f>
        <v>0</v>
      </c>
      <c r="BE71" s="308">
        <f t="shared" si="18"/>
        <v>576598.16440000001</v>
      </c>
      <c r="BF71" s="308">
        <f t="shared" si="19"/>
        <v>675572.74659999995</v>
      </c>
      <c r="BG71" s="308">
        <f t="shared" si="20"/>
        <v>774547.32880000002</v>
      </c>
      <c r="BH71" s="308">
        <f t="shared" si="21"/>
        <v>873521.91100000008</v>
      </c>
      <c r="BI71" s="308">
        <f t="shared" si="22"/>
        <v>972496.49320000014</v>
      </c>
      <c r="BJ71" s="308">
        <f t="shared" si="23"/>
        <v>1065326</v>
      </c>
      <c r="BK71" s="308">
        <f t="shared" si="24"/>
        <v>1065326</v>
      </c>
      <c r="BL71" s="308">
        <f t="shared" si="25"/>
        <v>1065326</v>
      </c>
      <c r="BN71" s="308">
        <f t="shared" si="33"/>
        <v>576598.16440000001</v>
      </c>
      <c r="BO71" s="308">
        <f t="shared" si="34"/>
        <v>675572.74659999995</v>
      </c>
      <c r="BP71" s="308">
        <f t="shared" si="35"/>
        <v>774547.32880000002</v>
      </c>
      <c r="BQ71" s="308">
        <f t="shared" si="36"/>
        <v>873521.91100000008</v>
      </c>
      <c r="BR71" s="308">
        <f t="shared" si="37"/>
        <v>972496.49320000014</v>
      </c>
      <c r="BS71" s="308">
        <f t="shared" si="38"/>
        <v>1065326</v>
      </c>
      <c r="BT71" s="308">
        <f t="shared" si="39"/>
        <v>1065326</v>
      </c>
      <c r="BU71" s="308">
        <f t="shared" si="26"/>
        <v>1065326</v>
      </c>
    </row>
    <row r="72" spans="1:73" ht="15" x14ac:dyDescent="0.2">
      <c r="A72" s="62" t="s">
        <v>70</v>
      </c>
      <c r="B72" s="55" t="s">
        <v>32</v>
      </c>
      <c r="C72" s="55"/>
      <c r="D72" s="55"/>
      <c r="E72" s="55"/>
      <c r="F72" s="55"/>
      <c r="G72" s="48">
        <v>9</v>
      </c>
      <c r="H72" s="55">
        <v>58</v>
      </c>
      <c r="I72" s="55">
        <f>INDEX('FY 22 OFA Shell'!$K$27:$K$195,MATCH(Data!H72,'FY 22 OFA Shell'!$H$27:$H$195,0))</f>
        <v>1546.15</v>
      </c>
      <c r="J72" s="55">
        <f>INDEX('FY 22 OFA Shell'!$N$27:$N$195,MATCH(Data!H72,'FY 22 OFA Shell'!$H$27:$H$195,0))</f>
        <v>788</v>
      </c>
      <c r="K72" s="64">
        <f>INDEX('FY 22 OFA Shell'!$S$27:$S$195,MATCH(Data!H72,'FY 22 OFA Shell'!$H$27:$H$195,0))</f>
        <v>21</v>
      </c>
      <c r="L72" s="150">
        <f t="shared" si="15"/>
        <v>0.50965300908708722</v>
      </c>
      <c r="M72" s="149">
        <f>MAX(((L72-Inputs!$E$23)*Data!I72)*Inputs!$E$24,0)</f>
        <v>0</v>
      </c>
      <c r="N72" s="151">
        <f>INDEX('FY 22 OFA Shell'!$V$27:$V$195,MATCH(Data!H72,'FY 22 OFA Shell'!$H$27:$H$195,0))</f>
        <v>1068224850</v>
      </c>
      <c r="O72" s="63">
        <f>INDEX('FY 22 OFA Shell'!$W$27:$W$195,MATCH(Data!H72,'FY 22 OFA Shell'!$H$27:$H$195,0))</f>
        <v>11693</v>
      </c>
      <c r="P72" s="65">
        <f>INDEX('FY 22 OFA Shell'!$Z$27:$Z$195,MATCH(Data!H72,'FY 22 OFA Shell'!$H$27:$H$195,0))</f>
        <v>62542</v>
      </c>
      <c r="Q72" s="63">
        <f>INDEX('FY 22 OFA Shell'!$AF$27:$AF$195,MATCH(Data!H72,'FY 22 OFA Shell'!$H$27:$H$195,0))</f>
        <v>0</v>
      </c>
      <c r="R72" s="66">
        <f>INDEX('FY 22 OFA Shell'!$AG$27:$AG$195,MATCH(Data!H72,'FY 22 OFA Shell'!$H$27:$H$195,0))</f>
        <v>0</v>
      </c>
      <c r="S72" s="66">
        <f>INDEX('FY 22 OFA Shell'!$AJ$27:$AJ$195,MATCH(Data!H72,'FY 22 OFA Shell'!$H$27:$H$195,0))</f>
        <v>0</v>
      </c>
      <c r="T72" s="66">
        <f>INDEX('FY 22 OFA Shell'!$AK$27:$AK$195,MATCH(Data!H72,'FY 22 OFA Shell'!$H$27:$H$195,0))</f>
        <v>0</v>
      </c>
      <c r="U72" s="135">
        <v>10775767</v>
      </c>
      <c r="V72" s="67">
        <f>ROUND(J72*Inputs!$E$22, 2)</f>
        <v>236.4</v>
      </c>
      <c r="W72" s="68">
        <f>I72+V72+K72*Inputs!$E$28+Data!M72</f>
        <v>1787.8000000000002</v>
      </c>
      <c r="X72" s="69">
        <f t="shared" si="27"/>
        <v>91355.93</v>
      </c>
      <c r="Y72" s="70">
        <f>ROUND(X72/Inputs!$E$32, 6)</f>
        <v>0.47450999999999999</v>
      </c>
      <c r="Z72" s="70">
        <f>ROUND(P72/Inputs!$E$33, 6)</f>
        <v>0.51904600000000001</v>
      </c>
      <c r="AA72" s="59">
        <f>ROUND(1-((Y72*Inputs!$E$29)+Z72*Inputs!$E$27), 6)</f>
        <v>0.51212899999999995</v>
      </c>
      <c r="AB72" s="59">
        <v>288.67889595758743</v>
      </c>
      <c r="AC72" s="73">
        <f>INDEX('FY 22 OFA Shell'!$G$27:$G$195,MATCH(Data!H72,'FY 22 OFA Shell'!$H$27:$H$195,0))</f>
        <v>22</v>
      </c>
      <c r="AD72" s="73">
        <f t="shared" si="16"/>
        <v>5</v>
      </c>
      <c r="AE72" s="65">
        <v>10775767</v>
      </c>
      <c r="AF72" s="65">
        <f t="shared" si="28"/>
        <v>-223659</v>
      </c>
      <c r="AG72" s="65">
        <f t="shared" si="29"/>
        <v>-223659</v>
      </c>
      <c r="AH72" s="52">
        <v>9348488</v>
      </c>
      <c r="AI72" s="107">
        <v>10797966.368000001</v>
      </c>
      <c r="AJ72">
        <v>1</v>
      </c>
      <c r="AK72">
        <v>1272.4879333040808</v>
      </c>
      <c r="AL72" s="165">
        <f>INDEX('FY 22 OFA Shell'!$AU$27:$AU$195,MATCH(Data!H72,'FY 22 OFA Shell'!$H$27:$H$195,0))</f>
        <v>10925151</v>
      </c>
      <c r="AM72" s="165">
        <f>Outputs!H77</f>
        <v>10552108</v>
      </c>
      <c r="AN72" s="165">
        <f>Outputs!G77+Outputs!D77+Outputs!F77</f>
        <v>10552108</v>
      </c>
      <c r="AO72" s="165">
        <v>10875603</v>
      </c>
      <c r="AP72" s="165">
        <f t="shared" si="30"/>
        <v>10799238.855933305</v>
      </c>
      <c r="AQ72" s="52" t="str">
        <f t="shared" si="31"/>
        <v>No</v>
      </c>
      <c r="AR72" s="308">
        <f>ABS(IF(AQ72="Yes",AF72*Inputs!$D$50,Data!AF72*Inputs!$D$51))</f>
        <v>0</v>
      </c>
      <c r="AS72" s="308">
        <f t="shared" si="17"/>
        <v>10925151</v>
      </c>
      <c r="AT72" s="308">
        <f t="shared" si="32"/>
        <v>10925151</v>
      </c>
      <c r="AU72" s="308"/>
      <c r="AV72" s="308">
        <f>ABS(IF($AQ72="Yes",$AF72*Inputs!E$50,Data!$AF72*Inputs!E$51))</f>
        <v>0</v>
      </c>
      <c r="AW72" s="308">
        <f>ABS(IF($AQ72="Yes",$AF72*Inputs!F$50,Data!$AF72*Inputs!F$51))</f>
        <v>18630.794699999999</v>
      </c>
      <c r="AX72" s="308">
        <f>ABS(IF($AQ72="Yes",$AF72*Inputs!G$50,Data!$AF72*Inputs!G$51))</f>
        <v>18630.794699999999</v>
      </c>
      <c r="AY72" s="308">
        <f>ABS(IF($AQ72="Yes",$AF72*Inputs!H$50,Data!$AF72*Inputs!H$51))</f>
        <v>18630.794699999999</v>
      </c>
      <c r="AZ72" s="308">
        <f>ABS(IF($AQ72="Yes",$AF72*Inputs!I$50,Data!$AF72*Inputs!I$51))</f>
        <v>18630.794699999999</v>
      </c>
      <c r="BA72" s="308">
        <f>ABS(IF($AQ72="Yes",$AF72*Inputs!J$50,Data!$AF72*Inputs!J$51))</f>
        <v>18630.794699999999</v>
      </c>
      <c r="BB72" s="308">
        <f>ABS(IF($AQ72="Yes",$AF72*Inputs!K$50,Data!$AF72*Inputs!K$51))</f>
        <v>18630.794699999999</v>
      </c>
      <c r="BC72" s="308">
        <f>ABS(IF($AQ72="Yes",$AF72*Inputs!L$50,Data!$AF72*Inputs!L$51))</f>
        <v>18630.794699999999</v>
      </c>
      <c r="BE72" s="308">
        <f t="shared" si="18"/>
        <v>10925151</v>
      </c>
      <c r="BF72" s="308">
        <f t="shared" si="19"/>
        <v>10906520.2053</v>
      </c>
      <c r="BG72" s="308">
        <f t="shared" si="20"/>
        <v>10887889.410599999</v>
      </c>
      <c r="BH72" s="308">
        <f t="shared" si="21"/>
        <v>10869258.615899999</v>
      </c>
      <c r="BI72" s="308">
        <f t="shared" si="22"/>
        <v>10850627.821199998</v>
      </c>
      <c r="BJ72" s="308">
        <f t="shared" si="23"/>
        <v>10831997.026499998</v>
      </c>
      <c r="BK72" s="308">
        <f t="shared" si="24"/>
        <v>10813366.231799997</v>
      </c>
      <c r="BL72" s="308">
        <f t="shared" si="25"/>
        <v>10552108</v>
      </c>
      <c r="BN72" s="308">
        <f t="shared" si="33"/>
        <v>10925151</v>
      </c>
      <c r="BO72" s="308">
        <f t="shared" si="34"/>
        <v>10906520.2053</v>
      </c>
      <c r="BP72" s="308">
        <f t="shared" si="35"/>
        <v>10887889.410599999</v>
      </c>
      <c r="BQ72" s="308">
        <f t="shared" si="36"/>
        <v>10869258.615899999</v>
      </c>
      <c r="BR72" s="308">
        <f t="shared" si="37"/>
        <v>10850627.821199998</v>
      </c>
      <c r="BS72" s="308">
        <f t="shared" si="38"/>
        <v>10831997.026499998</v>
      </c>
      <c r="BT72" s="308">
        <f t="shared" si="39"/>
        <v>10813366.231799997</v>
      </c>
      <c r="BU72" s="308">
        <f t="shared" si="26"/>
        <v>10552108</v>
      </c>
    </row>
    <row r="73" spans="1:73" ht="15" x14ac:dyDescent="0.2">
      <c r="A73" s="62" t="s">
        <v>71</v>
      </c>
      <c r="B73" s="55" t="s">
        <v>19</v>
      </c>
      <c r="C73" s="55"/>
      <c r="D73" s="55">
        <v>1</v>
      </c>
      <c r="E73" s="55"/>
      <c r="F73" s="55"/>
      <c r="G73" s="48">
        <v>8</v>
      </c>
      <c r="H73" s="55">
        <v>59</v>
      </c>
      <c r="I73" s="55">
        <f>INDEX('FY 22 OFA Shell'!$K$27:$K$195,MATCH(Data!H73,'FY 22 OFA Shell'!$H$27:$H$195,0))</f>
        <v>4448.07</v>
      </c>
      <c r="J73" s="55">
        <f>INDEX('FY 22 OFA Shell'!$N$27:$N$195,MATCH(Data!H73,'FY 22 OFA Shell'!$H$27:$H$195,0))</f>
        <v>2390</v>
      </c>
      <c r="K73" s="64">
        <f>INDEX('FY 22 OFA Shell'!$S$27:$S$195,MATCH(Data!H73,'FY 22 OFA Shell'!$H$27:$H$195,0))</f>
        <v>169</v>
      </c>
      <c r="L73" s="150">
        <f t="shared" si="15"/>
        <v>0.53731168799052176</v>
      </c>
      <c r="M73" s="149">
        <f>MAX(((L73-Inputs!$E$23)*Data!I73)*Inputs!$E$24,0)</f>
        <v>0</v>
      </c>
      <c r="N73" s="151">
        <f>INDEX('FY 22 OFA Shell'!$V$27:$V$195,MATCH(Data!H73,'FY 22 OFA Shell'!$H$27:$H$195,0))</f>
        <v>5815454006</v>
      </c>
      <c r="O73" s="63">
        <f>INDEX('FY 22 OFA Shell'!$W$27:$W$195,MATCH(Data!H73,'FY 22 OFA Shell'!$H$27:$H$195,0))</f>
        <v>39105</v>
      </c>
      <c r="P73" s="65">
        <f>INDEX('FY 22 OFA Shell'!$Z$27:$Z$195,MATCH(Data!H73,'FY 22 OFA Shell'!$H$27:$H$195,0))</f>
        <v>66999</v>
      </c>
      <c r="Q73" s="63">
        <f>INDEX('FY 22 OFA Shell'!$AF$27:$AF$195,MATCH(Data!H73,'FY 22 OFA Shell'!$H$27:$H$195,0))</f>
        <v>0</v>
      </c>
      <c r="R73" s="66">
        <f>INDEX('FY 22 OFA Shell'!$AG$27:$AG$195,MATCH(Data!H73,'FY 22 OFA Shell'!$H$27:$H$195,0))</f>
        <v>0</v>
      </c>
      <c r="S73" s="66">
        <f>INDEX('FY 22 OFA Shell'!$AJ$27:$AJ$195,MATCH(Data!H73,'FY 22 OFA Shell'!$H$27:$H$195,0))</f>
        <v>0</v>
      </c>
      <c r="T73" s="66">
        <f>INDEX('FY 22 OFA Shell'!$AK$27:$AK$195,MATCH(Data!H73,'FY 22 OFA Shell'!$H$27:$H$195,0))</f>
        <v>0</v>
      </c>
      <c r="U73" s="135">
        <v>25040045</v>
      </c>
      <c r="V73" s="67">
        <f>ROUND(J73*Inputs!$E$22, 2)</f>
        <v>717</v>
      </c>
      <c r="W73" s="68">
        <f>I73+V73+K73*Inputs!$E$28+Data!M73</f>
        <v>5207.32</v>
      </c>
      <c r="X73" s="69">
        <f t="shared" si="27"/>
        <v>148713.82</v>
      </c>
      <c r="Y73" s="70">
        <f>ROUND(X73/Inputs!$E$32, 6)</f>
        <v>0.77243200000000001</v>
      </c>
      <c r="Z73" s="70">
        <f>ROUND(P73/Inputs!$E$33, 6)</f>
        <v>0.55603499999999995</v>
      </c>
      <c r="AA73" s="59">
        <f>ROUND(1-((Y73*Inputs!$E$29)+Z73*Inputs!$E$27), 6)</f>
        <v>0.292487</v>
      </c>
      <c r="AB73" s="59">
        <v>236.59854401982864</v>
      </c>
      <c r="AC73" s="73">
        <f>INDEX('FY 22 OFA Shell'!$G$27:$G$195,MATCH(Data!H73,'FY 22 OFA Shell'!$H$27:$H$195,0))</f>
        <v>49</v>
      </c>
      <c r="AD73" s="73">
        <f t="shared" si="16"/>
        <v>5</v>
      </c>
      <c r="AE73" s="65">
        <v>25040045</v>
      </c>
      <c r="AF73" s="65">
        <f t="shared" si="28"/>
        <v>-7486624</v>
      </c>
      <c r="AG73" s="65">
        <f t="shared" si="29"/>
        <v>0</v>
      </c>
      <c r="AH73" s="52">
        <v>24898096</v>
      </c>
      <c r="AI73" s="107">
        <v>25040045</v>
      </c>
      <c r="AJ73">
        <v>13</v>
      </c>
      <c r="AK73">
        <v>16542.34313295305</v>
      </c>
      <c r="AL73" s="165">
        <f>INDEX('FY 22 OFA Shell'!$AU$27:$AU$195,MATCH(Data!H73,'FY 22 OFA Shell'!$H$27:$H$195,0))</f>
        <v>25040045</v>
      </c>
      <c r="AM73" s="165">
        <f>Outputs!H78</f>
        <v>25040045</v>
      </c>
      <c r="AN73" s="165">
        <f>Outputs!G78+Outputs!D78+Outputs!F78</f>
        <v>17553421</v>
      </c>
      <c r="AO73" s="165">
        <v>25040045</v>
      </c>
      <c r="AP73" s="165">
        <f t="shared" si="30"/>
        <v>25056587.343132954</v>
      </c>
      <c r="AQ73" s="52" t="str">
        <f t="shared" si="31"/>
        <v>No</v>
      </c>
      <c r="AR73" s="308">
        <f>ABS(IF(AQ73="Yes",AF73*Inputs!$D$50,Data!AF73*Inputs!$D$51))</f>
        <v>0</v>
      </c>
      <c r="AS73" s="308">
        <f t="shared" si="17"/>
        <v>25040045</v>
      </c>
      <c r="AT73" s="308">
        <f t="shared" si="32"/>
        <v>25040045</v>
      </c>
      <c r="AU73" s="308"/>
      <c r="AV73" s="308">
        <f>ABS(IF($AQ73="Yes",$AF73*Inputs!E$50,Data!$AF73*Inputs!E$51))</f>
        <v>0</v>
      </c>
      <c r="AW73" s="308">
        <f>ABS(IF($AQ73="Yes",$AF73*Inputs!F$50,Data!$AF73*Inputs!F$51))</f>
        <v>623635.77919999999</v>
      </c>
      <c r="AX73" s="308">
        <f>ABS(IF($AQ73="Yes",$AF73*Inputs!G$50,Data!$AF73*Inputs!G$51))</f>
        <v>623635.77919999999</v>
      </c>
      <c r="AY73" s="308">
        <f>ABS(IF($AQ73="Yes",$AF73*Inputs!H$50,Data!$AF73*Inputs!H$51))</f>
        <v>623635.77919999999</v>
      </c>
      <c r="AZ73" s="308">
        <f>ABS(IF($AQ73="Yes",$AF73*Inputs!I$50,Data!$AF73*Inputs!I$51))</f>
        <v>623635.77919999999</v>
      </c>
      <c r="BA73" s="308">
        <f>ABS(IF($AQ73="Yes",$AF73*Inputs!J$50,Data!$AF73*Inputs!J$51))</f>
        <v>623635.77919999999</v>
      </c>
      <c r="BB73" s="308">
        <f>ABS(IF($AQ73="Yes",$AF73*Inputs!K$50,Data!$AF73*Inputs!K$51))</f>
        <v>623635.77919999999</v>
      </c>
      <c r="BC73" s="308">
        <f>ABS(IF($AQ73="Yes",$AF73*Inputs!L$50,Data!$AF73*Inputs!L$51))</f>
        <v>623635.77919999999</v>
      </c>
      <c r="BE73" s="308">
        <f t="shared" si="18"/>
        <v>25040045</v>
      </c>
      <c r="BF73" s="308">
        <f t="shared" si="19"/>
        <v>24416409.220800001</v>
      </c>
      <c r="BG73" s="308">
        <f t="shared" si="20"/>
        <v>23792773.441600002</v>
      </c>
      <c r="BH73" s="308">
        <f t="shared" si="21"/>
        <v>23169137.662400004</v>
      </c>
      <c r="BI73" s="308">
        <f t="shared" si="22"/>
        <v>22545501.883200005</v>
      </c>
      <c r="BJ73" s="308">
        <f t="shared" si="23"/>
        <v>21921866.104000006</v>
      </c>
      <c r="BK73" s="308">
        <f t="shared" si="24"/>
        <v>21298230.324800007</v>
      </c>
      <c r="BL73" s="308">
        <f t="shared" si="25"/>
        <v>17553421</v>
      </c>
      <c r="BN73" s="308">
        <f t="shared" si="33"/>
        <v>25040045</v>
      </c>
      <c r="BO73" s="308">
        <f t="shared" si="34"/>
        <v>25040045</v>
      </c>
      <c r="BP73" s="308">
        <f t="shared" si="35"/>
        <v>25040045</v>
      </c>
      <c r="BQ73" s="308">
        <f t="shared" si="36"/>
        <v>25040045</v>
      </c>
      <c r="BR73" s="308">
        <f t="shared" si="37"/>
        <v>25040045</v>
      </c>
      <c r="BS73" s="308">
        <f t="shared" si="38"/>
        <v>25040045</v>
      </c>
      <c r="BT73" s="308">
        <f t="shared" si="39"/>
        <v>25040045</v>
      </c>
      <c r="BU73" s="308">
        <f t="shared" si="26"/>
        <v>25040045</v>
      </c>
    </row>
    <row r="74" spans="1:73" ht="15" x14ac:dyDescent="0.2">
      <c r="A74" s="62" t="s">
        <v>72</v>
      </c>
      <c r="B74" s="55" t="s">
        <v>10</v>
      </c>
      <c r="C74" s="55"/>
      <c r="D74" s="55"/>
      <c r="E74" s="55"/>
      <c r="F74" s="55"/>
      <c r="G74" s="48">
        <v>2</v>
      </c>
      <c r="H74" s="55">
        <v>60</v>
      </c>
      <c r="I74" s="55">
        <f>INDEX('FY 22 OFA Shell'!$K$27:$K$195,MATCH(Data!H74,'FY 22 OFA Shell'!$H$27:$H$195,0))</f>
        <v>3138.89</v>
      </c>
      <c r="J74" s="55">
        <f>INDEX('FY 22 OFA Shell'!$N$27:$N$195,MATCH(Data!H74,'FY 22 OFA Shell'!$H$27:$H$195,0))</f>
        <v>410</v>
      </c>
      <c r="K74" s="64">
        <f>INDEX('FY 22 OFA Shell'!$S$27:$S$195,MATCH(Data!H74,'FY 22 OFA Shell'!$H$27:$H$195,0))</f>
        <v>59</v>
      </c>
      <c r="L74" s="150">
        <f t="shared" si="15"/>
        <v>0.13061942278958485</v>
      </c>
      <c r="M74" s="149">
        <f>MAX(((L74-Inputs!$E$23)*Data!I74)*Inputs!$E$24,0)</f>
        <v>0</v>
      </c>
      <c r="N74" s="151">
        <f>INDEX('FY 22 OFA Shell'!$V$27:$V$195,MATCH(Data!H74,'FY 22 OFA Shell'!$H$27:$H$195,0))</f>
        <v>4519394206.6700001</v>
      </c>
      <c r="O74" s="63">
        <f>INDEX('FY 22 OFA Shell'!$W$27:$W$195,MATCH(Data!H74,'FY 22 OFA Shell'!$H$27:$H$195,0))</f>
        <v>22285</v>
      </c>
      <c r="P74" s="65">
        <f>INDEX('FY 22 OFA Shell'!$Z$27:$Z$195,MATCH(Data!H74,'FY 22 OFA Shell'!$H$27:$H$195,0))</f>
        <v>110000</v>
      </c>
      <c r="Q74" s="63">
        <f>INDEX('FY 22 OFA Shell'!$AF$27:$AF$195,MATCH(Data!H74,'FY 22 OFA Shell'!$H$27:$H$195,0))</f>
        <v>0</v>
      </c>
      <c r="R74" s="66">
        <f>INDEX('FY 22 OFA Shell'!$AG$27:$AG$195,MATCH(Data!H74,'FY 22 OFA Shell'!$H$27:$H$195,0))</f>
        <v>0</v>
      </c>
      <c r="S74" s="66">
        <f>INDEX('FY 22 OFA Shell'!$AJ$27:$AJ$195,MATCH(Data!H74,'FY 22 OFA Shell'!$H$27:$H$195,0))</f>
        <v>0</v>
      </c>
      <c r="T74" s="66">
        <f>INDEX('FY 22 OFA Shell'!$AK$27:$AK$195,MATCH(Data!H74,'FY 22 OFA Shell'!$H$27:$H$195,0))</f>
        <v>0</v>
      </c>
      <c r="U74" s="135">
        <v>2740394</v>
      </c>
      <c r="V74" s="67">
        <f>ROUND(J74*Inputs!$E$22, 2)</f>
        <v>123</v>
      </c>
      <c r="W74" s="68">
        <f>I74+V74+K74*Inputs!$E$28+Data!M74</f>
        <v>3276.64</v>
      </c>
      <c r="X74" s="69">
        <f t="shared" si="27"/>
        <v>202799.83</v>
      </c>
      <c r="Y74" s="70">
        <f>ROUND(X74/Inputs!$E$32, 6)</f>
        <v>1.0533589999999999</v>
      </c>
      <c r="Z74" s="70">
        <f>ROUND(P74/Inputs!$E$33, 6)</f>
        <v>0.91290700000000002</v>
      </c>
      <c r="AA74" s="59">
        <f>ROUND(1-((Y74*Inputs!$E$29)+Z74*Inputs!$E$27), 6)</f>
        <v>-1.1223E-2</v>
      </c>
      <c r="AB74" s="59">
        <v>182.0811947745994</v>
      </c>
      <c r="AC74" s="73">
        <f>INDEX('FY 22 OFA Shell'!$G$27:$G$195,MATCH(Data!H74,'FY 22 OFA Shell'!$H$27:$H$195,0))</f>
        <v>150</v>
      </c>
      <c r="AD74" s="73">
        <f t="shared" si="16"/>
        <v>5</v>
      </c>
      <c r="AE74" s="65">
        <v>2740394</v>
      </c>
      <c r="AF74" s="65">
        <f t="shared" si="28"/>
        <v>-2362761</v>
      </c>
      <c r="AG74" s="65">
        <f t="shared" si="29"/>
        <v>-2362761</v>
      </c>
      <c r="AH74" s="52">
        <v>2349009</v>
      </c>
      <c r="AI74" s="107">
        <v>2156390</v>
      </c>
      <c r="AJ74"/>
      <c r="AK74">
        <v>0</v>
      </c>
      <c r="AL74" s="165">
        <f>INDEX('FY 22 OFA Shell'!$AU$27:$AU$195,MATCH(Data!H74,'FY 22 OFA Shell'!$H$27:$H$195,0))</f>
        <v>1766084</v>
      </c>
      <c r="AM74" s="165">
        <f>Outputs!H79</f>
        <v>377633</v>
      </c>
      <c r="AN74" s="165">
        <f>Outputs!G79+Outputs!D79+Outputs!F79</f>
        <v>377633</v>
      </c>
      <c r="AO74" s="165">
        <v>1961458</v>
      </c>
      <c r="AP74" s="165">
        <f t="shared" si="30"/>
        <v>2156390</v>
      </c>
      <c r="AQ74" s="52" t="str">
        <f t="shared" si="31"/>
        <v>No</v>
      </c>
      <c r="AR74" s="308">
        <f>ABS(IF(AQ74="Yes",AF74*Inputs!$D$50,Data!AF74*Inputs!$D$51))</f>
        <v>0</v>
      </c>
      <c r="AS74" s="308">
        <f t="shared" si="17"/>
        <v>1766084</v>
      </c>
      <c r="AT74" s="308">
        <f t="shared" si="32"/>
        <v>1766084</v>
      </c>
      <c r="AU74" s="308"/>
      <c r="AV74" s="308">
        <f>ABS(IF($AQ74="Yes",$AF74*Inputs!E$50,Data!$AF74*Inputs!E$51))</f>
        <v>0</v>
      </c>
      <c r="AW74" s="308">
        <f>ABS(IF($AQ74="Yes",$AF74*Inputs!F$50,Data!$AF74*Inputs!F$51))</f>
        <v>196817.99129999999</v>
      </c>
      <c r="AX74" s="308">
        <f>ABS(IF($AQ74="Yes",$AF74*Inputs!G$50,Data!$AF74*Inputs!G$51))</f>
        <v>196817.99129999999</v>
      </c>
      <c r="AY74" s="308">
        <f>ABS(IF($AQ74="Yes",$AF74*Inputs!H$50,Data!$AF74*Inputs!H$51))</f>
        <v>196817.99129999999</v>
      </c>
      <c r="AZ74" s="308">
        <f>ABS(IF($AQ74="Yes",$AF74*Inputs!I$50,Data!$AF74*Inputs!I$51))</f>
        <v>196817.99129999999</v>
      </c>
      <c r="BA74" s="308">
        <f>ABS(IF($AQ74="Yes",$AF74*Inputs!J$50,Data!$AF74*Inputs!J$51))</f>
        <v>196817.99129999999</v>
      </c>
      <c r="BB74" s="308">
        <f>ABS(IF($AQ74="Yes",$AF74*Inputs!K$50,Data!$AF74*Inputs!K$51))</f>
        <v>196817.99129999999</v>
      </c>
      <c r="BC74" s="308">
        <f>ABS(IF($AQ74="Yes",$AF74*Inputs!L$50,Data!$AF74*Inputs!L$51))</f>
        <v>196817.99129999999</v>
      </c>
      <c r="BE74" s="308">
        <f t="shared" si="18"/>
        <v>1766084</v>
      </c>
      <c r="BF74" s="308">
        <f t="shared" si="19"/>
        <v>1569266.0087000001</v>
      </c>
      <c r="BG74" s="308">
        <f t="shared" si="20"/>
        <v>1372448.0174000002</v>
      </c>
      <c r="BH74" s="308">
        <f t="shared" si="21"/>
        <v>1175630.0261000004</v>
      </c>
      <c r="BI74" s="308">
        <f t="shared" si="22"/>
        <v>978812.03480000037</v>
      </c>
      <c r="BJ74" s="308">
        <f t="shared" si="23"/>
        <v>781994.04350000038</v>
      </c>
      <c r="BK74" s="308">
        <f t="shared" si="24"/>
        <v>585176.05220000038</v>
      </c>
      <c r="BL74" s="308">
        <f t="shared" si="25"/>
        <v>377633</v>
      </c>
      <c r="BN74" s="308">
        <f t="shared" si="33"/>
        <v>1766084</v>
      </c>
      <c r="BO74" s="308">
        <f t="shared" si="34"/>
        <v>1569266.0087000001</v>
      </c>
      <c r="BP74" s="308">
        <f t="shared" si="35"/>
        <v>1372448.0174000002</v>
      </c>
      <c r="BQ74" s="308">
        <f t="shared" si="36"/>
        <v>1175630.0261000004</v>
      </c>
      <c r="BR74" s="308">
        <f t="shared" si="37"/>
        <v>978812.03480000037</v>
      </c>
      <c r="BS74" s="308">
        <f t="shared" si="38"/>
        <v>781994.04350000038</v>
      </c>
      <c r="BT74" s="308">
        <f t="shared" si="39"/>
        <v>585176.05220000038</v>
      </c>
      <c r="BU74" s="308">
        <f t="shared" si="26"/>
        <v>377633</v>
      </c>
    </row>
    <row r="75" spans="1:73" ht="15" x14ac:dyDescent="0.2">
      <c r="A75" s="62" t="s">
        <v>73</v>
      </c>
      <c r="B75" s="55" t="s">
        <v>4</v>
      </c>
      <c r="C75" s="55"/>
      <c r="D75" s="55"/>
      <c r="E75" s="55"/>
      <c r="F75" s="55"/>
      <c r="G75" s="48">
        <v>4</v>
      </c>
      <c r="H75" s="55">
        <v>61</v>
      </c>
      <c r="I75" s="55">
        <f>INDEX('FY 22 OFA Shell'!$K$27:$K$195,MATCH(Data!H75,'FY 22 OFA Shell'!$H$27:$H$195,0))</f>
        <v>1132.01</v>
      </c>
      <c r="J75" s="55">
        <f>INDEX('FY 22 OFA Shell'!$N$27:$N$195,MATCH(Data!H75,'FY 22 OFA Shell'!$H$27:$H$195,0))</f>
        <v>202</v>
      </c>
      <c r="K75" s="64">
        <f>INDEX('FY 22 OFA Shell'!$S$27:$S$195,MATCH(Data!H75,'FY 22 OFA Shell'!$H$27:$H$195,0))</f>
        <v>8</v>
      </c>
      <c r="L75" s="150">
        <f t="shared" si="15"/>
        <v>0.17844365332461729</v>
      </c>
      <c r="M75" s="149">
        <f>MAX(((L75-Inputs!$E$23)*Data!I75)*Inputs!$E$24,0)</f>
        <v>0</v>
      </c>
      <c r="N75" s="151">
        <f>INDEX('FY 22 OFA Shell'!$V$27:$V$195,MATCH(Data!H75,'FY 22 OFA Shell'!$H$27:$H$195,0))</f>
        <v>1325103552.6700001</v>
      </c>
      <c r="O75" s="63">
        <f>INDEX('FY 22 OFA Shell'!$W$27:$W$195,MATCH(Data!H75,'FY 22 OFA Shell'!$H$27:$H$195,0))</f>
        <v>8267</v>
      </c>
      <c r="P75" s="65">
        <f>INDEX('FY 22 OFA Shell'!$Z$27:$Z$195,MATCH(Data!H75,'FY 22 OFA Shell'!$H$27:$H$195,0))</f>
        <v>108800</v>
      </c>
      <c r="Q75" s="63">
        <f>INDEX('FY 22 OFA Shell'!$AF$27:$AF$195,MATCH(Data!H75,'FY 22 OFA Shell'!$H$27:$H$195,0))</f>
        <v>1137</v>
      </c>
      <c r="R75" s="66">
        <f>INDEX('FY 22 OFA Shell'!$AG$27:$AG$195,MATCH(Data!H75,'FY 22 OFA Shell'!$H$27:$H$195,0))</f>
        <v>13</v>
      </c>
      <c r="S75" s="66">
        <f>INDEX('FY 22 OFA Shell'!$AJ$27:$AJ$195,MATCH(Data!H75,'FY 22 OFA Shell'!$H$27:$H$195,0))</f>
        <v>0</v>
      </c>
      <c r="T75" s="66">
        <f>INDEX('FY 22 OFA Shell'!$AK$27:$AK$195,MATCH(Data!H75,'FY 22 OFA Shell'!$H$27:$H$195,0))</f>
        <v>0</v>
      </c>
      <c r="U75" s="135">
        <v>1971482</v>
      </c>
      <c r="V75" s="67">
        <f>ROUND(J75*Inputs!$E$22, 2)</f>
        <v>60.6</v>
      </c>
      <c r="W75" s="68">
        <f>I75+V75+K75*Inputs!$E$28+Data!M75</f>
        <v>1194.6099999999999</v>
      </c>
      <c r="X75" s="69">
        <f t="shared" si="27"/>
        <v>160288.32000000001</v>
      </c>
      <c r="Y75" s="70">
        <f>ROUND(X75/Inputs!$E$32, 6)</f>
        <v>0.83255100000000004</v>
      </c>
      <c r="Z75" s="70">
        <f>ROUND(P75/Inputs!$E$33, 6)</f>
        <v>0.90294799999999997</v>
      </c>
      <c r="AA75" s="59">
        <f>ROUND(1-((Y75*Inputs!$E$29)+Z75*Inputs!$E$27), 6)</f>
        <v>0.14632999999999999</v>
      </c>
      <c r="AB75" s="59">
        <v>216.84506739331732</v>
      </c>
      <c r="AC75" s="73">
        <f>INDEX('FY 22 OFA Shell'!$G$27:$G$195,MATCH(Data!H75,'FY 22 OFA Shell'!$H$27:$H$195,0))</f>
        <v>123</v>
      </c>
      <c r="AD75" s="73">
        <f t="shared" si="16"/>
        <v>5</v>
      </c>
      <c r="AE75" s="65">
        <v>1971482</v>
      </c>
      <c r="AF75" s="65">
        <f t="shared" si="28"/>
        <v>1521272</v>
      </c>
      <c r="AG75" s="65">
        <f t="shared" si="29"/>
        <v>1521272</v>
      </c>
      <c r="AH75" s="52">
        <v>1710397</v>
      </c>
      <c r="AI75" s="107">
        <v>1979789.5430000001</v>
      </c>
      <c r="AJ75"/>
      <c r="AK75">
        <v>0</v>
      </c>
      <c r="AL75" s="165">
        <f>INDEX('FY 22 OFA Shell'!$AU$27:$AU$195,MATCH(Data!H75,'FY 22 OFA Shell'!$H$27:$H$195,0))</f>
        <v>2019012</v>
      </c>
      <c r="AM75" s="165">
        <f>Outputs!H80</f>
        <v>3492754</v>
      </c>
      <c r="AN75" s="165">
        <f>Outputs!G80+Outputs!D80+Outputs!F80</f>
        <v>3492754</v>
      </c>
      <c r="AO75" s="165">
        <v>2008743</v>
      </c>
      <c r="AP75" s="165">
        <f t="shared" si="30"/>
        <v>1979789.5430000001</v>
      </c>
      <c r="AQ75" s="52" t="str">
        <f t="shared" si="31"/>
        <v>Yes</v>
      </c>
      <c r="AR75" s="308">
        <f>ABS(IF(AQ75="Yes",AF75*Inputs!$D$50,Data!AF75*Inputs!$D$51))</f>
        <v>162167.59520000001</v>
      </c>
      <c r="AS75" s="308">
        <f t="shared" si="17"/>
        <v>2181179.5951999999</v>
      </c>
      <c r="AT75" s="308">
        <f t="shared" si="32"/>
        <v>2181179.5951999999</v>
      </c>
      <c r="AU75" s="308"/>
      <c r="AV75" s="308">
        <f>ABS(IF($AQ75="Yes",$AF75*Inputs!E$50,Data!$AF75*Inputs!E$51))</f>
        <v>162167.59520000001</v>
      </c>
      <c r="AW75" s="308">
        <f>ABS(IF($AQ75="Yes",$AF75*Inputs!F$50,Data!$AF75*Inputs!F$51))</f>
        <v>162167.59520000001</v>
      </c>
      <c r="AX75" s="308">
        <f>ABS(IF($AQ75="Yes",$AF75*Inputs!G$50,Data!$AF75*Inputs!G$51))</f>
        <v>162167.59520000001</v>
      </c>
      <c r="AY75" s="308">
        <f>ABS(IF($AQ75="Yes",$AF75*Inputs!H$50,Data!$AF75*Inputs!H$51))</f>
        <v>162167.59520000001</v>
      </c>
      <c r="AZ75" s="308">
        <f>ABS(IF($AQ75="Yes",$AF75*Inputs!I$50,Data!$AF75*Inputs!I$51))</f>
        <v>162167.59520000001</v>
      </c>
      <c r="BA75" s="308">
        <f>ABS(IF($AQ75="Yes",$AF75*Inputs!J$50,Data!$AF75*Inputs!J$51))</f>
        <v>162167.59520000001</v>
      </c>
      <c r="BB75" s="308">
        <f>ABS(IF($AQ75="Yes",$AF75*Inputs!K$50,Data!$AF75*Inputs!K$51))</f>
        <v>0</v>
      </c>
      <c r="BC75" s="308">
        <f>ABS(IF($AQ75="Yes",$AF75*Inputs!L$50,Data!$AF75*Inputs!L$51))</f>
        <v>0</v>
      </c>
      <c r="BE75" s="308">
        <f t="shared" si="18"/>
        <v>2343347.1903999997</v>
      </c>
      <c r="BF75" s="308">
        <f t="shared" si="19"/>
        <v>2505514.7855999996</v>
      </c>
      <c r="BG75" s="308">
        <f t="shared" si="20"/>
        <v>2667682.3807999995</v>
      </c>
      <c r="BH75" s="308">
        <f t="shared" si="21"/>
        <v>2829849.9759999993</v>
      </c>
      <c r="BI75" s="308">
        <f t="shared" si="22"/>
        <v>2992017.5711999992</v>
      </c>
      <c r="BJ75" s="308">
        <f t="shared" si="23"/>
        <v>3492754</v>
      </c>
      <c r="BK75" s="308">
        <f t="shared" si="24"/>
        <v>3492754</v>
      </c>
      <c r="BL75" s="308">
        <f t="shared" si="25"/>
        <v>3492754</v>
      </c>
      <c r="BN75" s="308">
        <f t="shared" si="33"/>
        <v>2343347.1903999997</v>
      </c>
      <c r="BO75" s="308">
        <f t="shared" si="34"/>
        <v>2505514.7855999996</v>
      </c>
      <c r="BP75" s="308">
        <f t="shared" si="35"/>
        <v>2667682.3807999995</v>
      </c>
      <c r="BQ75" s="308">
        <f t="shared" si="36"/>
        <v>2829849.9759999993</v>
      </c>
      <c r="BR75" s="308">
        <f t="shared" si="37"/>
        <v>2992017.5711999992</v>
      </c>
      <c r="BS75" s="308">
        <f t="shared" si="38"/>
        <v>3492754</v>
      </c>
      <c r="BT75" s="308">
        <f t="shared" si="39"/>
        <v>3492754</v>
      </c>
      <c r="BU75" s="308">
        <f t="shared" si="26"/>
        <v>3492754</v>
      </c>
    </row>
    <row r="76" spans="1:73" ht="15" x14ac:dyDescent="0.2">
      <c r="A76" s="62" t="s">
        <v>74</v>
      </c>
      <c r="B76" s="55" t="s">
        <v>19</v>
      </c>
      <c r="C76" s="55"/>
      <c r="D76" s="55">
        <v>1</v>
      </c>
      <c r="E76" s="55">
        <v>1</v>
      </c>
      <c r="F76" s="55"/>
      <c r="G76" s="48">
        <v>9</v>
      </c>
      <c r="H76" s="55">
        <v>62</v>
      </c>
      <c r="I76" s="55">
        <f>INDEX('FY 22 OFA Shell'!$K$27:$K$195,MATCH(Data!H76,'FY 22 OFA Shell'!$H$27:$H$195,0))</f>
        <v>6226.12</v>
      </c>
      <c r="J76" s="55">
        <f>INDEX('FY 22 OFA Shell'!$N$27:$N$195,MATCH(Data!H76,'FY 22 OFA Shell'!$H$27:$H$195,0))</f>
        <v>2710</v>
      </c>
      <c r="K76" s="64">
        <f>INDEX('FY 22 OFA Shell'!$S$27:$S$195,MATCH(Data!H76,'FY 22 OFA Shell'!$H$27:$H$195,0))</f>
        <v>353</v>
      </c>
      <c r="L76" s="150">
        <f t="shared" si="15"/>
        <v>0.43526305307318203</v>
      </c>
      <c r="M76" s="149">
        <f>MAX(((L76-Inputs!$E$23)*Data!I76)*Inputs!$E$24,0)</f>
        <v>0</v>
      </c>
      <c r="N76" s="151">
        <f>INDEX('FY 22 OFA Shell'!$V$27:$V$195,MATCH(Data!H76,'FY 22 OFA Shell'!$H$27:$H$195,0))</f>
        <v>5762356274</v>
      </c>
      <c r="O76" s="63">
        <f>INDEX('FY 22 OFA Shell'!$W$27:$W$195,MATCH(Data!H76,'FY 22 OFA Shell'!$H$27:$H$195,0))</f>
        <v>61206</v>
      </c>
      <c r="P76" s="65">
        <f>INDEX('FY 22 OFA Shell'!$Z$27:$Z$195,MATCH(Data!H76,'FY 22 OFA Shell'!$H$27:$H$195,0))</f>
        <v>75392</v>
      </c>
      <c r="Q76" s="63">
        <f>INDEX('FY 22 OFA Shell'!$AF$27:$AF$195,MATCH(Data!H76,'FY 22 OFA Shell'!$H$27:$H$195,0))</f>
        <v>0</v>
      </c>
      <c r="R76" s="66">
        <f>INDEX('FY 22 OFA Shell'!$AG$27:$AG$195,MATCH(Data!H76,'FY 22 OFA Shell'!$H$27:$H$195,0))</f>
        <v>0</v>
      </c>
      <c r="S76" s="66">
        <f>INDEX('FY 22 OFA Shell'!$AJ$27:$AJ$195,MATCH(Data!H76,'FY 22 OFA Shell'!$H$27:$H$195,0))</f>
        <v>0</v>
      </c>
      <c r="T76" s="66">
        <f>INDEX('FY 22 OFA Shell'!$AK$27:$AK$195,MATCH(Data!H76,'FY 22 OFA Shell'!$H$27:$H$195,0))</f>
        <v>0</v>
      </c>
      <c r="U76" s="135">
        <v>26945481</v>
      </c>
      <c r="V76" s="67">
        <f>ROUND(J76*Inputs!$E$22, 2)</f>
        <v>813</v>
      </c>
      <c r="W76" s="68">
        <f>I76+V76+K76*Inputs!$E$28+Data!M76</f>
        <v>7127.37</v>
      </c>
      <c r="X76" s="69">
        <f t="shared" si="27"/>
        <v>94146.92</v>
      </c>
      <c r="Y76" s="70">
        <f>ROUND(X76/Inputs!$E$32, 6)</f>
        <v>0.48900700000000002</v>
      </c>
      <c r="Z76" s="70">
        <f>ROUND(P76/Inputs!$E$33, 6)</f>
        <v>0.62568999999999997</v>
      </c>
      <c r="AA76" s="59">
        <f>ROUND(1-((Y76*Inputs!$E$29)+Z76*Inputs!$E$27), 6)</f>
        <v>0.46998800000000002</v>
      </c>
      <c r="AB76" s="59">
        <v>284.49778722286788</v>
      </c>
      <c r="AC76" s="73">
        <f>INDEX('FY 22 OFA Shell'!$G$27:$G$195,MATCH(Data!H76,'FY 22 OFA Shell'!$H$27:$H$195,0))</f>
        <v>25</v>
      </c>
      <c r="AD76" s="73">
        <f t="shared" si="16"/>
        <v>5</v>
      </c>
      <c r="AE76" s="65">
        <v>26945481</v>
      </c>
      <c r="AF76" s="65">
        <f t="shared" si="28"/>
        <v>11660715</v>
      </c>
      <c r="AG76" s="65">
        <f t="shared" si="29"/>
        <v>11660715</v>
      </c>
      <c r="AH76" s="52">
        <v>26790150</v>
      </c>
      <c r="AI76" s="107">
        <v>27385774.875</v>
      </c>
      <c r="AJ76">
        <v>14</v>
      </c>
      <c r="AK76">
        <v>17814.831066257131</v>
      </c>
      <c r="AL76" s="165">
        <f>INDEX('FY 22 OFA Shell'!$AU$27:$AU$195,MATCH(Data!H76,'FY 22 OFA Shell'!$H$27:$H$195,0))</f>
        <v>29931677</v>
      </c>
      <c r="AM76" s="165">
        <f>Outputs!H81</f>
        <v>38606196</v>
      </c>
      <c r="AN76" s="165">
        <f>Outputs!G81+Outputs!D81+Outputs!F81</f>
        <v>38606196</v>
      </c>
      <c r="AO76" s="165">
        <v>28639000</v>
      </c>
      <c r="AP76" s="165">
        <f t="shared" si="30"/>
        <v>27403589.706066258</v>
      </c>
      <c r="AQ76" s="52" t="str">
        <f t="shared" si="31"/>
        <v>Yes</v>
      </c>
      <c r="AR76" s="308">
        <f>ABS(IF(AQ76="Yes",AF76*Inputs!$D$50,Data!AF76*Inputs!$D$51))</f>
        <v>1243032.219</v>
      </c>
      <c r="AS76" s="308">
        <f t="shared" si="17"/>
        <v>31174709.219000001</v>
      </c>
      <c r="AT76" s="308">
        <f t="shared" si="32"/>
        <v>31174709.219000001</v>
      </c>
      <c r="AU76" s="308"/>
      <c r="AV76" s="308">
        <f>ABS(IF($AQ76="Yes",$AF76*Inputs!E$50,Data!$AF76*Inputs!E$51))</f>
        <v>1243032.219</v>
      </c>
      <c r="AW76" s="308">
        <f>ABS(IF($AQ76="Yes",$AF76*Inputs!F$50,Data!$AF76*Inputs!F$51))</f>
        <v>1243032.219</v>
      </c>
      <c r="AX76" s="308">
        <f>ABS(IF($AQ76="Yes",$AF76*Inputs!G$50,Data!$AF76*Inputs!G$51))</f>
        <v>1243032.219</v>
      </c>
      <c r="AY76" s="308">
        <f>ABS(IF($AQ76="Yes",$AF76*Inputs!H$50,Data!$AF76*Inputs!H$51))</f>
        <v>1243032.219</v>
      </c>
      <c r="AZ76" s="308">
        <f>ABS(IF($AQ76="Yes",$AF76*Inputs!I$50,Data!$AF76*Inputs!I$51))</f>
        <v>1243032.219</v>
      </c>
      <c r="BA76" s="308">
        <f>ABS(IF($AQ76="Yes",$AF76*Inputs!J$50,Data!$AF76*Inputs!J$51))</f>
        <v>1243032.219</v>
      </c>
      <c r="BB76" s="308">
        <f>ABS(IF($AQ76="Yes",$AF76*Inputs!K$50,Data!$AF76*Inputs!K$51))</f>
        <v>0</v>
      </c>
      <c r="BC76" s="308">
        <f>ABS(IF($AQ76="Yes",$AF76*Inputs!L$50,Data!$AF76*Inputs!L$51))</f>
        <v>0</v>
      </c>
      <c r="BE76" s="308">
        <f t="shared" si="18"/>
        <v>32417741.438000001</v>
      </c>
      <c r="BF76" s="308">
        <f t="shared" si="19"/>
        <v>33660773.656999998</v>
      </c>
      <c r="BG76" s="308">
        <f t="shared" si="20"/>
        <v>34903805.875999995</v>
      </c>
      <c r="BH76" s="308">
        <f t="shared" si="21"/>
        <v>36146838.094999991</v>
      </c>
      <c r="BI76" s="308">
        <f t="shared" si="22"/>
        <v>37389870.313999988</v>
      </c>
      <c r="BJ76" s="308">
        <f t="shared" si="23"/>
        <v>38606196</v>
      </c>
      <c r="BK76" s="308">
        <f t="shared" si="24"/>
        <v>38606196</v>
      </c>
      <c r="BL76" s="308">
        <f t="shared" si="25"/>
        <v>38606196</v>
      </c>
      <c r="BN76" s="308">
        <f t="shared" si="33"/>
        <v>32417741.438000001</v>
      </c>
      <c r="BO76" s="308">
        <f t="shared" si="34"/>
        <v>33660773.656999998</v>
      </c>
      <c r="BP76" s="308">
        <f t="shared" si="35"/>
        <v>34903805.875999995</v>
      </c>
      <c r="BQ76" s="308">
        <f t="shared" si="36"/>
        <v>36146838.094999991</v>
      </c>
      <c r="BR76" s="308">
        <f t="shared" si="37"/>
        <v>37389870.313999988</v>
      </c>
      <c r="BS76" s="308">
        <f t="shared" si="38"/>
        <v>38606196</v>
      </c>
      <c r="BT76" s="308">
        <f t="shared" si="39"/>
        <v>38606196</v>
      </c>
      <c r="BU76" s="308">
        <f t="shared" si="26"/>
        <v>38606196</v>
      </c>
    </row>
    <row r="77" spans="1:73" ht="15" x14ac:dyDescent="0.2">
      <c r="A77" s="62" t="s">
        <v>75</v>
      </c>
      <c r="B77" s="55" t="s">
        <v>8</v>
      </c>
      <c r="C77" s="55"/>
      <c r="D77" s="55"/>
      <c r="E77" s="55"/>
      <c r="F77" s="55"/>
      <c r="G77" s="48">
        <v>7</v>
      </c>
      <c r="H77" s="55">
        <v>63</v>
      </c>
      <c r="I77" s="55">
        <f>INDEX('FY 22 OFA Shell'!$K$27:$K$195,MATCH(Data!H77,'FY 22 OFA Shell'!$H$27:$H$195,0))</f>
        <v>127</v>
      </c>
      <c r="J77" s="55">
        <f>INDEX('FY 22 OFA Shell'!$N$27:$N$195,MATCH(Data!H77,'FY 22 OFA Shell'!$H$27:$H$195,0))</f>
        <v>46</v>
      </c>
      <c r="K77" s="64">
        <f>INDEX('FY 22 OFA Shell'!$S$27:$S$195,MATCH(Data!H77,'FY 22 OFA Shell'!$H$27:$H$195,0))</f>
        <v>0</v>
      </c>
      <c r="L77" s="150">
        <f t="shared" si="15"/>
        <v>0.36220472440944884</v>
      </c>
      <c r="M77" s="149">
        <f>MAX(((L77-Inputs!$E$23)*Data!I77)*Inputs!$E$24,0)</f>
        <v>0</v>
      </c>
      <c r="N77" s="151">
        <f>INDEX('FY 22 OFA Shell'!$V$27:$V$195,MATCH(Data!H77,'FY 22 OFA Shell'!$H$27:$H$195,0))</f>
        <v>217460618.66999999</v>
      </c>
      <c r="O77" s="63">
        <f>INDEX('FY 22 OFA Shell'!$W$27:$W$195,MATCH(Data!H77,'FY 22 OFA Shell'!$H$27:$H$195,0))</f>
        <v>1861</v>
      </c>
      <c r="P77" s="65">
        <f>INDEX('FY 22 OFA Shell'!$Z$27:$Z$195,MATCH(Data!H77,'FY 22 OFA Shell'!$H$27:$H$195,0))</f>
        <v>75288</v>
      </c>
      <c r="Q77" s="63">
        <f>INDEX('FY 22 OFA Shell'!$AF$27:$AF$195,MATCH(Data!H77,'FY 22 OFA Shell'!$H$27:$H$195,0))</f>
        <v>61</v>
      </c>
      <c r="R77" s="66">
        <f>INDEX('FY 22 OFA Shell'!$AG$27:$AG$195,MATCH(Data!H77,'FY 22 OFA Shell'!$H$27:$H$195,0))</f>
        <v>6</v>
      </c>
      <c r="S77" s="66">
        <f>INDEX('FY 22 OFA Shell'!$AJ$27:$AJ$195,MATCH(Data!H77,'FY 22 OFA Shell'!$H$27:$H$195,0))</f>
        <v>0</v>
      </c>
      <c r="T77" s="66">
        <f>INDEX('FY 22 OFA Shell'!$AK$27:$AK$195,MATCH(Data!H77,'FY 22 OFA Shell'!$H$27:$H$195,0))</f>
        <v>0</v>
      </c>
      <c r="U77" s="135">
        <v>1312383</v>
      </c>
      <c r="V77" s="67">
        <f>ROUND(J77*Inputs!$E$22, 2)</f>
        <v>13.8</v>
      </c>
      <c r="W77" s="68">
        <f>I77+V77+K77*Inputs!$E$28+Data!M77</f>
        <v>140.80000000000001</v>
      </c>
      <c r="X77" s="69">
        <f t="shared" si="27"/>
        <v>116851.49</v>
      </c>
      <c r="Y77" s="70">
        <f>ROUND(X77/Inputs!$E$32, 6)</f>
        <v>0.60693600000000003</v>
      </c>
      <c r="Z77" s="70">
        <f>ROUND(P77/Inputs!$E$33, 6)</f>
        <v>0.62482599999999999</v>
      </c>
      <c r="AA77" s="59">
        <f>ROUND(1-((Y77*Inputs!$E$29)+Z77*Inputs!$E$27), 6)</f>
        <v>0.38769700000000001</v>
      </c>
      <c r="AB77" s="59">
        <v>254.31112094860242</v>
      </c>
      <c r="AC77" s="73">
        <f>INDEX('FY 22 OFA Shell'!$G$27:$G$195,MATCH(Data!H77,'FY 22 OFA Shell'!$H$27:$H$195,0))</f>
        <v>65</v>
      </c>
      <c r="AD77" s="73">
        <f t="shared" si="16"/>
        <v>5</v>
      </c>
      <c r="AE77" s="65">
        <v>1312383</v>
      </c>
      <c r="AF77" s="65">
        <f t="shared" si="28"/>
        <v>-646659</v>
      </c>
      <c r="AG77" s="65">
        <f t="shared" si="29"/>
        <v>-646659</v>
      </c>
      <c r="AH77" s="52">
        <v>1142429</v>
      </c>
      <c r="AI77" s="107">
        <v>1167197.75</v>
      </c>
      <c r="AJ77"/>
      <c r="AK77">
        <v>0</v>
      </c>
      <c r="AL77" s="165">
        <f>INDEX('FY 22 OFA Shell'!$AU$27:$AU$195,MATCH(Data!H77,'FY 22 OFA Shell'!$H$27:$H$195,0))</f>
        <v>1058408</v>
      </c>
      <c r="AM77" s="165">
        <f>Outputs!H82</f>
        <v>665724</v>
      </c>
      <c r="AN77" s="165">
        <f>Outputs!G82+Outputs!D82+Outputs!F82</f>
        <v>665724</v>
      </c>
      <c r="AO77" s="165">
        <v>1114003</v>
      </c>
      <c r="AP77" s="165">
        <f t="shared" si="30"/>
        <v>1167197.75</v>
      </c>
      <c r="AQ77" s="52" t="str">
        <f t="shared" si="31"/>
        <v>No</v>
      </c>
      <c r="AR77" s="308">
        <f>ABS(IF(AQ77="Yes",AF77*Inputs!$D$50,Data!AF77*Inputs!$D$51))</f>
        <v>0</v>
      </c>
      <c r="AS77" s="308">
        <f t="shared" si="17"/>
        <v>1058408</v>
      </c>
      <c r="AT77" s="308">
        <f t="shared" si="32"/>
        <v>1058408</v>
      </c>
      <c r="AU77" s="308"/>
      <c r="AV77" s="308">
        <f>ABS(IF($AQ77="Yes",$AF77*Inputs!E$50,Data!$AF77*Inputs!E$51))</f>
        <v>0</v>
      </c>
      <c r="AW77" s="308">
        <f>ABS(IF($AQ77="Yes",$AF77*Inputs!F$50,Data!$AF77*Inputs!F$51))</f>
        <v>53866.6947</v>
      </c>
      <c r="AX77" s="308">
        <f>ABS(IF($AQ77="Yes",$AF77*Inputs!G$50,Data!$AF77*Inputs!G$51))</f>
        <v>53866.6947</v>
      </c>
      <c r="AY77" s="308">
        <f>ABS(IF($AQ77="Yes",$AF77*Inputs!H$50,Data!$AF77*Inputs!H$51))</f>
        <v>53866.6947</v>
      </c>
      <c r="AZ77" s="308">
        <f>ABS(IF($AQ77="Yes",$AF77*Inputs!I$50,Data!$AF77*Inputs!I$51))</f>
        <v>53866.6947</v>
      </c>
      <c r="BA77" s="308">
        <f>ABS(IF($AQ77="Yes",$AF77*Inputs!J$50,Data!$AF77*Inputs!J$51))</f>
        <v>53866.6947</v>
      </c>
      <c r="BB77" s="308">
        <f>ABS(IF($AQ77="Yes",$AF77*Inputs!K$50,Data!$AF77*Inputs!K$51))</f>
        <v>53866.6947</v>
      </c>
      <c r="BC77" s="308">
        <f>ABS(IF($AQ77="Yes",$AF77*Inputs!L$50,Data!$AF77*Inputs!L$51))</f>
        <v>53866.6947</v>
      </c>
      <c r="BE77" s="308">
        <f t="shared" si="18"/>
        <v>1058408</v>
      </c>
      <c r="BF77" s="308">
        <f t="shared" si="19"/>
        <v>1004541.3053</v>
      </c>
      <c r="BG77" s="308">
        <f t="shared" si="20"/>
        <v>950674.61060000001</v>
      </c>
      <c r="BH77" s="308">
        <f t="shared" si="21"/>
        <v>896807.91590000002</v>
      </c>
      <c r="BI77" s="308">
        <f t="shared" si="22"/>
        <v>842941.22120000003</v>
      </c>
      <c r="BJ77" s="308">
        <f t="shared" si="23"/>
        <v>789074.52650000004</v>
      </c>
      <c r="BK77" s="308">
        <f t="shared" si="24"/>
        <v>735207.83180000004</v>
      </c>
      <c r="BL77" s="308">
        <f t="shared" si="25"/>
        <v>665724</v>
      </c>
      <c r="BN77" s="308">
        <f t="shared" si="33"/>
        <v>1058408</v>
      </c>
      <c r="BO77" s="308">
        <f t="shared" si="34"/>
        <v>1004541.3053</v>
      </c>
      <c r="BP77" s="308">
        <f t="shared" si="35"/>
        <v>950674.61060000001</v>
      </c>
      <c r="BQ77" s="308">
        <f t="shared" si="36"/>
        <v>896807.91590000002</v>
      </c>
      <c r="BR77" s="308">
        <f t="shared" si="37"/>
        <v>842941.22120000003</v>
      </c>
      <c r="BS77" s="308">
        <f t="shared" si="38"/>
        <v>789074.52650000004</v>
      </c>
      <c r="BT77" s="308">
        <f t="shared" si="39"/>
        <v>735207.83180000004</v>
      </c>
      <c r="BU77" s="308">
        <f t="shared" si="26"/>
        <v>665724</v>
      </c>
    </row>
    <row r="78" spans="1:73" ht="15" x14ac:dyDescent="0.2">
      <c r="A78" s="62" t="s">
        <v>76</v>
      </c>
      <c r="B78" s="55" t="s">
        <v>24</v>
      </c>
      <c r="C78" s="55">
        <v>1</v>
      </c>
      <c r="D78" s="55">
        <v>1</v>
      </c>
      <c r="E78" s="55">
        <v>0</v>
      </c>
      <c r="F78" s="55">
        <v>1</v>
      </c>
      <c r="G78" s="48">
        <v>10</v>
      </c>
      <c r="H78" s="55">
        <v>64</v>
      </c>
      <c r="I78" s="55">
        <f>INDEX('FY 22 OFA Shell'!$K$27:$K$195,MATCH(Data!H78,'FY 22 OFA Shell'!$H$27:$H$195,0))</f>
        <v>19083.37</v>
      </c>
      <c r="J78" s="55">
        <f>INDEX('FY 22 OFA Shell'!$N$27:$N$195,MATCH(Data!H78,'FY 22 OFA Shell'!$H$27:$H$195,0))</f>
        <v>17335</v>
      </c>
      <c r="K78" s="64">
        <f>INDEX('FY 22 OFA Shell'!$S$27:$S$195,MATCH(Data!H78,'FY 22 OFA Shell'!$H$27:$H$195,0))</f>
        <v>4263</v>
      </c>
      <c r="L78" s="150">
        <f t="shared" si="15"/>
        <v>0.90838253411216163</v>
      </c>
      <c r="M78" s="149">
        <f>MAX(((L78-Inputs!$E$23)*Data!I78)*Inputs!$E$24,0)</f>
        <v>882.74670000000026</v>
      </c>
      <c r="N78" s="151">
        <f>INDEX('FY 22 OFA Shell'!$V$27:$V$195,MATCH(Data!H78,'FY 22 OFA Shell'!$H$27:$H$195,0))</f>
        <v>6954044431.3299999</v>
      </c>
      <c r="O78" s="63">
        <f>INDEX('FY 22 OFA Shell'!$W$27:$W$195,MATCH(Data!H78,'FY 22 OFA Shell'!$H$27:$H$195,0))</f>
        <v>123628</v>
      </c>
      <c r="P78" s="65">
        <f>INDEX('FY 22 OFA Shell'!$Z$27:$Z$195,MATCH(Data!H78,'FY 22 OFA Shell'!$H$27:$H$195,0))</f>
        <v>34338</v>
      </c>
      <c r="Q78" s="63">
        <f>INDEX('FY 22 OFA Shell'!$AF$27:$AF$195,MATCH(Data!H78,'FY 22 OFA Shell'!$H$27:$H$195,0))</f>
        <v>0</v>
      </c>
      <c r="R78" s="66">
        <f>INDEX('FY 22 OFA Shell'!$AG$27:$AG$195,MATCH(Data!H78,'FY 22 OFA Shell'!$H$27:$H$195,0))</f>
        <v>0</v>
      </c>
      <c r="S78" s="66">
        <f>INDEX('FY 22 OFA Shell'!$AJ$27:$AJ$195,MATCH(Data!H78,'FY 22 OFA Shell'!$H$27:$H$195,0))</f>
        <v>0</v>
      </c>
      <c r="T78" s="66">
        <f>INDEX('FY 22 OFA Shell'!$AK$27:$AK$195,MATCH(Data!H78,'FY 22 OFA Shell'!$H$27:$H$195,0))</f>
        <v>0</v>
      </c>
      <c r="U78" s="135">
        <v>200518244</v>
      </c>
      <c r="V78" s="67">
        <f>ROUND(J78*Inputs!$E$22, 2)</f>
        <v>5200.5</v>
      </c>
      <c r="W78" s="68">
        <f>I78+V78+K78*Inputs!$E$28+Data!M78</f>
        <v>26232.366699999999</v>
      </c>
      <c r="X78" s="69">
        <f t="shared" si="27"/>
        <v>56249.75</v>
      </c>
      <c r="Y78" s="70">
        <f>ROUND(X78/Inputs!$E$32, 6)</f>
        <v>0.29216599999999998</v>
      </c>
      <c r="Z78" s="70">
        <f>ROUND(P78/Inputs!$E$33, 6)</f>
        <v>0.28497600000000001</v>
      </c>
      <c r="AA78" s="59">
        <f>ROUND(1-((Y78*Inputs!$E$29)+Z78*Inputs!$E$27), 6)</f>
        <v>0.70999100000000004</v>
      </c>
      <c r="AB78" s="59">
        <v>490.47579487884548</v>
      </c>
      <c r="AC78" s="73">
        <f>INDEX('FY 22 OFA Shell'!$G$27:$G$195,MATCH(Data!H78,'FY 22 OFA Shell'!$H$27:$H$195,0))</f>
        <v>1</v>
      </c>
      <c r="AD78" s="73">
        <f t="shared" si="16"/>
        <v>1</v>
      </c>
      <c r="AE78" s="65">
        <v>200518244</v>
      </c>
      <c r="AF78" s="65">
        <f t="shared" si="28"/>
        <v>32271615</v>
      </c>
      <c r="AG78" s="65">
        <f t="shared" si="29"/>
        <v>32271615</v>
      </c>
      <c r="AH78" s="52">
        <v>200268244</v>
      </c>
      <c r="AI78" s="107">
        <v>201834646.12900001</v>
      </c>
      <c r="AJ78">
        <v>464</v>
      </c>
      <c r="AK78">
        <v>590434.40105309349</v>
      </c>
      <c r="AL78" s="165">
        <f>INDEX('FY 22 OFA Shell'!$AU$27:$AU$195,MATCH(Data!H78,'FY 22 OFA Shell'!$H$27:$H$195,0))</f>
        <v>209104777</v>
      </c>
      <c r="AM78" s="165">
        <f>Outputs!H83</f>
        <v>232789859</v>
      </c>
      <c r="AN78" s="165">
        <f>Outputs!G83+Outputs!D83+Outputs!F83</f>
        <v>232789859</v>
      </c>
      <c r="AO78" s="165">
        <v>205908193</v>
      </c>
      <c r="AP78" s="165">
        <f t="shared" si="30"/>
        <v>202425080.53005311</v>
      </c>
      <c r="AQ78" s="52" t="str">
        <f t="shared" si="31"/>
        <v>Yes</v>
      </c>
      <c r="AR78" s="308">
        <f>ABS(IF(AQ78="Yes",AF78*Inputs!$D$50,Data!AF78*Inputs!$D$51))</f>
        <v>3440154.159</v>
      </c>
      <c r="AS78" s="308">
        <f t="shared" si="17"/>
        <v>212544931.15900001</v>
      </c>
      <c r="AT78" s="308">
        <f t="shared" si="32"/>
        <v>212544931.15900001</v>
      </c>
      <c r="AU78" s="308"/>
      <c r="AV78" s="308">
        <f>ABS(IF($AQ78="Yes",$AF78*Inputs!E$50,Data!$AF78*Inputs!E$51))</f>
        <v>3440154.159</v>
      </c>
      <c r="AW78" s="308">
        <f>ABS(IF($AQ78="Yes",$AF78*Inputs!F$50,Data!$AF78*Inputs!F$51))</f>
        <v>3440154.159</v>
      </c>
      <c r="AX78" s="308">
        <f>ABS(IF($AQ78="Yes",$AF78*Inputs!G$50,Data!$AF78*Inputs!G$51))</f>
        <v>3440154.159</v>
      </c>
      <c r="AY78" s="308">
        <f>ABS(IF($AQ78="Yes",$AF78*Inputs!H$50,Data!$AF78*Inputs!H$51))</f>
        <v>3440154.159</v>
      </c>
      <c r="AZ78" s="308">
        <f>ABS(IF($AQ78="Yes",$AF78*Inputs!I$50,Data!$AF78*Inputs!I$51))</f>
        <v>3440154.159</v>
      </c>
      <c r="BA78" s="308">
        <f>ABS(IF($AQ78="Yes",$AF78*Inputs!J$50,Data!$AF78*Inputs!J$51))</f>
        <v>3440154.159</v>
      </c>
      <c r="BB78" s="308">
        <f>ABS(IF($AQ78="Yes",$AF78*Inputs!K$50,Data!$AF78*Inputs!K$51))</f>
        <v>0</v>
      </c>
      <c r="BC78" s="308">
        <f>ABS(IF($AQ78="Yes",$AF78*Inputs!L$50,Data!$AF78*Inputs!L$51))</f>
        <v>0</v>
      </c>
      <c r="BE78" s="308">
        <f t="shared" si="18"/>
        <v>215985085.31800002</v>
      </c>
      <c r="BF78" s="308">
        <f t="shared" si="19"/>
        <v>219425239.47700003</v>
      </c>
      <c r="BG78" s="308">
        <f t="shared" si="20"/>
        <v>222865393.63600004</v>
      </c>
      <c r="BH78" s="308">
        <f t="shared" si="21"/>
        <v>226305547.79500005</v>
      </c>
      <c r="BI78" s="308">
        <f t="shared" si="22"/>
        <v>229745701.95400006</v>
      </c>
      <c r="BJ78" s="308">
        <f t="shared" si="23"/>
        <v>232789859</v>
      </c>
      <c r="BK78" s="308">
        <f t="shared" si="24"/>
        <v>232789859</v>
      </c>
      <c r="BL78" s="308">
        <f t="shared" si="25"/>
        <v>232789859</v>
      </c>
      <c r="BN78" s="308">
        <f t="shared" si="33"/>
        <v>215985085.31800002</v>
      </c>
      <c r="BO78" s="308">
        <f t="shared" si="34"/>
        <v>219425239.47700003</v>
      </c>
      <c r="BP78" s="308">
        <f t="shared" si="35"/>
        <v>222865393.63600004</v>
      </c>
      <c r="BQ78" s="308">
        <f t="shared" si="36"/>
        <v>226305547.79500005</v>
      </c>
      <c r="BR78" s="308">
        <f t="shared" si="37"/>
        <v>229745701.95400006</v>
      </c>
      <c r="BS78" s="308">
        <f t="shared" si="38"/>
        <v>232789859</v>
      </c>
      <c r="BT78" s="308">
        <f t="shared" si="39"/>
        <v>232789859</v>
      </c>
      <c r="BU78" s="308">
        <f t="shared" si="26"/>
        <v>232789859</v>
      </c>
    </row>
    <row r="79" spans="1:73" ht="15" x14ac:dyDescent="0.2">
      <c r="A79" s="62" t="s">
        <v>77</v>
      </c>
      <c r="B79" s="55" t="s">
        <v>8</v>
      </c>
      <c r="C79" s="55"/>
      <c r="D79" s="55"/>
      <c r="E79" s="55"/>
      <c r="F79" s="55"/>
      <c r="G79" s="48">
        <v>6</v>
      </c>
      <c r="H79" s="55">
        <v>65</v>
      </c>
      <c r="I79" s="55">
        <f>INDEX('FY 22 OFA Shell'!$K$27:$K$195,MATCH(Data!H79,'FY 22 OFA Shell'!$H$27:$H$195,0))</f>
        <v>229.67</v>
      </c>
      <c r="J79" s="55">
        <f>INDEX('FY 22 OFA Shell'!$N$27:$N$195,MATCH(Data!H79,'FY 22 OFA Shell'!$H$27:$H$195,0))</f>
        <v>46</v>
      </c>
      <c r="K79" s="64">
        <f>INDEX('FY 22 OFA Shell'!$S$27:$S$195,MATCH(Data!H79,'FY 22 OFA Shell'!$H$27:$H$195,0))</f>
        <v>2</v>
      </c>
      <c r="L79" s="150">
        <f t="shared" si="15"/>
        <v>0.20028736883354378</v>
      </c>
      <c r="M79" s="149">
        <f>MAX(((L79-Inputs!$E$23)*Data!I79)*Inputs!$E$24,0)</f>
        <v>0</v>
      </c>
      <c r="N79" s="151">
        <f>INDEX('FY 22 OFA Shell'!$V$27:$V$195,MATCH(Data!H79,'FY 22 OFA Shell'!$H$27:$H$195,0))</f>
        <v>297876092.67000002</v>
      </c>
      <c r="O79" s="63">
        <f>INDEX('FY 22 OFA Shell'!$W$27:$W$195,MATCH(Data!H79,'FY 22 OFA Shell'!$H$27:$H$195,0))</f>
        <v>2041</v>
      </c>
      <c r="P79" s="65">
        <f>INDEX('FY 22 OFA Shell'!$Z$27:$Z$195,MATCH(Data!H79,'FY 22 OFA Shell'!$H$27:$H$195,0))</f>
        <v>95259</v>
      </c>
      <c r="Q79" s="63">
        <f>INDEX('FY 22 OFA Shell'!$AF$27:$AF$195,MATCH(Data!H79,'FY 22 OFA Shell'!$H$27:$H$195,0))</f>
        <v>0</v>
      </c>
      <c r="R79" s="66">
        <f>INDEX('FY 22 OFA Shell'!$AG$27:$AG$195,MATCH(Data!H79,'FY 22 OFA Shell'!$H$27:$H$195,0))</f>
        <v>0</v>
      </c>
      <c r="S79" s="66">
        <f>INDEX('FY 22 OFA Shell'!$AJ$27:$AJ$195,MATCH(Data!H79,'FY 22 OFA Shell'!$H$27:$H$195,0))</f>
        <v>1</v>
      </c>
      <c r="T79" s="66">
        <f>INDEX('FY 22 OFA Shell'!$AK$27:$AK$195,MATCH(Data!H79,'FY 22 OFA Shell'!$H$27:$H$195,0))</f>
        <v>4</v>
      </c>
      <c r="U79" s="135">
        <v>1327652</v>
      </c>
      <c r="V79" s="67">
        <f>ROUND(J79*Inputs!$E$22, 2)</f>
        <v>13.8</v>
      </c>
      <c r="W79" s="68">
        <f>I79+V79+K79*Inputs!$E$28+Data!M79</f>
        <v>243.97</v>
      </c>
      <c r="X79" s="69">
        <f t="shared" ref="X79:X110" si="40">ROUND(N79/O79,2)</f>
        <v>145946.15</v>
      </c>
      <c r="Y79" s="70">
        <f>ROUND(X79/Inputs!$E$32, 6)</f>
        <v>0.75805599999999995</v>
      </c>
      <c r="Z79" s="70">
        <f>ROUND(P79/Inputs!$E$33, 6)</f>
        <v>0.79056899999999997</v>
      </c>
      <c r="AA79" s="59">
        <f>ROUND(1-((Y79*Inputs!$E$29)+Z79*Inputs!$E$27), 6)</f>
        <v>0.23219000000000001</v>
      </c>
      <c r="AB79" s="59">
        <v>219.4613443455377</v>
      </c>
      <c r="AC79" s="73">
        <f>INDEX('FY 22 OFA Shell'!$G$27:$G$195,MATCH(Data!H79,'FY 22 OFA Shell'!$H$27:$H$195,0))</f>
        <v>124</v>
      </c>
      <c r="AD79" s="73">
        <f t="shared" si="16"/>
        <v>5</v>
      </c>
      <c r="AE79" s="65">
        <v>1327652</v>
      </c>
      <c r="AF79" s="65">
        <f t="shared" ref="AF79:AF110" si="41">AN79-AE79</f>
        <v>-674391</v>
      </c>
      <c r="AG79" s="65">
        <f t="shared" ref="AG79:AG110" si="42">AM79-AE79</f>
        <v>-674391</v>
      </c>
      <c r="AH79" s="52">
        <v>1155396</v>
      </c>
      <c r="AI79" s="107">
        <v>1175504.25</v>
      </c>
      <c r="AJ79"/>
      <c r="AK79">
        <v>0</v>
      </c>
      <c r="AL79" s="165">
        <f>INDEX('FY 22 OFA Shell'!$AU$27:$AU$195,MATCH(Data!H79,'FY 22 OFA Shell'!$H$27:$H$195,0))</f>
        <v>1071722</v>
      </c>
      <c r="AM79" s="165">
        <f>Outputs!H84</f>
        <v>653261</v>
      </c>
      <c r="AN79" s="165">
        <f>Outputs!G84+Outputs!D84+Outputs!F84</f>
        <v>653261</v>
      </c>
      <c r="AO79" s="165">
        <v>1126876</v>
      </c>
      <c r="AP79" s="165">
        <f t="shared" ref="AP79:AP110" si="43">AI79+AK79</f>
        <v>1175504.25</v>
      </c>
      <c r="AQ79" s="52" t="str">
        <f t="shared" ref="AQ79:AQ110" si="44">IF(AN79&gt;AE79,"Yes","No")</f>
        <v>No</v>
      </c>
      <c r="AR79" s="308">
        <f>ABS(IF(AQ79="Yes",AF79*Inputs!$D$50,Data!AF79*Inputs!$D$51))</f>
        <v>0</v>
      </c>
      <c r="AS79" s="308">
        <f t="shared" si="17"/>
        <v>1071722</v>
      </c>
      <c r="AT79" s="308">
        <f t="shared" ref="AT79:AT110" si="45">IF(D79=1,MAX(AS79,AE79),AS79)</f>
        <v>1071722</v>
      </c>
      <c r="AU79" s="308"/>
      <c r="AV79" s="308">
        <f>ABS(IF($AQ79="Yes",$AF79*Inputs!E$50,Data!$AF79*Inputs!E$51))</f>
        <v>0</v>
      </c>
      <c r="AW79" s="308">
        <f>ABS(IF($AQ79="Yes",$AF79*Inputs!F$50,Data!$AF79*Inputs!F$51))</f>
        <v>56176.770299999996</v>
      </c>
      <c r="AX79" s="308">
        <f>ABS(IF($AQ79="Yes",$AF79*Inputs!G$50,Data!$AF79*Inputs!G$51))</f>
        <v>56176.770299999996</v>
      </c>
      <c r="AY79" s="308">
        <f>ABS(IF($AQ79="Yes",$AF79*Inputs!H$50,Data!$AF79*Inputs!H$51))</f>
        <v>56176.770299999996</v>
      </c>
      <c r="AZ79" s="308">
        <f>ABS(IF($AQ79="Yes",$AF79*Inputs!I$50,Data!$AF79*Inputs!I$51))</f>
        <v>56176.770299999996</v>
      </c>
      <c r="BA79" s="308">
        <f>ABS(IF($AQ79="Yes",$AF79*Inputs!J$50,Data!$AF79*Inputs!J$51))</f>
        <v>56176.770299999996</v>
      </c>
      <c r="BB79" s="308">
        <f>ABS(IF($AQ79="Yes",$AF79*Inputs!K$50,Data!$AF79*Inputs!K$51))</f>
        <v>56176.770299999996</v>
      </c>
      <c r="BC79" s="308">
        <f>ABS(IF($AQ79="Yes",$AF79*Inputs!L$50,Data!$AF79*Inputs!L$51))</f>
        <v>56176.770299999996</v>
      </c>
      <c r="BE79" s="308">
        <f t="shared" si="18"/>
        <v>1071722</v>
      </c>
      <c r="BF79" s="308">
        <f t="shared" si="19"/>
        <v>1015545.2297</v>
      </c>
      <c r="BG79" s="308">
        <f t="shared" si="20"/>
        <v>959368.45940000005</v>
      </c>
      <c r="BH79" s="308">
        <f t="shared" si="21"/>
        <v>903191.68910000008</v>
      </c>
      <c r="BI79" s="308">
        <f t="shared" si="22"/>
        <v>847014.9188000001</v>
      </c>
      <c r="BJ79" s="308">
        <f t="shared" si="23"/>
        <v>790838.14850000013</v>
      </c>
      <c r="BK79" s="308">
        <f t="shared" si="24"/>
        <v>734661.37820000015</v>
      </c>
      <c r="BL79" s="308">
        <f t="shared" si="25"/>
        <v>653261</v>
      </c>
      <c r="BN79" s="308">
        <f t="shared" ref="BN79:BN110" si="46">IF($D79=1,MAX(BE79,$AE79),BE79)</f>
        <v>1071722</v>
      </c>
      <c r="BO79" s="308">
        <f t="shared" ref="BO79:BO110" si="47">IF($D79=1,MAX(BF79,$AE79),BF79)</f>
        <v>1015545.2297</v>
      </c>
      <c r="BP79" s="308">
        <f t="shared" ref="BP79:BP110" si="48">IF($D79=1,MAX(BG79,$AE79),BG79)</f>
        <v>959368.45940000005</v>
      </c>
      <c r="BQ79" s="308">
        <f t="shared" ref="BQ79:BQ110" si="49">IF($D79=1,MAX(BH79,$AE79),BH79)</f>
        <v>903191.68910000008</v>
      </c>
      <c r="BR79" s="308">
        <f t="shared" ref="BR79:BR110" si="50">IF($D79=1,MAX(BI79,$AE79),BI79)</f>
        <v>847014.9188000001</v>
      </c>
      <c r="BS79" s="308">
        <f t="shared" ref="BS79:BS110" si="51">IF($D79=1,MAX(BJ79,$AE79),BJ79)</f>
        <v>790838.14850000013</v>
      </c>
      <c r="BT79" s="308">
        <f t="shared" ref="BT79:BT110" si="52">IF($D79=1,MAX(BK79,$AE79),BK79)</f>
        <v>734661.37820000015</v>
      </c>
      <c r="BU79" s="308">
        <f t="shared" si="26"/>
        <v>653261</v>
      </c>
    </row>
    <row r="80" spans="1:73" ht="15" x14ac:dyDescent="0.2">
      <c r="A80" s="62" t="s">
        <v>78</v>
      </c>
      <c r="B80" s="55" t="s">
        <v>4</v>
      </c>
      <c r="C80" s="55"/>
      <c r="D80" s="55"/>
      <c r="E80" s="55"/>
      <c r="F80" s="55"/>
      <c r="G80" s="48">
        <v>5</v>
      </c>
      <c r="H80" s="55">
        <v>66</v>
      </c>
      <c r="I80" s="55">
        <f>INDEX('FY 22 OFA Shell'!$K$27:$K$195,MATCH(Data!H80,'FY 22 OFA Shell'!$H$27:$H$195,0))</f>
        <v>763.32</v>
      </c>
      <c r="J80" s="55">
        <f>INDEX('FY 22 OFA Shell'!$N$27:$N$195,MATCH(Data!H80,'FY 22 OFA Shell'!$H$27:$H$195,0))</f>
        <v>130</v>
      </c>
      <c r="K80" s="64">
        <f>INDEX('FY 22 OFA Shell'!$S$27:$S$195,MATCH(Data!H80,'FY 22 OFA Shell'!$H$27:$H$195,0))</f>
        <v>2</v>
      </c>
      <c r="L80" s="150">
        <f t="shared" ref="L80:L143" si="53">J80/I80</f>
        <v>0.17030865167950532</v>
      </c>
      <c r="M80" s="149">
        <f>MAX(((L80-Inputs!$E$23)*Data!I80)*Inputs!$E$24,0)</f>
        <v>0</v>
      </c>
      <c r="N80" s="151">
        <f>INDEX('FY 22 OFA Shell'!$V$27:$V$195,MATCH(Data!H80,'FY 22 OFA Shell'!$H$27:$H$195,0))</f>
        <v>824633269</v>
      </c>
      <c r="O80" s="63">
        <f>INDEX('FY 22 OFA Shell'!$W$27:$W$195,MATCH(Data!H80,'FY 22 OFA Shell'!$H$27:$H$195,0))</f>
        <v>5469</v>
      </c>
      <c r="P80" s="65">
        <f>INDEX('FY 22 OFA Shell'!$Z$27:$Z$195,MATCH(Data!H80,'FY 22 OFA Shell'!$H$27:$H$195,0))</f>
        <v>108355</v>
      </c>
      <c r="Q80" s="63">
        <f>INDEX('FY 22 OFA Shell'!$AF$27:$AF$195,MATCH(Data!H80,'FY 22 OFA Shell'!$H$27:$H$195,0))</f>
        <v>763</v>
      </c>
      <c r="R80" s="66">
        <f>INDEX('FY 22 OFA Shell'!$AG$27:$AG$195,MATCH(Data!H80,'FY 22 OFA Shell'!$H$27:$H$195,0))</f>
        <v>13</v>
      </c>
      <c r="S80" s="66">
        <f>INDEX('FY 22 OFA Shell'!$AJ$27:$AJ$195,MATCH(Data!H80,'FY 22 OFA Shell'!$H$27:$H$195,0))</f>
        <v>0</v>
      </c>
      <c r="T80" s="66">
        <f>INDEX('FY 22 OFA Shell'!$AK$27:$AK$195,MATCH(Data!H80,'FY 22 OFA Shell'!$H$27:$H$195,0))</f>
        <v>0</v>
      </c>
      <c r="U80" s="135">
        <v>2708774</v>
      </c>
      <c r="V80" s="67">
        <f>ROUND(J80*Inputs!$E$22, 2)</f>
        <v>39</v>
      </c>
      <c r="W80" s="68">
        <f>I80+V80+K80*Inputs!$E$28+Data!M80</f>
        <v>802.82</v>
      </c>
      <c r="X80" s="69">
        <f t="shared" si="40"/>
        <v>150783.19</v>
      </c>
      <c r="Y80" s="70">
        <f>ROUND(X80/Inputs!$E$32, 6)</f>
        <v>0.78317999999999999</v>
      </c>
      <c r="Z80" s="70">
        <f>ROUND(P80/Inputs!$E$33, 6)</f>
        <v>0.89925500000000003</v>
      </c>
      <c r="AA80" s="59">
        <f>ROUND(1-((Y80*Inputs!$E$29)+Z80*Inputs!$E$27), 6)</f>
        <v>0.18199799999999999</v>
      </c>
      <c r="AB80" s="59">
        <v>209.72707158344167</v>
      </c>
      <c r="AC80" s="73">
        <f>INDEX('FY 22 OFA Shell'!$G$27:$G$195,MATCH(Data!H80,'FY 22 OFA Shell'!$H$27:$H$195,0))</f>
        <v>116</v>
      </c>
      <c r="AD80" s="73">
        <f t="shared" ref="AD80:AD143" si="54">IF(AC80&gt;=1,IF(AC80&lt;=5,1,IF(AC80&lt;=10,2,IF(AC80&lt;=15,3,IF(AC80&lt;=19,4,5)))))</f>
        <v>5</v>
      </c>
      <c r="AE80" s="65">
        <v>2708774</v>
      </c>
      <c r="AF80" s="65">
        <f t="shared" si="41"/>
        <v>-32937</v>
      </c>
      <c r="AG80" s="65">
        <f t="shared" si="42"/>
        <v>-32937</v>
      </c>
      <c r="AH80" s="52">
        <v>2354352</v>
      </c>
      <c r="AI80" s="107">
        <v>2557930.5</v>
      </c>
      <c r="AJ80"/>
      <c r="AK80">
        <v>0</v>
      </c>
      <c r="AL80" s="165">
        <f>INDEX('FY 22 OFA Shell'!$AU$27:$AU$195,MATCH(Data!H80,'FY 22 OFA Shell'!$H$27:$H$195,0))</f>
        <v>2430050</v>
      </c>
      <c r="AM80" s="165">
        <f>Outputs!H85</f>
        <v>2675837</v>
      </c>
      <c r="AN80" s="165">
        <f>Outputs!G85+Outputs!D85+Outputs!F85</f>
        <v>2675837</v>
      </c>
      <c r="AO80" s="165">
        <v>2507860</v>
      </c>
      <c r="AP80" s="165">
        <f t="shared" si="43"/>
        <v>2557930.5</v>
      </c>
      <c r="AQ80" s="52" t="str">
        <f t="shared" si="44"/>
        <v>No</v>
      </c>
      <c r="AR80" s="308">
        <f>ABS(IF(AQ80="Yes",AF80*Inputs!$D$50,Data!AF80*Inputs!$D$51))</f>
        <v>0</v>
      </c>
      <c r="AS80" s="308">
        <f t="shared" ref="AS80:AS143" si="55">IF(AQ80="Yes",AL80+AR80,AL80-AR80)</f>
        <v>2430050</v>
      </c>
      <c r="AT80" s="308">
        <f t="shared" si="45"/>
        <v>2430050</v>
      </c>
      <c r="AU80" s="308"/>
      <c r="AV80" s="308">
        <f>ABS(IF($AQ80="Yes",$AF80*Inputs!E$50,Data!$AF80*Inputs!E$51))</f>
        <v>0</v>
      </c>
      <c r="AW80" s="308">
        <f>ABS(IF($AQ80="Yes",$AF80*Inputs!F$50,Data!$AF80*Inputs!F$51))</f>
        <v>2743.6520999999998</v>
      </c>
      <c r="AX80" s="308">
        <f>ABS(IF($AQ80="Yes",$AF80*Inputs!G$50,Data!$AF80*Inputs!G$51))</f>
        <v>2743.6520999999998</v>
      </c>
      <c r="AY80" s="308">
        <f>ABS(IF($AQ80="Yes",$AF80*Inputs!H$50,Data!$AF80*Inputs!H$51))</f>
        <v>2743.6520999999998</v>
      </c>
      <c r="AZ80" s="308">
        <f>ABS(IF($AQ80="Yes",$AF80*Inputs!I$50,Data!$AF80*Inputs!I$51))</f>
        <v>2743.6520999999998</v>
      </c>
      <c r="BA80" s="308">
        <f>ABS(IF($AQ80="Yes",$AF80*Inputs!J$50,Data!$AF80*Inputs!J$51))</f>
        <v>2743.6520999999998</v>
      </c>
      <c r="BB80" s="308">
        <f>ABS(IF($AQ80="Yes",$AF80*Inputs!K$50,Data!$AF80*Inputs!K$51))</f>
        <v>2743.6520999999998</v>
      </c>
      <c r="BC80" s="308">
        <f>ABS(IF($AQ80="Yes",$AF80*Inputs!L$50,Data!$AF80*Inputs!L$51))</f>
        <v>2743.6520999999998</v>
      </c>
      <c r="BE80" s="308">
        <f t="shared" ref="BE80:BE143" si="56">IF(AQ80="Yes",AT80+AV80,AT80-AV80)</f>
        <v>2430050</v>
      </c>
      <c r="BF80" s="308">
        <f t="shared" ref="BF80:BF143" si="57">IF($AQ80="Yes",BE80+AW80,BE80-AW80)</f>
        <v>2427306.3478999999</v>
      </c>
      <c r="BG80" s="308">
        <f t="shared" ref="BG80:BG143" si="58">IF($AQ80="Yes",BF80+AX80,BF80-AX80)</f>
        <v>2424562.6957999999</v>
      </c>
      <c r="BH80" s="308">
        <f t="shared" ref="BH80:BH143" si="59">IF($AQ80="Yes",BG80+AY80,BG80-AY80)</f>
        <v>2421819.0436999998</v>
      </c>
      <c r="BI80" s="308">
        <f t="shared" ref="BI80:BI143" si="60">IF($AQ80="Yes",BH80+AZ80,BH80-AZ80)</f>
        <v>2419075.3915999997</v>
      </c>
      <c r="BJ80" s="308">
        <f t="shared" ref="BJ80:BJ143" si="61">IF($AQ80="Yes",AN80,BI80-BA80)</f>
        <v>2416331.7394999997</v>
      </c>
      <c r="BK80" s="308">
        <f t="shared" ref="BK80:BK143" si="62">IF($AQ80="Yes",BJ80,BJ80-BB80)</f>
        <v>2413588.0873999996</v>
      </c>
      <c r="BL80" s="308">
        <f t="shared" ref="BL80:BL143" si="63">AN80</f>
        <v>2675837</v>
      </c>
      <c r="BN80" s="308">
        <f t="shared" si="46"/>
        <v>2430050</v>
      </c>
      <c r="BO80" s="308">
        <f t="shared" si="47"/>
        <v>2427306.3478999999</v>
      </c>
      <c r="BP80" s="308">
        <f t="shared" si="48"/>
        <v>2424562.6957999999</v>
      </c>
      <c r="BQ80" s="308">
        <f t="shared" si="49"/>
        <v>2421819.0436999998</v>
      </c>
      <c r="BR80" s="308">
        <f t="shared" si="50"/>
        <v>2419075.3915999997</v>
      </c>
      <c r="BS80" s="308">
        <f t="shared" si="51"/>
        <v>2416331.7394999997</v>
      </c>
      <c r="BT80" s="308">
        <f t="shared" si="52"/>
        <v>2413588.0873999996</v>
      </c>
      <c r="BU80" s="308">
        <f t="shared" ref="BU80:BU143" si="64">AM80</f>
        <v>2675837</v>
      </c>
    </row>
    <row r="81" spans="1:73" ht="15" x14ac:dyDescent="0.2">
      <c r="A81" s="62" t="s">
        <v>79</v>
      </c>
      <c r="B81" s="55" t="s">
        <v>4</v>
      </c>
      <c r="C81" s="55"/>
      <c r="D81" s="55"/>
      <c r="E81" s="55"/>
      <c r="F81" s="55"/>
      <c r="G81" s="48">
        <v>4</v>
      </c>
      <c r="H81" s="55">
        <v>67</v>
      </c>
      <c r="I81" s="55">
        <f>INDEX('FY 22 OFA Shell'!$K$27:$K$195,MATCH(Data!H81,'FY 22 OFA Shell'!$H$27:$H$195,0))</f>
        <v>1246.25</v>
      </c>
      <c r="J81" s="55">
        <f>INDEX('FY 22 OFA Shell'!$N$27:$N$195,MATCH(Data!H81,'FY 22 OFA Shell'!$H$27:$H$195,0))</f>
        <v>190</v>
      </c>
      <c r="K81" s="64">
        <f>INDEX('FY 22 OFA Shell'!$S$27:$S$195,MATCH(Data!H81,'FY 22 OFA Shell'!$H$27:$H$195,0))</f>
        <v>5</v>
      </c>
      <c r="L81" s="150">
        <f t="shared" si="53"/>
        <v>0.15245737211634905</v>
      </c>
      <c r="M81" s="149">
        <f>MAX(((L81-Inputs!$E$23)*Data!I81)*Inputs!$E$24,0)</f>
        <v>0</v>
      </c>
      <c r="N81" s="151">
        <f>INDEX('FY 22 OFA Shell'!$V$27:$V$195,MATCH(Data!H81,'FY 22 OFA Shell'!$H$27:$H$195,0))</f>
        <v>1140486974.6700001</v>
      </c>
      <c r="O81" s="63">
        <f>INDEX('FY 22 OFA Shell'!$W$27:$W$195,MATCH(Data!H81,'FY 22 OFA Shell'!$H$27:$H$195,0))</f>
        <v>9522</v>
      </c>
      <c r="P81" s="65">
        <f>INDEX('FY 22 OFA Shell'!$Z$27:$Z$195,MATCH(Data!H81,'FY 22 OFA Shell'!$H$27:$H$195,0))</f>
        <v>110938</v>
      </c>
      <c r="Q81" s="63">
        <f>INDEX('FY 22 OFA Shell'!$AF$27:$AF$195,MATCH(Data!H81,'FY 22 OFA Shell'!$H$27:$H$195,0))</f>
        <v>640</v>
      </c>
      <c r="R81" s="66">
        <f>INDEX('FY 22 OFA Shell'!$AG$27:$AG$195,MATCH(Data!H81,'FY 22 OFA Shell'!$H$27:$H$195,0))</f>
        <v>6</v>
      </c>
      <c r="S81" s="66">
        <f>INDEX('FY 22 OFA Shell'!$AJ$27:$AJ$195,MATCH(Data!H81,'FY 22 OFA Shell'!$H$27:$H$195,0))</f>
        <v>0</v>
      </c>
      <c r="T81" s="66">
        <f>INDEX('FY 22 OFA Shell'!$AK$27:$AK$195,MATCH(Data!H81,'FY 22 OFA Shell'!$H$27:$H$195,0))</f>
        <v>0</v>
      </c>
      <c r="U81" s="135">
        <v>6875123</v>
      </c>
      <c r="V81" s="67">
        <f>ROUND(J81*Inputs!$E$22, 2)</f>
        <v>57</v>
      </c>
      <c r="W81" s="68">
        <f>I81+V81+K81*Inputs!$E$28+Data!M81</f>
        <v>1304.5</v>
      </c>
      <c r="X81" s="69">
        <f t="shared" si="40"/>
        <v>119773.89</v>
      </c>
      <c r="Y81" s="70">
        <f>ROUND(X81/Inputs!$E$32, 6)</f>
        <v>0.62211499999999997</v>
      </c>
      <c r="Z81" s="70">
        <f>ROUND(P81/Inputs!$E$33, 6)</f>
        <v>0.92069100000000004</v>
      </c>
      <c r="AA81" s="59">
        <f>ROUND(1-((Y81*Inputs!$E$29)+Z81*Inputs!$E$27), 6)</f>
        <v>0.28831200000000001</v>
      </c>
      <c r="AB81" s="59">
        <v>228.66864328727956</v>
      </c>
      <c r="AC81" s="73">
        <f>INDEX('FY 22 OFA Shell'!$G$27:$G$195,MATCH(Data!H81,'FY 22 OFA Shell'!$H$27:$H$195,0))</f>
        <v>94</v>
      </c>
      <c r="AD81" s="73">
        <f t="shared" si="54"/>
        <v>5</v>
      </c>
      <c r="AE81" s="65">
        <v>6875123</v>
      </c>
      <c r="AF81" s="65">
        <f t="shared" si="41"/>
        <v>-2156536</v>
      </c>
      <c r="AG81" s="65">
        <f t="shared" si="42"/>
        <v>-2156536</v>
      </c>
      <c r="AH81" s="52">
        <v>5978090</v>
      </c>
      <c r="AI81" s="107">
        <v>6366187</v>
      </c>
      <c r="AJ81"/>
      <c r="AK81">
        <v>0</v>
      </c>
      <c r="AL81" s="165">
        <f>INDEX('FY 22 OFA Shell'!$AU$27:$AU$195,MATCH(Data!H81,'FY 22 OFA Shell'!$H$27:$H$195,0))</f>
        <v>5997693</v>
      </c>
      <c r="AM81" s="165">
        <f>Outputs!H86</f>
        <v>4718587</v>
      </c>
      <c r="AN81" s="165">
        <f>Outputs!G86+Outputs!D86+Outputs!F86</f>
        <v>4718587</v>
      </c>
      <c r="AO81" s="165">
        <v>6178314</v>
      </c>
      <c r="AP81" s="165">
        <f t="shared" si="43"/>
        <v>6366187</v>
      </c>
      <c r="AQ81" s="52" t="str">
        <f t="shared" si="44"/>
        <v>No</v>
      </c>
      <c r="AR81" s="308">
        <f>ABS(IF(AQ81="Yes",AF81*Inputs!$D$50,Data!AF81*Inputs!$D$51))</f>
        <v>0</v>
      </c>
      <c r="AS81" s="308">
        <f t="shared" si="55"/>
        <v>5997693</v>
      </c>
      <c r="AT81" s="308">
        <f t="shared" si="45"/>
        <v>5997693</v>
      </c>
      <c r="AU81" s="308"/>
      <c r="AV81" s="308">
        <f>ABS(IF($AQ81="Yes",$AF81*Inputs!E$50,Data!$AF81*Inputs!E$51))</f>
        <v>0</v>
      </c>
      <c r="AW81" s="308">
        <f>ABS(IF($AQ81="Yes",$AF81*Inputs!F$50,Data!$AF81*Inputs!F$51))</f>
        <v>179639.44879999998</v>
      </c>
      <c r="AX81" s="308">
        <f>ABS(IF($AQ81="Yes",$AF81*Inputs!G$50,Data!$AF81*Inputs!G$51))</f>
        <v>179639.44879999998</v>
      </c>
      <c r="AY81" s="308">
        <f>ABS(IF($AQ81="Yes",$AF81*Inputs!H$50,Data!$AF81*Inputs!H$51))</f>
        <v>179639.44879999998</v>
      </c>
      <c r="AZ81" s="308">
        <f>ABS(IF($AQ81="Yes",$AF81*Inputs!I$50,Data!$AF81*Inputs!I$51))</f>
        <v>179639.44879999998</v>
      </c>
      <c r="BA81" s="308">
        <f>ABS(IF($AQ81="Yes",$AF81*Inputs!J$50,Data!$AF81*Inputs!J$51))</f>
        <v>179639.44879999998</v>
      </c>
      <c r="BB81" s="308">
        <f>ABS(IF($AQ81="Yes",$AF81*Inputs!K$50,Data!$AF81*Inputs!K$51))</f>
        <v>179639.44879999998</v>
      </c>
      <c r="BC81" s="308">
        <f>ABS(IF($AQ81="Yes",$AF81*Inputs!L$50,Data!$AF81*Inputs!L$51))</f>
        <v>179639.44879999998</v>
      </c>
      <c r="BE81" s="308">
        <f t="shared" si="56"/>
        <v>5997693</v>
      </c>
      <c r="BF81" s="308">
        <f t="shared" si="57"/>
        <v>5818053.5511999996</v>
      </c>
      <c r="BG81" s="308">
        <f t="shared" si="58"/>
        <v>5638414.1023999993</v>
      </c>
      <c r="BH81" s="308">
        <f t="shared" si="59"/>
        <v>5458774.6535999989</v>
      </c>
      <c r="BI81" s="308">
        <f t="shared" si="60"/>
        <v>5279135.2047999986</v>
      </c>
      <c r="BJ81" s="308">
        <f t="shared" si="61"/>
        <v>5099495.7559999982</v>
      </c>
      <c r="BK81" s="308">
        <f t="shared" si="62"/>
        <v>4919856.3071999978</v>
      </c>
      <c r="BL81" s="308">
        <f t="shared" si="63"/>
        <v>4718587</v>
      </c>
      <c r="BN81" s="308">
        <f t="shared" si="46"/>
        <v>5997693</v>
      </c>
      <c r="BO81" s="308">
        <f t="shared" si="47"/>
        <v>5818053.5511999996</v>
      </c>
      <c r="BP81" s="308">
        <f t="shared" si="48"/>
        <v>5638414.1023999993</v>
      </c>
      <c r="BQ81" s="308">
        <f t="shared" si="49"/>
        <v>5458774.6535999989</v>
      </c>
      <c r="BR81" s="308">
        <f t="shared" si="50"/>
        <v>5279135.2047999986</v>
      </c>
      <c r="BS81" s="308">
        <f t="shared" si="51"/>
        <v>5099495.7559999982</v>
      </c>
      <c r="BT81" s="308">
        <f t="shared" si="52"/>
        <v>4919856.3071999978</v>
      </c>
      <c r="BU81" s="308">
        <f t="shared" si="64"/>
        <v>4718587</v>
      </c>
    </row>
    <row r="82" spans="1:73" ht="15" x14ac:dyDescent="0.2">
      <c r="A82" s="62" t="s">
        <v>80</v>
      </c>
      <c r="B82" s="55" t="s">
        <v>8</v>
      </c>
      <c r="C82" s="55"/>
      <c r="D82" s="55"/>
      <c r="E82" s="55"/>
      <c r="F82" s="55"/>
      <c r="G82" s="48">
        <v>2</v>
      </c>
      <c r="H82" s="55">
        <v>68</v>
      </c>
      <c r="I82" s="55">
        <f>INDEX('FY 22 OFA Shell'!$K$27:$K$195,MATCH(Data!H82,'FY 22 OFA Shell'!$H$27:$H$195,0))</f>
        <v>235.69</v>
      </c>
      <c r="J82" s="55">
        <f>INDEX('FY 22 OFA Shell'!$N$27:$N$195,MATCH(Data!H82,'FY 22 OFA Shell'!$H$27:$H$195,0))</f>
        <v>63</v>
      </c>
      <c r="K82" s="64">
        <f>INDEX('FY 22 OFA Shell'!$S$27:$S$195,MATCH(Data!H82,'FY 22 OFA Shell'!$H$27:$H$195,0))</f>
        <v>2</v>
      </c>
      <c r="L82" s="150">
        <f t="shared" si="53"/>
        <v>0.26730026730026729</v>
      </c>
      <c r="M82" s="149">
        <f>MAX(((L82-Inputs!$E$23)*Data!I82)*Inputs!$E$24,0)</f>
        <v>0</v>
      </c>
      <c r="N82" s="151">
        <f>INDEX('FY 22 OFA Shell'!$V$27:$V$195,MATCH(Data!H82,'FY 22 OFA Shell'!$H$27:$H$195,0))</f>
        <v>872480191</v>
      </c>
      <c r="O82" s="63">
        <f>INDEX('FY 22 OFA Shell'!$W$27:$W$195,MATCH(Data!H82,'FY 22 OFA Shell'!$H$27:$H$195,0))</f>
        <v>2824</v>
      </c>
      <c r="P82" s="65">
        <f>INDEX('FY 22 OFA Shell'!$Z$27:$Z$195,MATCH(Data!H82,'FY 22 OFA Shell'!$H$27:$H$195,0))</f>
        <v>65985</v>
      </c>
      <c r="Q82" s="63">
        <f>INDEX('FY 22 OFA Shell'!$AF$27:$AF$195,MATCH(Data!H82,'FY 22 OFA Shell'!$H$27:$H$195,0))</f>
        <v>44</v>
      </c>
      <c r="R82" s="66">
        <f>INDEX('FY 22 OFA Shell'!$AG$27:$AG$195,MATCH(Data!H82,'FY 22 OFA Shell'!$H$27:$H$195,0))</f>
        <v>4</v>
      </c>
      <c r="S82" s="66">
        <f>INDEX('FY 22 OFA Shell'!$AJ$27:$AJ$195,MATCH(Data!H82,'FY 22 OFA Shell'!$H$27:$H$195,0))</f>
        <v>0</v>
      </c>
      <c r="T82" s="66">
        <f>INDEX('FY 22 OFA Shell'!$AK$27:$AK$195,MATCH(Data!H82,'FY 22 OFA Shell'!$H$27:$H$195,0))</f>
        <v>0</v>
      </c>
      <c r="U82" s="135">
        <v>25634</v>
      </c>
      <c r="V82" s="67">
        <f>ROUND(J82*Inputs!$E$22, 2)</f>
        <v>18.899999999999999</v>
      </c>
      <c r="W82" s="68">
        <f>I82+V82+K82*Inputs!$E$28+Data!M82</f>
        <v>255.09</v>
      </c>
      <c r="X82" s="69">
        <f t="shared" si="40"/>
        <v>308951.90999999997</v>
      </c>
      <c r="Y82" s="70">
        <f>ROUND(X82/Inputs!$E$32, 6)</f>
        <v>1.604722</v>
      </c>
      <c r="Z82" s="70">
        <f>ROUND(P82/Inputs!$E$33, 6)</f>
        <v>0.54761899999999997</v>
      </c>
      <c r="AA82" s="59">
        <f>ROUND(1-((Y82*Inputs!$E$29)+Z82*Inputs!$E$27), 6)</f>
        <v>-0.28759099999999999</v>
      </c>
      <c r="AB82" s="59">
        <v>187.18074655240972</v>
      </c>
      <c r="AC82" s="73">
        <f>INDEX('FY 22 OFA Shell'!$G$27:$G$195,MATCH(Data!H82,'FY 22 OFA Shell'!$H$27:$H$195,0))</f>
        <v>143</v>
      </c>
      <c r="AD82" s="73">
        <f t="shared" si="54"/>
        <v>5</v>
      </c>
      <c r="AE82" s="65">
        <v>25634</v>
      </c>
      <c r="AF82" s="65">
        <f t="shared" si="41"/>
        <v>21365</v>
      </c>
      <c r="AG82" s="65">
        <f t="shared" si="42"/>
        <v>21365</v>
      </c>
      <c r="AH82" s="52">
        <v>13186</v>
      </c>
      <c r="AI82" s="107">
        <v>26019.933000000001</v>
      </c>
      <c r="AJ82"/>
      <c r="AK82">
        <v>0</v>
      </c>
      <c r="AL82" s="165">
        <f>INDEX('FY 22 OFA Shell'!$AU$27:$AU$195,MATCH(Data!H82,'FY 22 OFA Shell'!$H$27:$H$195,0))</f>
        <v>27594</v>
      </c>
      <c r="AM82" s="165">
        <f>Outputs!H87</f>
        <v>46999</v>
      </c>
      <c r="AN82" s="165">
        <f>Outputs!G87+Outputs!D87+Outputs!F87</f>
        <v>46999</v>
      </c>
      <c r="AO82" s="165">
        <v>26947</v>
      </c>
      <c r="AP82" s="165">
        <f t="shared" si="43"/>
        <v>26019.933000000001</v>
      </c>
      <c r="AQ82" s="52" t="str">
        <f t="shared" si="44"/>
        <v>Yes</v>
      </c>
      <c r="AR82" s="308">
        <f>ABS(IF(AQ82="Yes",AF82*Inputs!$D$50,Data!AF82*Inputs!$D$51))</f>
        <v>2277.509</v>
      </c>
      <c r="AS82" s="308">
        <f t="shared" si="55"/>
        <v>29871.508999999998</v>
      </c>
      <c r="AT82" s="308">
        <f t="shared" si="45"/>
        <v>29871.508999999998</v>
      </c>
      <c r="AU82" s="308"/>
      <c r="AV82" s="308">
        <f>ABS(IF($AQ82="Yes",$AF82*Inputs!E$50,Data!$AF82*Inputs!E$51))</f>
        <v>2277.509</v>
      </c>
      <c r="AW82" s="308">
        <f>ABS(IF($AQ82="Yes",$AF82*Inputs!F$50,Data!$AF82*Inputs!F$51))</f>
        <v>2277.509</v>
      </c>
      <c r="AX82" s="308">
        <f>ABS(IF($AQ82="Yes",$AF82*Inputs!G$50,Data!$AF82*Inputs!G$51))</f>
        <v>2277.509</v>
      </c>
      <c r="AY82" s="308">
        <f>ABS(IF($AQ82="Yes",$AF82*Inputs!H$50,Data!$AF82*Inputs!H$51))</f>
        <v>2277.509</v>
      </c>
      <c r="AZ82" s="308">
        <f>ABS(IF($AQ82="Yes",$AF82*Inputs!I$50,Data!$AF82*Inputs!I$51))</f>
        <v>2277.509</v>
      </c>
      <c r="BA82" s="308">
        <f>ABS(IF($AQ82="Yes",$AF82*Inputs!J$50,Data!$AF82*Inputs!J$51))</f>
        <v>2277.509</v>
      </c>
      <c r="BB82" s="308">
        <f>ABS(IF($AQ82="Yes",$AF82*Inputs!K$50,Data!$AF82*Inputs!K$51))</f>
        <v>0</v>
      </c>
      <c r="BC82" s="308">
        <f>ABS(IF($AQ82="Yes",$AF82*Inputs!L$50,Data!$AF82*Inputs!L$51))</f>
        <v>0</v>
      </c>
      <c r="BE82" s="308">
        <f t="shared" si="56"/>
        <v>32149.017999999996</v>
      </c>
      <c r="BF82" s="308">
        <f t="shared" si="57"/>
        <v>34426.526999999995</v>
      </c>
      <c r="BG82" s="308">
        <f t="shared" si="58"/>
        <v>36704.035999999993</v>
      </c>
      <c r="BH82" s="308">
        <f t="shared" si="59"/>
        <v>38981.544999999991</v>
      </c>
      <c r="BI82" s="308">
        <f t="shared" si="60"/>
        <v>41259.053999999989</v>
      </c>
      <c r="BJ82" s="308">
        <f t="shared" si="61"/>
        <v>46999</v>
      </c>
      <c r="BK82" s="308">
        <f t="shared" si="62"/>
        <v>46999</v>
      </c>
      <c r="BL82" s="308">
        <f t="shared" si="63"/>
        <v>46999</v>
      </c>
      <c r="BN82" s="308">
        <f t="shared" si="46"/>
        <v>32149.017999999996</v>
      </c>
      <c r="BO82" s="308">
        <f t="shared" si="47"/>
        <v>34426.526999999995</v>
      </c>
      <c r="BP82" s="308">
        <f t="shared" si="48"/>
        <v>36704.035999999993</v>
      </c>
      <c r="BQ82" s="308">
        <f t="shared" si="49"/>
        <v>38981.544999999991</v>
      </c>
      <c r="BR82" s="308">
        <f t="shared" si="50"/>
        <v>41259.053999999989</v>
      </c>
      <c r="BS82" s="308">
        <f t="shared" si="51"/>
        <v>46999</v>
      </c>
      <c r="BT82" s="308">
        <f t="shared" si="52"/>
        <v>46999</v>
      </c>
      <c r="BU82" s="308">
        <f t="shared" si="64"/>
        <v>46999</v>
      </c>
    </row>
    <row r="83" spans="1:73" ht="15" x14ac:dyDescent="0.2">
      <c r="A83" s="62" t="s">
        <v>81</v>
      </c>
      <c r="B83" s="55" t="s">
        <v>19</v>
      </c>
      <c r="C83" s="55"/>
      <c r="D83" s="55">
        <v>1</v>
      </c>
      <c r="E83" s="55">
        <v>1</v>
      </c>
      <c r="F83" s="55"/>
      <c r="G83" s="48">
        <v>10</v>
      </c>
      <c r="H83" s="55">
        <v>69</v>
      </c>
      <c r="I83" s="55">
        <f>INDEX('FY 22 OFA Shell'!$K$27:$K$195,MATCH(Data!H83,'FY 22 OFA Shell'!$H$27:$H$195,0))</f>
        <v>2115.8200000000002</v>
      </c>
      <c r="J83" s="55">
        <f>INDEX('FY 22 OFA Shell'!$N$27:$N$195,MATCH(Data!H83,'FY 22 OFA Shell'!$H$27:$H$195,0))</f>
        <v>1026</v>
      </c>
      <c r="K83" s="64">
        <f>INDEX('FY 22 OFA Shell'!$S$27:$S$195,MATCH(Data!H83,'FY 22 OFA Shell'!$H$27:$H$195,0))</f>
        <v>64</v>
      </c>
      <c r="L83" s="150">
        <f t="shared" si="53"/>
        <v>0.4849183767995387</v>
      </c>
      <c r="M83" s="149">
        <f>MAX(((L83-Inputs!$E$23)*Data!I83)*Inputs!$E$24,0)</f>
        <v>0</v>
      </c>
      <c r="N83" s="151">
        <f>INDEX('FY 22 OFA Shell'!$V$27:$V$195,MATCH(Data!H83,'FY 22 OFA Shell'!$H$27:$H$195,0))</f>
        <v>1976101967.6700001</v>
      </c>
      <c r="O83" s="63">
        <f>INDEX('FY 22 OFA Shell'!$W$27:$W$195,MATCH(Data!H83,'FY 22 OFA Shell'!$H$27:$H$195,0))</f>
        <v>17170</v>
      </c>
      <c r="P83" s="65">
        <f>INDEX('FY 22 OFA Shell'!$Z$27:$Z$195,MATCH(Data!H83,'FY 22 OFA Shell'!$H$27:$H$195,0))</f>
        <v>61709</v>
      </c>
      <c r="Q83" s="63">
        <f>INDEX('FY 22 OFA Shell'!$AF$27:$AF$195,MATCH(Data!H83,'FY 22 OFA Shell'!$H$27:$H$195,0))</f>
        <v>0</v>
      </c>
      <c r="R83" s="66">
        <f>INDEX('FY 22 OFA Shell'!$AG$27:$AG$195,MATCH(Data!H83,'FY 22 OFA Shell'!$H$27:$H$195,0))</f>
        <v>0</v>
      </c>
      <c r="S83" s="66">
        <f>INDEX('FY 22 OFA Shell'!$AJ$27:$AJ$195,MATCH(Data!H83,'FY 22 OFA Shell'!$H$27:$H$195,0))</f>
        <v>0</v>
      </c>
      <c r="T83" s="66">
        <f>INDEX('FY 22 OFA Shell'!$AK$27:$AK$195,MATCH(Data!H83,'FY 22 OFA Shell'!$H$27:$H$195,0))</f>
        <v>0</v>
      </c>
      <c r="U83" s="135">
        <v>15574402</v>
      </c>
      <c r="V83" s="67">
        <f>ROUND(J83*Inputs!$E$22, 2)</f>
        <v>307.8</v>
      </c>
      <c r="W83" s="68">
        <f>I83+V83+K83*Inputs!$E$28+Data!M83</f>
        <v>2439.6200000000003</v>
      </c>
      <c r="X83" s="69">
        <f t="shared" si="40"/>
        <v>115090.39</v>
      </c>
      <c r="Y83" s="70">
        <f>ROUND(X83/Inputs!$E$32, 6)</f>
        <v>0.59778900000000001</v>
      </c>
      <c r="Z83" s="70">
        <f>ROUND(P83/Inputs!$E$33, 6)</f>
        <v>0.51213200000000003</v>
      </c>
      <c r="AA83" s="59">
        <f>ROUND(1-((Y83*Inputs!$E$29)+Z83*Inputs!$E$27), 6)</f>
        <v>0.42790800000000001</v>
      </c>
      <c r="AB83" s="59">
        <v>293.70251101929875</v>
      </c>
      <c r="AC83" s="73">
        <f>INDEX('FY 22 OFA Shell'!$G$27:$G$195,MATCH(Data!H83,'FY 22 OFA Shell'!$H$27:$H$195,0))</f>
        <v>29</v>
      </c>
      <c r="AD83" s="73">
        <f t="shared" si="54"/>
        <v>5</v>
      </c>
      <c r="AE83" s="65">
        <v>15574402</v>
      </c>
      <c r="AF83" s="65">
        <f t="shared" si="41"/>
        <v>-3543075</v>
      </c>
      <c r="AG83" s="65">
        <f t="shared" si="42"/>
        <v>0</v>
      </c>
      <c r="AH83" s="52">
        <v>15495176</v>
      </c>
      <c r="AI83" s="107">
        <v>15574402</v>
      </c>
      <c r="AJ83">
        <v>5</v>
      </c>
      <c r="AK83">
        <v>6362.439666520404</v>
      </c>
      <c r="AL83" s="165">
        <f>INDEX('FY 22 OFA Shell'!$AU$27:$AU$195,MATCH(Data!H83,'FY 22 OFA Shell'!$H$27:$H$195,0))</f>
        <v>15574402</v>
      </c>
      <c r="AM83" s="165">
        <f>Outputs!H88</f>
        <v>15574402</v>
      </c>
      <c r="AN83" s="165">
        <f>Outputs!G88+Outputs!D88+Outputs!F88</f>
        <v>12031327</v>
      </c>
      <c r="AO83" s="165">
        <v>15574402</v>
      </c>
      <c r="AP83" s="165">
        <f t="shared" si="43"/>
        <v>15580764.439666521</v>
      </c>
      <c r="AQ83" s="52" t="str">
        <f t="shared" si="44"/>
        <v>No</v>
      </c>
      <c r="AR83" s="308">
        <f>ABS(IF(AQ83="Yes",AF83*Inputs!$D$50,Data!AF83*Inputs!$D$51))</f>
        <v>0</v>
      </c>
      <c r="AS83" s="308">
        <f t="shared" si="55"/>
        <v>15574402</v>
      </c>
      <c r="AT83" s="308">
        <f t="shared" si="45"/>
        <v>15574402</v>
      </c>
      <c r="AU83" s="308"/>
      <c r="AV83" s="308">
        <f>ABS(IF($AQ83="Yes",$AF83*Inputs!E$50,Data!$AF83*Inputs!E$51))</f>
        <v>0</v>
      </c>
      <c r="AW83" s="308">
        <f>ABS(IF($AQ83="Yes",$AF83*Inputs!F$50,Data!$AF83*Inputs!F$51))</f>
        <v>295138.14750000002</v>
      </c>
      <c r="AX83" s="308">
        <f>ABS(IF($AQ83="Yes",$AF83*Inputs!G$50,Data!$AF83*Inputs!G$51))</f>
        <v>295138.14750000002</v>
      </c>
      <c r="AY83" s="308">
        <f>ABS(IF($AQ83="Yes",$AF83*Inputs!H$50,Data!$AF83*Inputs!H$51))</f>
        <v>295138.14750000002</v>
      </c>
      <c r="AZ83" s="308">
        <f>ABS(IF($AQ83="Yes",$AF83*Inputs!I$50,Data!$AF83*Inputs!I$51))</f>
        <v>295138.14750000002</v>
      </c>
      <c r="BA83" s="308">
        <f>ABS(IF($AQ83="Yes",$AF83*Inputs!J$50,Data!$AF83*Inputs!J$51))</f>
        <v>295138.14750000002</v>
      </c>
      <c r="BB83" s="308">
        <f>ABS(IF($AQ83="Yes",$AF83*Inputs!K$50,Data!$AF83*Inputs!K$51))</f>
        <v>295138.14750000002</v>
      </c>
      <c r="BC83" s="308">
        <f>ABS(IF($AQ83="Yes",$AF83*Inputs!L$50,Data!$AF83*Inputs!L$51))</f>
        <v>295138.14750000002</v>
      </c>
      <c r="BE83" s="308">
        <f t="shared" si="56"/>
        <v>15574402</v>
      </c>
      <c r="BF83" s="308">
        <f t="shared" si="57"/>
        <v>15279263.852499999</v>
      </c>
      <c r="BG83" s="308">
        <f t="shared" si="58"/>
        <v>14984125.704999998</v>
      </c>
      <c r="BH83" s="308">
        <f t="shared" si="59"/>
        <v>14688987.557499997</v>
      </c>
      <c r="BI83" s="308">
        <f t="shared" si="60"/>
        <v>14393849.409999996</v>
      </c>
      <c r="BJ83" s="308">
        <f t="shared" si="61"/>
        <v>14098711.262499996</v>
      </c>
      <c r="BK83" s="308">
        <f t="shared" si="62"/>
        <v>13803573.114999995</v>
      </c>
      <c r="BL83" s="308">
        <f t="shared" si="63"/>
        <v>12031327</v>
      </c>
      <c r="BN83" s="308">
        <f t="shared" si="46"/>
        <v>15574402</v>
      </c>
      <c r="BO83" s="308">
        <f t="shared" si="47"/>
        <v>15574402</v>
      </c>
      <c r="BP83" s="308">
        <f t="shared" si="48"/>
        <v>15574402</v>
      </c>
      <c r="BQ83" s="308">
        <f t="shared" si="49"/>
        <v>15574402</v>
      </c>
      <c r="BR83" s="308">
        <f t="shared" si="50"/>
        <v>15574402</v>
      </c>
      <c r="BS83" s="308">
        <f t="shared" si="51"/>
        <v>15574402</v>
      </c>
      <c r="BT83" s="308">
        <f t="shared" si="52"/>
        <v>15574402</v>
      </c>
      <c r="BU83" s="308">
        <f t="shared" si="64"/>
        <v>15574402</v>
      </c>
    </row>
    <row r="84" spans="1:73" ht="15" x14ac:dyDescent="0.2">
      <c r="A84" s="62" t="s">
        <v>82</v>
      </c>
      <c r="B84" s="55" t="s">
        <v>4</v>
      </c>
      <c r="C84" s="55"/>
      <c r="D84" s="55"/>
      <c r="E84" s="55"/>
      <c r="F84" s="55"/>
      <c r="G84" s="48">
        <v>3</v>
      </c>
      <c r="H84" s="55">
        <v>70</v>
      </c>
      <c r="I84" s="55">
        <f>INDEX('FY 22 OFA Shell'!$K$27:$K$195,MATCH(Data!H84,'FY 22 OFA Shell'!$H$27:$H$195,0))</f>
        <v>732.67</v>
      </c>
      <c r="J84" s="55">
        <f>INDEX('FY 22 OFA Shell'!$N$27:$N$195,MATCH(Data!H84,'FY 22 OFA Shell'!$H$27:$H$195,0))</f>
        <v>70</v>
      </c>
      <c r="K84" s="64">
        <f>INDEX('FY 22 OFA Shell'!$S$27:$S$195,MATCH(Data!H84,'FY 22 OFA Shell'!$H$27:$H$195,0))</f>
        <v>4</v>
      </c>
      <c r="L84" s="150">
        <f t="shared" si="53"/>
        <v>9.5540966601607824E-2</v>
      </c>
      <c r="M84" s="149">
        <f>MAX(((L84-Inputs!$E$23)*Data!I84)*Inputs!$E$24,0)</f>
        <v>0</v>
      </c>
      <c r="N84" s="151">
        <f>INDEX('FY 22 OFA Shell'!$V$27:$V$195,MATCH(Data!H84,'FY 22 OFA Shell'!$H$27:$H$195,0))</f>
        <v>1017848591.33</v>
      </c>
      <c r="O84" s="63">
        <f>INDEX('FY 22 OFA Shell'!$W$27:$W$195,MATCH(Data!H84,'FY 22 OFA Shell'!$H$27:$H$195,0))</f>
        <v>6414</v>
      </c>
      <c r="P84" s="65">
        <f>INDEX('FY 22 OFA Shell'!$Z$27:$Z$195,MATCH(Data!H84,'FY 22 OFA Shell'!$H$27:$H$195,0))</f>
        <v>113068</v>
      </c>
      <c r="Q84" s="63">
        <f>INDEX('FY 22 OFA Shell'!$AF$27:$AF$195,MATCH(Data!H84,'FY 22 OFA Shell'!$H$27:$H$195,0))</f>
        <v>739</v>
      </c>
      <c r="R84" s="66">
        <f>INDEX('FY 22 OFA Shell'!$AG$27:$AG$195,MATCH(Data!H84,'FY 22 OFA Shell'!$H$27:$H$195,0))</f>
        <v>13</v>
      </c>
      <c r="S84" s="66">
        <f>INDEX('FY 22 OFA Shell'!$AJ$27:$AJ$195,MATCH(Data!H84,'FY 22 OFA Shell'!$H$27:$H$195,0))</f>
        <v>0</v>
      </c>
      <c r="T84" s="66">
        <f>INDEX('FY 22 OFA Shell'!$AK$27:$AK$195,MATCH(Data!H84,'FY 22 OFA Shell'!$H$27:$H$195,0))</f>
        <v>0</v>
      </c>
      <c r="U84" s="135">
        <v>2173420</v>
      </c>
      <c r="V84" s="67">
        <f>ROUND(J84*Inputs!$E$22, 2)</f>
        <v>21</v>
      </c>
      <c r="W84" s="68">
        <f>I84+V84+K84*Inputs!$E$28+Data!M84</f>
        <v>754.67</v>
      </c>
      <c r="X84" s="69">
        <f t="shared" si="40"/>
        <v>158691.70000000001</v>
      </c>
      <c r="Y84" s="70">
        <f>ROUND(X84/Inputs!$E$32, 6)</f>
        <v>0.82425800000000005</v>
      </c>
      <c r="Z84" s="70">
        <f>ROUND(P84/Inputs!$E$33, 6)</f>
        <v>0.93836799999999998</v>
      </c>
      <c r="AA84" s="59">
        <f>ROUND(1-((Y84*Inputs!$E$29)+Z84*Inputs!$E$27), 6)</f>
        <v>0.141509</v>
      </c>
      <c r="AB84" s="59">
        <v>188.38656115849309</v>
      </c>
      <c r="AC84" s="73">
        <f>INDEX('FY 22 OFA Shell'!$G$27:$G$195,MATCH(Data!H84,'FY 22 OFA Shell'!$H$27:$H$195,0))</f>
        <v>138</v>
      </c>
      <c r="AD84" s="73">
        <f t="shared" si="54"/>
        <v>5</v>
      </c>
      <c r="AE84" s="65">
        <v>2173420</v>
      </c>
      <c r="AF84" s="65">
        <f t="shared" si="41"/>
        <v>18065</v>
      </c>
      <c r="AG84" s="65">
        <f t="shared" si="42"/>
        <v>18065</v>
      </c>
      <c r="AH84" s="52">
        <v>1885767</v>
      </c>
      <c r="AI84" s="107">
        <v>1837860</v>
      </c>
      <c r="AJ84"/>
      <c r="AK84">
        <v>0</v>
      </c>
      <c r="AL84" s="165">
        <f>INDEX('FY 22 OFA Shell'!$AU$27:$AU$195,MATCH(Data!H84,'FY 22 OFA Shell'!$H$27:$H$195,0))</f>
        <v>1677663</v>
      </c>
      <c r="AM84" s="165">
        <f>Outputs!H89</f>
        <v>2191485</v>
      </c>
      <c r="AN84" s="165">
        <f>Outputs!G89+Outputs!D89+Outputs!F89</f>
        <v>2191485</v>
      </c>
      <c r="AO84" s="165">
        <v>1767283</v>
      </c>
      <c r="AP84" s="165">
        <f t="shared" si="43"/>
        <v>1837860</v>
      </c>
      <c r="AQ84" s="52" t="str">
        <f t="shared" si="44"/>
        <v>Yes</v>
      </c>
      <c r="AR84" s="308">
        <f>ABS(IF(AQ84="Yes",AF84*Inputs!$D$50,Data!AF84*Inputs!$D$51))</f>
        <v>1925.729</v>
      </c>
      <c r="AS84" s="308">
        <f t="shared" si="55"/>
        <v>1679588.7290000001</v>
      </c>
      <c r="AT84" s="308">
        <f t="shared" si="45"/>
        <v>1679588.7290000001</v>
      </c>
      <c r="AU84" s="308"/>
      <c r="AV84" s="308">
        <f>ABS(IF($AQ84="Yes",$AF84*Inputs!E$50,Data!$AF84*Inputs!E$51))</f>
        <v>1925.729</v>
      </c>
      <c r="AW84" s="308">
        <f>ABS(IF($AQ84="Yes",$AF84*Inputs!F$50,Data!$AF84*Inputs!F$51))</f>
        <v>1925.729</v>
      </c>
      <c r="AX84" s="308">
        <f>ABS(IF($AQ84="Yes",$AF84*Inputs!G$50,Data!$AF84*Inputs!G$51))</f>
        <v>1925.729</v>
      </c>
      <c r="AY84" s="308">
        <f>ABS(IF($AQ84="Yes",$AF84*Inputs!H$50,Data!$AF84*Inputs!H$51))</f>
        <v>1925.729</v>
      </c>
      <c r="AZ84" s="308">
        <f>ABS(IF($AQ84="Yes",$AF84*Inputs!I$50,Data!$AF84*Inputs!I$51))</f>
        <v>1925.729</v>
      </c>
      <c r="BA84" s="308">
        <f>ABS(IF($AQ84="Yes",$AF84*Inputs!J$50,Data!$AF84*Inputs!J$51))</f>
        <v>1925.729</v>
      </c>
      <c r="BB84" s="308">
        <f>ABS(IF($AQ84="Yes",$AF84*Inputs!K$50,Data!$AF84*Inputs!K$51))</f>
        <v>0</v>
      </c>
      <c r="BC84" s="308">
        <f>ABS(IF($AQ84="Yes",$AF84*Inputs!L$50,Data!$AF84*Inputs!L$51))</f>
        <v>0</v>
      </c>
      <c r="BE84" s="308">
        <f t="shared" si="56"/>
        <v>1681514.4580000001</v>
      </c>
      <c r="BF84" s="308">
        <f t="shared" si="57"/>
        <v>1683440.1870000002</v>
      </c>
      <c r="BG84" s="308">
        <f t="shared" si="58"/>
        <v>1685365.9160000002</v>
      </c>
      <c r="BH84" s="308">
        <f t="shared" si="59"/>
        <v>1687291.6450000003</v>
      </c>
      <c r="BI84" s="308">
        <f t="shared" si="60"/>
        <v>1689217.3740000003</v>
      </c>
      <c r="BJ84" s="308">
        <f t="shared" si="61"/>
        <v>2191485</v>
      </c>
      <c r="BK84" s="308">
        <f t="shared" si="62"/>
        <v>2191485</v>
      </c>
      <c r="BL84" s="308">
        <f t="shared" si="63"/>
        <v>2191485</v>
      </c>
      <c r="BN84" s="308">
        <f t="shared" si="46"/>
        <v>1681514.4580000001</v>
      </c>
      <c r="BO84" s="308">
        <f t="shared" si="47"/>
        <v>1683440.1870000002</v>
      </c>
      <c r="BP84" s="308">
        <f t="shared" si="48"/>
        <v>1685365.9160000002</v>
      </c>
      <c r="BQ84" s="308">
        <f t="shared" si="49"/>
        <v>1687291.6450000003</v>
      </c>
      <c r="BR84" s="308">
        <f t="shared" si="50"/>
        <v>1689217.3740000003</v>
      </c>
      <c r="BS84" s="308">
        <f t="shared" si="51"/>
        <v>2191485</v>
      </c>
      <c r="BT84" s="308">
        <f t="shared" si="52"/>
        <v>2191485</v>
      </c>
      <c r="BU84" s="308">
        <f t="shared" si="64"/>
        <v>2191485</v>
      </c>
    </row>
    <row r="85" spans="1:73" ht="15" x14ac:dyDescent="0.2">
      <c r="A85" s="62" t="s">
        <v>83</v>
      </c>
      <c r="B85" s="55" t="s">
        <v>8</v>
      </c>
      <c r="C85" s="55"/>
      <c r="D85" s="55"/>
      <c r="E85" s="55"/>
      <c r="F85" s="55"/>
      <c r="G85" s="48">
        <v>7</v>
      </c>
      <c r="H85" s="55">
        <v>71</v>
      </c>
      <c r="I85" s="55">
        <f>INDEX('FY 22 OFA Shell'!$K$27:$K$195,MATCH(Data!H85,'FY 22 OFA Shell'!$H$27:$H$195,0))</f>
        <v>894</v>
      </c>
      <c r="J85" s="55">
        <f>INDEX('FY 22 OFA Shell'!$N$27:$N$195,MATCH(Data!H85,'FY 22 OFA Shell'!$H$27:$H$195,0))</f>
        <v>258</v>
      </c>
      <c r="K85" s="64">
        <f>INDEX('FY 22 OFA Shell'!$S$27:$S$195,MATCH(Data!H85,'FY 22 OFA Shell'!$H$27:$H$195,0))</f>
        <v>9</v>
      </c>
      <c r="L85" s="150">
        <f t="shared" si="53"/>
        <v>0.28859060402684567</v>
      </c>
      <c r="M85" s="149">
        <f>MAX(((L85-Inputs!$E$23)*Data!I85)*Inputs!$E$24,0)</f>
        <v>0</v>
      </c>
      <c r="N85" s="151">
        <f>INDEX('FY 22 OFA Shell'!$V$27:$V$195,MATCH(Data!H85,'FY 22 OFA Shell'!$H$27:$H$195,0))</f>
        <v>955595158.33000004</v>
      </c>
      <c r="O85" s="63">
        <f>INDEX('FY 22 OFA Shell'!$W$27:$W$195,MATCH(Data!H85,'FY 22 OFA Shell'!$H$27:$H$195,0))</f>
        <v>7256</v>
      </c>
      <c r="P85" s="65">
        <f>INDEX('FY 22 OFA Shell'!$Z$27:$Z$195,MATCH(Data!H85,'FY 22 OFA Shell'!$H$27:$H$195,0))</f>
        <v>95757</v>
      </c>
      <c r="Q85" s="63">
        <f>INDEX('FY 22 OFA Shell'!$AF$27:$AF$195,MATCH(Data!H85,'FY 22 OFA Shell'!$H$27:$H$195,0))</f>
        <v>0</v>
      </c>
      <c r="R85" s="66">
        <f>INDEX('FY 22 OFA Shell'!$AG$27:$AG$195,MATCH(Data!H85,'FY 22 OFA Shell'!$H$27:$H$195,0))</f>
        <v>0</v>
      </c>
      <c r="S85" s="66">
        <f>INDEX('FY 22 OFA Shell'!$AJ$27:$AJ$195,MATCH(Data!H85,'FY 22 OFA Shell'!$H$27:$H$195,0))</f>
        <v>0</v>
      </c>
      <c r="T85" s="66">
        <f>INDEX('FY 22 OFA Shell'!$AK$27:$AK$195,MATCH(Data!H85,'FY 22 OFA Shell'!$H$27:$H$195,0))</f>
        <v>0</v>
      </c>
      <c r="U85" s="135">
        <v>5410404</v>
      </c>
      <c r="V85" s="67">
        <f>ROUND(J85*Inputs!$E$22, 2)</f>
        <v>77.400000000000006</v>
      </c>
      <c r="W85" s="68">
        <f>I85+V85+K85*Inputs!$E$28+Data!M85</f>
        <v>973.65</v>
      </c>
      <c r="X85" s="69">
        <f t="shared" si="40"/>
        <v>131697.24</v>
      </c>
      <c r="Y85" s="70">
        <f>ROUND(X85/Inputs!$E$32, 6)</f>
        <v>0.68404600000000004</v>
      </c>
      <c r="Z85" s="70">
        <f>ROUND(P85/Inputs!$E$33, 6)</f>
        <v>0.79470200000000002</v>
      </c>
      <c r="AA85" s="59">
        <f>ROUND(1-((Y85*Inputs!$E$29)+Z85*Inputs!$E$27), 6)</f>
        <v>0.28275699999999998</v>
      </c>
      <c r="AB85" s="59">
        <v>233.48346265873474</v>
      </c>
      <c r="AC85" s="73">
        <f>INDEX('FY 22 OFA Shell'!$G$27:$G$195,MATCH(Data!H85,'FY 22 OFA Shell'!$H$27:$H$195,0))</f>
        <v>57</v>
      </c>
      <c r="AD85" s="73">
        <f t="shared" si="54"/>
        <v>5</v>
      </c>
      <c r="AE85" s="65">
        <v>5410404</v>
      </c>
      <c r="AF85" s="65">
        <f t="shared" si="41"/>
        <v>-2237498</v>
      </c>
      <c r="AG85" s="65">
        <f t="shared" si="42"/>
        <v>-2237498</v>
      </c>
      <c r="AH85" s="52">
        <v>4706618</v>
      </c>
      <c r="AI85" s="107">
        <v>4916815.25</v>
      </c>
      <c r="AJ85"/>
      <c r="AK85">
        <v>0</v>
      </c>
      <c r="AL85" s="165">
        <f>INDEX('FY 22 OFA Shell'!$AU$27:$AU$195,MATCH(Data!H85,'FY 22 OFA Shell'!$H$27:$H$195,0))</f>
        <v>4578589</v>
      </c>
      <c r="AM85" s="165">
        <f>Outputs!H90</f>
        <v>3172906</v>
      </c>
      <c r="AN85" s="165">
        <f>Outputs!G90+Outputs!D90+Outputs!F90</f>
        <v>3172906</v>
      </c>
      <c r="AO85" s="165">
        <v>4761063</v>
      </c>
      <c r="AP85" s="165">
        <f t="shared" si="43"/>
        <v>4916815.25</v>
      </c>
      <c r="AQ85" s="52" t="str">
        <f t="shared" si="44"/>
        <v>No</v>
      </c>
      <c r="AR85" s="308">
        <f>ABS(IF(AQ85="Yes",AF85*Inputs!$D$50,Data!AF85*Inputs!$D$51))</f>
        <v>0</v>
      </c>
      <c r="AS85" s="308">
        <f t="shared" si="55"/>
        <v>4578589</v>
      </c>
      <c r="AT85" s="308">
        <f t="shared" si="45"/>
        <v>4578589</v>
      </c>
      <c r="AU85" s="308"/>
      <c r="AV85" s="308">
        <f>ABS(IF($AQ85="Yes",$AF85*Inputs!E$50,Data!$AF85*Inputs!E$51))</f>
        <v>0</v>
      </c>
      <c r="AW85" s="308">
        <f>ABS(IF($AQ85="Yes",$AF85*Inputs!F$50,Data!$AF85*Inputs!F$51))</f>
        <v>186383.5834</v>
      </c>
      <c r="AX85" s="308">
        <f>ABS(IF($AQ85="Yes",$AF85*Inputs!G$50,Data!$AF85*Inputs!G$51))</f>
        <v>186383.5834</v>
      </c>
      <c r="AY85" s="308">
        <f>ABS(IF($AQ85="Yes",$AF85*Inputs!H$50,Data!$AF85*Inputs!H$51))</f>
        <v>186383.5834</v>
      </c>
      <c r="AZ85" s="308">
        <f>ABS(IF($AQ85="Yes",$AF85*Inputs!I$50,Data!$AF85*Inputs!I$51))</f>
        <v>186383.5834</v>
      </c>
      <c r="BA85" s="308">
        <f>ABS(IF($AQ85="Yes",$AF85*Inputs!J$50,Data!$AF85*Inputs!J$51))</f>
        <v>186383.5834</v>
      </c>
      <c r="BB85" s="308">
        <f>ABS(IF($AQ85="Yes",$AF85*Inputs!K$50,Data!$AF85*Inputs!K$51))</f>
        <v>186383.5834</v>
      </c>
      <c r="BC85" s="308">
        <f>ABS(IF($AQ85="Yes",$AF85*Inputs!L$50,Data!$AF85*Inputs!L$51))</f>
        <v>186383.5834</v>
      </c>
      <c r="BE85" s="308">
        <f t="shared" si="56"/>
        <v>4578589</v>
      </c>
      <c r="BF85" s="308">
        <f t="shared" si="57"/>
        <v>4392205.4166000001</v>
      </c>
      <c r="BG85" s="308">
        <f t="shared" si="58"/>
        <v>4205821.8332000002</v>
      </c>
      <c r="BH85" s="308">
        <f t="shared" si="59"/>
        <v>4019438.2498000003</v>
      </c>
      <c r="BI85" s="308">
        <f t="shared" si="60"/>
        <v>3833054.6664000005</v>
      </c>
      <c r="BJ85" s="308">
        <f t="shared" si="61"/>
        <v>3646671.0830000006</v>
      </c>
      <c r="BK85" s="308">
        <f t="shared" si="62"/>
        <v>3460287.4996000007</v>
      </c>
      <c r="BL85" s="308">
        <f t="shared" si="63"/>
        <v>3172906</v>
      </c>
      <c r="BN85" s="308">
        <f t="shared" si="46"/>
        <v>4578589</v>
      </c>
      <c r="BO85" s="308">
        <f t="shared" si="47"/>
        <v>4392205.4166000001</v>
      </c>
      <c r="BP85" s="308">
        <f t="shared" si="48"/>
        <v>4205821.8332000002</v>
      </c>
      <c r="BQ85" s="308">
        <f t="shared" si="49"/>
        <v>4019438.2498000003</v>
      </c>
      <c r="BR85" s="308">
        <f t="shared" si="50"/>
        <v>3833054.6664000005</v>
      </c>
      <c r="BS85" s="308">
        <f t="shared" si="51"/>
        <v>3646671.0830000006</v>
      </c>
      <c r="BT85" s="308">
        <f t="shared" si="52"/>
        <v>3460287.4996000007</v>
      </c>
      <c r="BU85" s="308">
        <f t="shared" si="64"/>
        <v>3172906</v>
      </c>
    </row>
    <row r="86" spans="1:73" ht="15" x14ac:dyDescent="0.2">
      <c r="A86" s="62" t="s">
        <v>84</v>
      </c>
      <c r="B86" s="55" t="s">
        <v>14</v>
      </c>
      <c r="C86" s="55"/>
      <c r="D86" s="55"/>
      <c r="E86" s="55"/>
      <c r="F86" s="55"/>
      <c r="G86" s="48">
        <v>7</v>
      </c>
      <c r="H86" s="55">
        <v>72</v>
      </c>
      <c r="I86" s="55">
        <f>INDEX('FY 22 OFA Shell'!$K$27:$K$195,MATCH(Data!H86,'FY 22 OFA Shell'!$H$27:$H$195,0))</f>
        <v>2319.91</v>
      </c>
      <c r="J86" s="55">
        <f>INDEX('FY 22 OFA Shell'!$N$27:$N$195,MATCH(Data!H86,'FY 22 OFA Shell'!$H$27:$H$195,0))</f>
        <v>666</v>
      </c>
      <c r="K86" s="64">
        <f>INDEX('FY 22 OFA Shell'!$S$27:$S$195,MATCH(Data!H86,'FY 22 OFA Shell'!$H$27:$H$195,0))</f>
        <v>35</v>
      </c>
      <c r="L86" s="150">
        <f t="shared" si="53"/>
        <v>0.28708010224534575</v>
      </c>
      <c r="M86" s="149">
        <f>MAX(((L86-Inputs!$E$23)*Data!I86)*Inputs!$E$24,0)</f>
        <v>0</v>
      </c>
      <c r="N86" s="151">
        <f>INDEX('FY 22 OFA Shell'!$V$27:$V$195,MATCH(Data!H86,'FY 22 OFA Shell'!$H$27:$H$195,0))</f>
        <v>1667846165.3299999</v>
      </c>
      <c r="O86" s="63">
        <f>INDEX('FY 22 OFA Shell'!$W$27:$W$195,MATCH(Data!H86,'FY 22 OFA Shell'!$H$27:$H$195,0))</f>
        <v>14850</v>
      </c>
      <c r="P86" s="65">
        <f>INDEX('FY 22 OFA Shell'!$Z$27:$Z$195,MATCH(Data!H86,'FY 22 OFA Shell'!$H$27:$H$195,0))</f>
        <v>91268</v>
      </c>
      <c r="Q86" s="63">
        <f>INDEX('FY 22 OFA Shell'!$AF$27:$AF$195,MATCH(Data!H86,'FY 22 OFA Shell'!$H$27:$H$195,0))</f>
        <v>0</v>
      </c>
      <c r="R86" s="66">
        <f>INDEX('FY 22 OFA Shell'!$AG$27:$AG$195,MATCH(Data!H86,'FY 22 OFA Shell'!$H$27:$H$195,0))</f>
        <v>0</v>
      </c>
      <c r="S86" s="66">
        <f>INDEX('FY 22 OFA Shell'!$AJ$27:$AJ$195,MATCH(Data!H86,'FY 22 OFA Shell'!$H$27:$H$195,0))</f>
        <v>0</v>
      </c>
      <c r="T86" s="66">
        <f>INDEX('FY 22 OFA Shell'!$AK$27:$AK$195,MATCH(Data!H86,'FY 22 OFA Shell'!$H$27:$H$195,0))</f>
        <v>0</v>
      </c>
      <c r="U86" s="135">
        <v>11977384</v>
      </c>
      <c r="V86" s="67">
        <f>ROUND(J86*Inputs!$E$22, 2)</f>
        <v>199.8</v>
      </c>
      <c r="W86" s="68">
        <f>I86+V86+K86*Inputs!$E$28+Data!M86</f>
        <v>2528.46</v>
      </c>
      <c r="X86" s="69">
        <f t="shared" si="40"/>
        <v>112312.87</v>
      </c>
      <c r="Y86" s="70">
        <f>ROUND(X86/Inputs!$E$32, 6)</f>
        <v>0.58336200000000005</v>
      </c>
      <c r="Z86" s="70">
        <f>ROUND(P86/Inputs!$E$33, 6)</f>
        <v>0.75744699999999998</v>
      </c>
      <c r="AA86" s="59">
        <f>ROUND(1-((Y86*Inputs!$E$29)+Z86*Inputs!$E$27), 6)</f>
        <v>0.36441299999999999</v>
      </c>
      <c r="AB86" s="59">
        <v>241.29307159798293</v>
      </c>
      <c r="AC86" s="73">
        <f>INDEX('FY 22 OFA Shell'!$G$27:$G$195,MATCH(Data!H86,'FY 22 OFA Shell'!$H$27:$H$195,0))</f>
        <v>45</v>
      </c>
      <c r="AD86" s="73">
        <f t="shared" si="54"/>
        <v>5</v>
      </c>
      <c r="AE86" s="65">
        <v>11977384</v>
      </c>
      <c r="AF86" s="65">
        <f t="shared" si="41"/>
        <v>-1358206</v>
      </c>
      <c r="AG86" s="65">
        <f t="shared" si="42"/>
        <v>-1358206</v>
      </c>
      <c r="AH86" s="52">
        <v>10418444</v>
      </c>
      <c r="AI86" s="107">
        <v>11686862</v>
      </c>
      <c r="AJ86">
        <v>4</v>
      </c>
      <c r="AK86">
        <v>5089.9517332163232</v>
      </c>
      <c r="AL86" s="165">
        <f>INDEX('FY 22 OFA Shell'!$AU$27:$AU$195,MATCH(Data!H86,'FY 22 OFA Shell'!$H$27:$H$195,0))</f>
        <v>11492516</v>
      </c>
      <c r="AM86" s="165">
        <f>Outputs!H91</f>
        <v>10619178</v>
      </c>
      <c r="AN86" s="165">
        <f>Outputs!G91+Outputs!D91+Outputs!F91</f>
        <v>10619178</v>
      </c>
      <c r="AO86" s="165">
        <v>11601318</v>
      </c>
      <c r="AP86" s="165">
        <f t="shared" si="43"/>
        <v>11691951.951733217</v>
      </c>
      <c r="AQ86" s="52" t="str">
        <f t="shared" si="44"/>
        <v>No</v>
      </c>
      <c r="AR86" s="308">
        <f>ABS(IF(AQ86="Yes",AF86*Inputs!$D$50,Data!AF86*Inputs!$D$51))</f>
        <v>0</v>
      </c>
      <c r="AS86" s="308">
        <f t="shared" si="55"/>
        <v>11492516</v>
      </c>
      <c r="AT86" s="308">
        <f t="shared" si="45"/>
        <v>11492516</v>
      </c>
      <c r="AU86" s="308"/>
      <c r="AV86" s="308">
        <f>ABS(IF($AQ86="Yes",$AF86*Inputs!E$50,Data!$AF86*Inputs!E$51))</f>
        <v>0</v>
      </c>
      <c r="AW86" s="308">
        <f>ABS(IF($AQ86="Yes",$AF86*Inputs!F$50,Data!$AF86*Inputs!F$51))</f>
        <v>113138.5598</v>
      </c>
      <c r="AX86" s="308">
        <f>ABS(IF($AQ86="Yes",$AF86*Inputs!G$50,Data!$AF86*Inputs!G$51))</f>
        <v>113138.5598</v>
      </c>
      <c r="AY86" s="308">
        <f>ABS(IF($AQ86="Yes",$AF86*Inputs!H$50,Data!$AF86*Inputs!H$51))</f>
        <v>113138.5598</v>
      </c>
      <c r="AZ86" s="308">
        <f>ABS(IF($AQ86="Yes",$AF86*Inputs!I$50,Data!$AF86*Inputs!I$51))</f>
        <v>113138.5598</v>
      </c>
      <c r="BA86" s="308">
        <f>ABS(IF($AQ86="Yes",$AF86*Inputs!J$50,Data!$AF86*Inputs!J$51))</f>
        <v>113138.5598</v>
      </c>
      <c r="BB86" s="308">
        <f>ABS(IF($AQ86="Yes",$AF86*Inputs!K$50,Data!$AF86*Inputs!K$51))</f>
        <v>113138.5598</v>
      </c>
      <c r="BC86" s="308">
        <f>ABS(IF($AQ86="Yes",$AF86*Inputs!L$50,Data!$AF86*Inputs!L$51))</f>
        <v>113138.5598</v>
      </c>
      <c r="BE86" s="308">
        <f t="shared" si="56"/>
        <v>11492516</v>
      </c>
      <c r="BF86" s="308">
        <f t="shared" si="57"/>
        <v>11379377.440199999</v>
      </c>
      <c r="BG86" s="308">
        <f t="shared" si="58"/>
        <v>11266238.880399998</v>
      </c>
      <c r="BH86" s="308">
        <f t="shared" si="59"/>
        <v>11153100.320599997</v>
      </c>
      <c r="BI86" s="308">
        <f t="shared" si="60"/>
        <v>11039961.760799997</v>
      </c>
      <c r="BJ86" s="308">
        <f t="shared" si="61"/>
        <v>10926823.200999996</v>
      </c>
      <c r="BK86" s="308">
        <f t="shared" si="62"/>
        <v>10813684.641199995</v>
      </c>
      <c r="BL86" s="308">
        <f t="shared" si="63"/>
        <v>10619178</v>
      </c>
      <c r="BN86" s="308">
        <f t="shared" si="46"/>
        <v>11492516</v>
      </c>
      <c r="BO86" s="308">
        <f t="shared" si="47"/>
        <v>11379377.440199999</v>
      </c>
      <c r="BP86" s="308">
        <f t="shared" si="48"/>
        <v>11266238.880399998</v>
      </c>
      <c r="BQ86" s="308">
        <f t="shared" si="49"/>
        <v>11153100.320599997</v>
      </c>
      <c r="BR86" s="308">
        <f t="shared" si="50"/>
        <v>11039961.760799997</v>
      </c>
      <c r="BS86" s="308">
        <f t="shared" si="51"/>
        <v>10926823.200999996</v>
      </c>
      <c r="BT86" s="308">
        <f t="shared" si="52"/>
        <v>10813684.641199995</v>
      </c>
      <c r="BU86" s="308">
        <f t="shared" si="64"/>
        <v>10619178</v>
      </c>
    </row>
    <row r="87" spans="1:73" ht="15" x14ac:dyDescent="0.2">
      <c r="A87" s="62" t="s">
        <v>85</v>
      </c>
      <c r="B87" s="55" t="s">
        <v>8</v>
      </c>
      <c r="C87" s="55"/>
      <c r="D87" s="55"/>
      <c r="E87" s="55"/>
      <c r="F87" s="55"/>
      <c r="G87" s="48">
        <v>7</v>
      </c>
      <c r="H87" s="55">
        <v>73</v>
      </c>
      <c r="I87" s="55">
        <f>INDEX('FY 22 OFA Shell'!$K$27:$K$195,MATCH(Data!H87,'FY 22 OFA Shell'!$H$27:$H$195,0))</f>
        <v>580.02</v>
      </c>
      <c r="J87" s="55">
        <f>INDEX('FY 22 OFA Shell'!$N$27:$N$195,MATCH(Data!H87,'FY 22 OFA Shell'!$H$27:$H$195,0))</f>
        <v>203</v>
      </c>
      <c r="K87" s="64">
        <f>INDEX('FY 22 OFA Shell'!$S$27:$S$195,MATCH(Data!H87,'FY 22 OFA Shell'!$H$27:$H$195,0))</f>
        <v>12</v>
      </c>
      <c r="L87" s="150">
        <f t="shared" si="53"/>
        <v>0.34998793145063967</v>
      </c>
      <c r="M87" s="149">
        <f>MAX(((L87-Inputs!$E$23)*Data!I87)*Inputs!$E$24,0)</f>
        <v>0</v>
      </c>
      <c r="N87" s="151">
        <f>INDEX('FY 22 OFA Shell'!$V$27:$V$195,MATCH(Data!H87,'FY 22 OFA Shell'!$H$27:$H$195,0))</f>
        <v>579860344.33000004</v>
      </c>
      <c r="O87" s="63">
        <f>INDEX('FY 22 OFA Shell'!$W$27:$W$195,MATCH(Data!H87,'FY 22 OFA Shell'!$H$27:$H$195,0))</f>
        <v>4272</v>
      </c>
      <c r="P87" s="65">
        <f>INDEX('FY 22 OFA Shell'!$Z$27:$Z$195,MATCH(Data!H87,'FY 22 OFA Shell'!$H$27:$H$195,0))</f>
        <v>88553</v>
      </c>
      <c r="Q87" s="63">
        <f>INDEX('FY 22 OFA Shell'!$AF$27:$AF$195,MATCH(Data!H87,'FY 22 OFA Shell'!$H$27:$H$195,0))</f>
        <v>0</v>
      </c>
      <c r="R87" s="66">
        <f>INDEX('FY 22 OFA Shell'!$AG$27:$AG$195,MATCH(Data!H87,'FY 22 OFA Shell'!$H$27:$H$195,0))</f>
        <v>0</v>
      </c>
      <c r="S87" s="66">
        <f>INDEX('FY 22 OFA Shell'!$AJ$27:$AJ$195,MATCH(Data!H87,'FY 22 OFA Shell'!$H$27:$H$195,0))</f>
        <v>122</v>
      </c>
      <c r="T87" s="66">
        <f>INDEX('FY 22 OFA Shell'!$AK$27:$AK$195,MATCH(Data!H87,'FY 22 OFA Shell'!$H$27:$H$195,0))</f>
        <v>4</v>
      </c>
      <c r="U87" s="135">
        <v>3518715</v>
      </c>
      <c r="V87" s="67">
        <f>ROUND(J87*Inputs!$E$22, 2)</f>
        <v>60.9</v>
      </c>
      <c r="W87" s="68">
        <f>I87+V87+K87*Inputs!$E$28+Data!M87</f>
        <v>643.91999999999996</v>
      </c>
      <c r="X87" s="69">
        <f t="shared" si="40"/>
        <v>135735.1</v>
      </c>
      <c r="Y87" s="70">
        <f>ROUND(X87/Inputs!$E$32, 6)</f>
        <v>0.70501899999999995</v>
      </c>
      <c r="Z87" s="70">
        <f>ROUND(P87/Inputs!$E$33, 6)</f>
        <v>0.73491499999999998</v>
      </c>
      <c r="AA87" s="59">
        <f>ROUND(1-((Y87*Inputs!$E$29)+Z87*Inputs!$E$27), 6)</f>
        <v>0.28601199999999999</v>
      </c>
      <c r="AB87" s="59">
        <v>231.44289711582618</v>
      </c>
      <c r="AC87" s="73">
        <f>INDEX('FY 22 OFA Shell'!$G$27:$G$195,MATCH(Data!H87,'FY 22 OFA Shell'!$H$27:$H$195,0))</f>
        <v>51</v>
      </c>
      <c r="AD87" s="73">
        <f t="shared" si="54"/>
        <v>5</v>
      </c>
      <c r="AE87" s="65">
        <v>3518715</v>
      </c>
      <c r="AF87" s="65">
        <f t="shared" si="41"/>
        <v>-1347369</v>
      </c>
      <c r="AG87" s="65">
        <f t="shared" si="42"/>
        <v>-1347369</v>
      </c>
      <c r="AH87" s="52">
        <v>3061109</v>
      </c>
      <c r="AI87" s="107">
        <v>3146060</v>
      </c>
      <c r="AJ87"/>
      <c r="AK87">
        <v>0</v>
      </c>
      <c r="AL87" s="165">
        <f>INDEX('FY 22 OFA Shell'!$AU$27:$AU$195,MATCH(Data!H87,'FY 22 OFA Shell'!$H$27:$H$195,0))</f>
        <v>2899516</v>
      </c>
      <c r="AM87" s="165">
        <f>Outputs!H92</f>
        <v>2171346</v>
      </c>
      <c r="AN87" s="165">
        <f>Outputs!G92+Outputs!D92+Outputs!F92</f>
        <v>2171346</v>
      </c>
      <c r="AO87" s="165">
        <v>3019504</v>
      </c>
      <c r="AP87" s="165">
        <f t="shared" si="43"/>
        <v>3146060</v>
      </c>
      <c r="AQ87" s="52" t="str">
        <f t="shared" si="44"/>
        <v>No</v>
      </c>
      <c r="AR87" s="308">
        <f>ABS(IF(AQ87="Yes",AF87*Inputs!$D$50,Data!AF87*Inputs!$D$51))</f>
        <v>0</v>
      </c>
      <c r="AS87" s="308">
        <f t="shared" si="55"/>
        <v>2899516</v>
      </c>
      <c r="AT87" s="308">
        <f t="shared" si="45"/>
        <v>2899516</v>
      </c>
      <c r="AU87" s="308"/>
      <c r="AV87" s="308">
        <f>ABS(IF($AQ87="Yes",$AF87*Inputs!E$50,Data!$AF87*Inputs!E$51))</f>
        <v>0</v>
      </c>
      <c r="AW87" s="308">
        <f>ABS(IF($AQ87="Yes",$AF87*Inputs!F$50,Data!$AF87*Inputs!F$51))</f>
        <v>112235.8377</v>
      </c>
      <c r="AX87" s="308">
        <f>ABS(IF($AQ87="Yes",$AF87*Inputs!G$50,Data!$AF87*Inputs!G$51))</f>
        <v>112235.8377</v>
      </c>
      <c r="AY87" s="308">
        <f>ABS(IF($AQ87="Yes",$AF87*Inputs!H$50,Data!$AF87*Inputs!H$51))</f>
        <v>112235.8377</v>
      </c>
      <c r="AZ87" s="308">
        <f>ABS(IF($AQ87="Yes",$AF87*Inputs!I$50,Data!$AF87*Inputs!I$51))</f>
        <v>112235.8377</v>
      </c>
      <c r="BA87" s="308">
        <f>ABS(IF($AQ87="Yes",$AF87*Inputs!J$50,Data!$AF87*Inputs!J$51))</f>
        <v>112235.8377</v>
      </c>
      <c r="BB87" s="308">
        <f>ABS(IF($AQ87="Yes",$AF87*Inputs!K$50,Data!$AF87*Inputs!K$51))</f>
        <v>112235.8377</v>
      </c>
      <c r="BC87" s="308">
        <f>ABS(IF($AQ87="Yes",$AF87*Inputs!L$50,Data!$AF87*Inputs!L$51))</f>
        <v>112235.8377</v>
      </c>
      <c r="BE87" s="308">
        <f t="shared" si="56"/>
        <v>2899516</v>
      </c>
      <c r="BF87" s="308">
        <f t="shared" si="57"/>
        <v>2787280.1623</v>
      </c>
      <c r="BG87" s="308">
        <f t="shared" si="58"/>
        <v>2675044.3245999999</v>
      </c>
      <c r="BH87" s="308">
        <f t="shared" si="59"/>
        <v>2562808.4868999999</v>
      </c>
      <c r="BI87" s="308">
        <f t="shared" si="60"/>
        <v>2450572.6491999999</v>
      </c>
      <c r="BJ87" s="308">
        <f t="shared" si="61"/>
        <v>2338336.8114999998</v>
      </c>
      <c r="BK87" s="308">
        <f t="shared" si="62"/>
        <v>2226100.9737999998</v>
      </c>
      <c r="BL87" s="308">
        <f t="shared" si="63"/>
        <v>2171346</v>
      </c>
      <c r="BN87" s="308">
        <f t="shared" si="46"/>
        <v>2899516</v>
      </c>
      <c r="BO87" s="308">
        <f t="shared" si="47"/>
        <v>2787280.1623</v>
      </c>
      <c r="BP87" s="308">
        <f t="shared" si="48"/>
        <v>2675044.3245999999</v>
      </c>
      <c r="BQ87" s="308">
        <f t="shared" si="49"/>
        <v>2562808.4868999999</v>
      </c>
      <c r="BR87" s="308">
        <f t="shared" si="50"/>
        <v>2450572.6491999999</v>
      </c>
      <c r="BS87" s="308">
        <f t="shared" si="51"/>
        <v>2338336.8114999998</v>
      </c>
      <c r="BT87" s="308">
        <f t="shared" si="52"/>
        <v>2226100.9737999998</v>
      </c>
      <c r="BU87" s="308">
        <f t="shared" si="64"/>
        <v>2171346</v>
      </c>
    </row>
    <row r="88" spans="1:73" ht="15" x14ac:dyDescent="0.2">
      <c r="A88" s="62" t="s">
        <v>86</v>
      </c>
      <c r="B88" s="55" t="s">
        <v>8</v>
      </c>
      <c r="C88" s="55"/>
      <c r="D88" s="55"/>
      <c r="E88" s="55"/>
      <c r="F88" s="55"/>
      <c r="G88" s="48">
        <v>4</v>
      </c>
      <c r="H88" s="55">
        <v>74</v>
      </c>
      <c r="I88" s="55">
        <f>INDEX('FY 22 OFA Shell'!$K$27:$K$195,MATCH(Data!H88,'FY 22 OFA Shell'!$H$27:$H$195,0))</f>
        <v>818.94</v>
      </c>
      <c r="J88" s="55">
        <f>INDEX('FY 22 OFA Shell'!$N$27:$N$195,MATCH(Data!H88,'FY 22 OFA Shell'!$H$27:$H$195,0))</f>
        <v>152</v>
      </c>
      <c r="K88" s="64">
        <f>INDEX('FY 22 OFA Shell'!$S$27:$S$195,MATCH(Data!H88,'FY 22 OFA Shell'!$H$27:$H$195,0))</f>
        <v>2</v>
      </c>
      <c r="L88" s="150">
        <f t="shared" si="53"/>
        <v>0.18560578308545192</v>
      </c>
      <c r="M88" s="149">
        <f>MAX(((L88-Inputs!$E$23)*Data!I88)*Inputs!$E$24,0)</f>
        <v>0</v>
      </c>
      <c r="N88" s="151">
        <f>INDEX('FY 22 OFA Shell'!$V$27:$V$195,MATCH(Data!H88,'FY 22 OFA Shell'!$H$27:$H$195,0))</f>
        <v>1489543433.6700001</v>
      </c>
      <c r="O88" s="63">
        <f>INDEX('FY 22 OFA Shell'!$W$27:$W$195,MATCH(Data!H88,'FY 22 OFA Shell'!$H$27:$H$195,0))</f>
        <v>8198</v>
      </c>
      <c r="P88" s="65">
        <f>INDEX('FY 22 OFA Shell'!$Z$27:$Z$195,MATCH(Data!H88,'FY 22 OFA Shell'!$H$27:$H$195,0))</f>
        <v>80570</v>
      </c>
      <c r="Q88" s="63">
        <f>INDEX('FY 22 OFA Shell'!$AF$27:$AF$195,MATCH(Data!H88,'FY 22 OFA Shell'!$H$27:$H$195,0))</f>
        <v>0</v>
      </c>
      <c r="R88" s="66">
        <f>INDEX('FY 22 OFA Shell'!$AG$27:$AG$195,MATCH(Data!H88,'FY 22 OFA Shell'!$H$27:$H$195,0))</f>
        <v>0</v>
      </c>
      <c r="S88" s="66">
        <f>INDEX('FY 22 OFA Shell'!$AJ$27:$AJ$195,MATCH(Data!H88,'FY 22 OFA Shell'!$H$27:$H$195,0))</f>
        <v>0</v>
      </c>
      <c r="T88" s="66">
        <f>INDEX('FY 22 OFA Shell'!$AK$27:$AK$195,MATCH(Data!H88,'FY 22 OFA Shell'!$H$27:$H$195,0))</f>
        <v>0</v>
      </c>
      <c r="U88" s="135">
        <v>1446598</v>
      </c>
      <c r="V88" s="67">
        <f>ROUND(J88*Inputs!$E$22, 2)</f>
        <v>45.6</v>
      </c>
      <c r="W88" s="68">
        <f>I88+V88+K88*Inputs!$E$28+Data!M88</f>
        <v>865.04000000000008</v>
      </c>
      <c r="X88" s="69">
        <f t="shared" si="40"/>
        <v>181695.95</v>
      </c>
      <c r="Y88" s="70">
        <f>ROUND(X88/Inputs!$E$32, 6)</f>
        <v>0.94374400000000003</v>
      </c>
      <c r="Z88" s="70">
        <f>ROUND(P88/Inputs!$E$33, 6)</f>
        <v>0.66866300000000001</v>
      </c>
      <c r="AA88" s="59">
        <f>ROUND(1-((Y88*Inputs!$E$29)+Z88*Inputs!$E$27), 6)</f>
        <v>0.13877999999999999</v>
      </c>
      <c r="AB88" s="59">
        <v>207.13101128255985</v>
      </c>
      <c r="AC88" s="73">
        <f>INDEX('FY 22 OFA Shell'!$G$27:$G$195,MATCH(Data!H88,'FY 22 OFA Shell'!$H$27:$H$195,0))</f>
        <v>120</v>
      </c>
      <c r="AD88" s="73">
        <f t="shared" si="54"/>
        <v>5</v>
      </c>
      <c r="AE88" s="65">
        <v>1446598</v>
      </c>
      <c r="AF88" s="65">
        <f t="shared" si="41"/>
        <v>-63019</v>
      </c>
      <c r="AG88" s="65">
        <f t="shared" si="42"/>
        <v>-63019</v>
      </c>
      <c r="AH88" s="52">
        <v>1236926</v>
      </c>
      <c r="AI88" s="107">
        <v>1330817.75</v>
      </c>
      <c r="AJ88"/>
      <c r="AK88">
        <v>0</v>
      </c>
      <c r="AL88" s="165">
        <f>INDEX('FY 22 OFA Shell'!$AU$27:$AU$195,MATCH(Data!H88,'FY 22 OFA Shell'!$H$27:$H$195,0))</f>
        <v>1293502</v>
      </c>
      <c r="AM88" s="165">
        <f>Outputs!H93</f>
        <v>1383579</v>
      </c>
      <c r="AN88" s="165">
        <f>Outputs!G93+Outputs!D93+Outputs!F93</f>
        <v>1383579</v>
      </c>
      <c r="AO88" s="165">
        <v>1300927</v>
      </c>
      <c r="AP88" s="165">
        <f t="shared" si="43"/>
        <v>1330817.75</v>
      </c>
      <c r="AQ88" s="52" t="str">
        <f t="shared" si="44"/>
        <v>No</v>
      </c>
      <c r="AR88" s="308">
        <f>ABS(IF(AQ88="Yes",AF88*Inputs!$D$50,Data!AF88*Inputs!$D$51))</f>
        <v>0</v>
      </c>
      <c r="AS88" s="308">
        <f t="shared" si="55"/>
        <v>1293502</v>
      </c>
      <c r="AT88" s="308">
        <f t="shared" si="45"/>
        <v>1293502</v>
      </c>
      <c r="AU88" s="308"/>
      <c r="AV88" s="308">
        <f>ABS(IF($AQ88="Yes",$AF88*Inputs!E$50,Data!$AF88*Inputs!E$51))</f>
        <v>0</v>
      </c>
      <c r="AW88" s="308">
        <f>ABS(IF($AQ88="Yes",$AF88*Inputs!F$50,Data!$AF88*Inputs!F$51))</f>
        <v>5249.4826999999996</v>
      </c>
      <c r="AX88" s="308">
        <f>ABS(IF($AQ88="Yes",$AF88*Inputs!G$50,Data!$AF88*Inputs!G$51))</f>
        <v>5249.4826999999996</v>
      </c>
      <c r="AY88" s="308">
        <f>ABS(IF($AQ88="Yes",$AF88*Inputs!H$50,Data!$AF88*Inputs!H$51))</f>
        <v>5249.4826999999996</v>
      </c>
      <c r="AZ88" s="308">
        <f>ABS(IF($AQ88="Yes",$AF88*Inputs!I$50,Data!$AF88*Inputs!I$51))</f>
        <v>5249.4826999999996</v>
      </c>
      <c r="BA88" s="308">
        <f>ABS(IF($AQ88="Yes",$AF88*Inputs!J$50,Data!$AF88*Inputs!J$51))</f>
        <v>5249.4826999999996</v>
      </c>
      <c r="BB88" s="308">
        <f>ABS(IF($AQ88="Yes",$AF88*Inputs!K$50,Data!$AF88*Inputs!K$51))</f>
        <v>5249.4826999999996</v>
      </c>
      <c r="BC88" s="308">
        <f>ABS(IF($AQ88="Yes",$AF88*Inputs!L$50,Data!$AF88*Inputs!L$51))</f>
        <v>5249.4826999999996</v>
      </c>
      <c r="BE88" s="308">
        <f t="shared" si="56"/>
        <v>1293502</v>
      </c>
      <c r="BF88" s="308">
        <f t="shared" si="57"/>
        <v>1288252.5172999999</v>
      </c>
      <c r="BG88" s="308">
        <f t="shared" si="58"/>
        <v>1283003.0345999999</v>
      </c>
      <c r="BH88" s="308">
        <f t="shared" si="59"/>
        <v>1277753.5518999998</v>
      </c>
      <c r="BI88" s="308">
        <f t="shared" si="60"/>
        <v>1272504.0691999998</v>
      </c>
      <c r="BJ88" s="308">
        <f t="shared" si="61"/>
        <v>1267254.5864999997</v>
      </c>
      <c r="BK88" s="308">
        <f t="shared" si="62"/>
        <v>1262005.1037999997</v>
      </c>
      <c r="BL88" s="308">
        <f t="shared" si="63"/>
        <v>1383579</v>
      </c>
      <c r="BN88" s="308">
        <f t="shared" si="46"/>
        <v>1293502</v>
      </c>
      <c r="BO88" s="308">
        <f t="shared" si="47"/>
        <v>1288252.5172999999</v>
      </c>
      <c r="BP88" s="308">
        <f t="shared" si="48"/>
        <v>1283003.0345999999</v>
      </c>
      <c r="BQ88" s="308">
        <f t="shared" si="49"/>
        <v>1277753.5518999998</v>
      </c>
      <c r="BR88" s="308">
        <f t="shared" si="50"/>
        <v>1272504.0691999998</v>
      </c>
      <c r="BS88" s="308">
        <f t="shared" si="51"/>
        <v>1267254.5864999997</v>
      </c>
      <c r="BT88" s="308">
        <f t="shared" si="52"/>
        <v>1262005.1037999997</v>
      </c>
      <c r="BU88" s="308">
        <f t="shared" si="64"/>
        <v>1383579</v>
      </c>
    </row>
    <row r="89" spans="1:73" ht="15" x14ac:dyDescent="0.2">
      <c r="A89" s="62" t="s">
        <v>87</v>
      </c>
      <c r="B89" s="55" t="s">
        <v>4</v>
      </c>
      <c r="C89" s="55"/>
      <c r="D89" s="55"/>
      <c r="E89" s="55"/>
      <c r="F89" s="55"/>
      <c r="G89" s="48">
        <v>1</v>
      </c>
      <c r="H89" s="55">
        <v>75</v>
      </c>
      <c r="I89" s="55">
        <f>INDEX('FY 22 OFA Shell'!$K$27:$K$195,MATCH(Data!H89,'FY 22 OFA Shell'!$H$27:$H$195,0))</f>
        <v>238.79</v>
      </c>
      <c r="J89" s="55">
        <f>INDEX('FY 22 OFA Shell'!$N$27:$N$195,MATCH(Data!H89,'FY 22 OFA Shell'!$H$27:$H$195,0))</f>
        <v>51</v>
      </c>
      <c r="K89" s="64">
        <f>INDEX('FY 22 OFA Shell'!$S$27:$S$195,MATCH(Data!H89,'FY 22 OFA Shell'!$H$27:$H$195,0))</f>
        <v>2</v>
      </c>
      <c r="L89" s="150">
        <f t="shared" si="53"/>
        <v>0.2135767829473596</v>
      </c>
      <c r="M89" s="149">
        <f>MAX(((L89-Inputs!$E$23)*Data!I89)*Inputs!$E$24,0)</f>
        <v>0</v>
      </c>
      <c r="N89" s="151">
        <f>INDEX('FY 22 OFA Shell'!$V$27:$V$195,MATCH(Data!H89,'FY 22 OFA Shell'!$H$27:$H$195,0))</f>
        <v>723969099.66999996</v>
      </c>
      <c r="O89" s="63">
        <f>INDEX('FY 22 OFA Shell'!$W$27:$W$195,MATCH(Data!H89,'FY 22 OFA Shell'!$H$27:$H$195,0))</f>
        <v>2469</v>
      </c>
      <c r="P89" s="65">
        <f>INDEX('FY 22 OFA Shell'!$Z$27:$Z$195,MATCH(Data!H89,'FY 22 OFA Shell'!$H$27:$H$195,0))</f>
        <v>96146</v>
      </c>
      <c r="Q89" s="63">
        <f>INDEX('FY 22 OFA Shell'!$AF$27:$AF$195,MATCH(Data!H89,'FY 22 OFA Shell'!$H$27:$H$195,0))</f>
        <v>238</v>
      </c>
      <c r="R89" s="66">
        <f>INDEX('FY 22 OFA Shell'!$AG$27:$AG$195,MATCH(Data!H89,'FY 22 OFA Shell'!$H$27:$H$195,0))</f>
        <v>13</v>
      </c>
      <c r="S89" s="66">
        <f>INDEX('FY 22 OFA Shell'!$AJ$27:$AJ$195,MATCH(Data!H89,'FY 22 OFA Shell'!$H$27:$H$195,0))</f>
        <v>0</v>
      </c>
      <c r="T89" s="66">
        <f>INDEX('FY 22 OFA Shell'!$AK$27:$AK$195,MATCH(Data!H89,'FY 22 OFA Shell'!$H$27:$H$195,0))</f>
        <v>0</v>
      </c>
      <c r="U89" s="135">
        <v>63069</v>
      </c>
      <c r="V89" s="67">
        <f>ROUND(J89*Inputs!$E$22, 2)</f>
        <v>15.3</v>
      </c>
      <c r="W89" s="68">
        <f>I89+V89+K89*Inputs!$E$28+Data!M89</f>
        <v>254.59</v>
      </c>
      <c r="X89" s="69">
        <f t="shared" si="40"/>
        <v>293223.61</v>
      </c>
      <c r="Y89" s="70">
        <f>ROUND(X89/Inputs!$E$32, 6)</f>
        <v>1.523028</v>
      </c>
      <c r="Z89" s="70">
        <f>ROUND(P89/Inputs!$E$33, 6)</f>
        <v>0.79793000000000003</v>
      </c>
      <c r="AA89" s="59">
        <f>ROUND(1-((Y89*Inputs!$E$29)+Z89*Inputs!$E$27), 6)</f>
        <v>-0.30549900000000002</v>
      </c>
      <c r="AB89" s="59">
        <v>142.95029545183326</v>
      </c>
      <c r="AC89" s="73">
        <f>INDEX('FY 22 OFA Shell'!$G$27:$G$195,MATCH(Data!H89,'FY 22 OFA Shell'!$H$27:$H$195,0))</f>
        <v>160</v>
      </c>
      <c r="AD89" s="73">
        <f t="shared" si="54"/>
        <v>5</v>
      </c>
      <c r="AE89" s="65">
        <v>63069</v>
      </c>
      <c r="AF89" s="65">
        <f t="shared" si="41"/>
        <v>275672</v>
      </c>
      <c r="AG89" s="65">
        <f t="shared" si="42"/>
        <v>275672</v>
      </c>
      <c r="AH89" s="52">
        <v>54577</v>
      </c>
      <c r="AI89" s="107">
        <v>61597</v>
      </c>
      <c r="AJ89">
        <v>1</v>
      </c>
      <c r="AK89">
        <v>1272.4879333040808</v>
      </c>
      <c r="AL89" s="165">
        <f>INDEX('FY 22 OFA Shell'!$AU$27:$AU$195,MATCH(Data!H89,'FY 22 OFA Shell'!$H$27:$H$195,0))</f>
        <v>60216</v>
      </c>
      <c r="AM89" s="165">
        <f>Outputs!H94</f>
        <v>338741</v>
      </c>
      <c r="AN89" s="165">
        <f>Outputs!G94+Outputs!D94+Outputs!F94</f>
        <v>338741</v>
      </c>
      <c r="AO89" s="165">
        <v>60912</v>
      </c>
      <c r="AP89" s="165">
        <f t="shared" si="43"/>
        <v>62869.487933304081</v>
      </c>
      <c r="AQ89" s="52" t="str">
        <f t="shared" si="44"/>
        <v>Yes</v>
      </c>
      <c r="AR89" s="308">
        <f>ABS(IF(AQ89="Yes",AF89*Inputs!$D$50,Data!AF89*Inputs!$D$51))</f>
        <v>29386.635200000001</v>
      </c>
      <c r="AS89" s="308">
        <f t="shared" si="55"/>
        <v>89602.635200000004</v>
      </c>
      <c r="AT89" s="308">
        <f t="shared" si="45"/>
        <v>89602.635200000004</v>
      </c>
      <c r="AU89" s="308"/>
      <c r="AV89" s="308">
        <f>ABS(IF($AQ89="Yes",$AF89*Inputs!E$50,Data!$AF89*Inputs!E$51))</f>
        <v>29386.635200000001</v>
      </c>
      <c r="AW89" s="308">
        <f>ABS(IF($AQ89="Yes",$AF89*Inputs!F$50,Data!$AF89*Inputs!F$51))</f>
        <v>29386.635200000001</v>
      </c>
      <c r="AX89" s="308">
        <f>ABS(IF($AQ89="Yes",$AF89*Inputs!G$50,Data!$AF89*Inputs!G$51))</f>
        <v>29386.635200000001</v>
      </c>
      <c r="AY89" s="308">
        <f>ABS(IF($AQ89="Yes",$AF89*Inputs!H$50,Data!$AF89*Inputs!H$51))</f>
        <v>29386.635200000001</v>
      </c>
      <c r="AZ89" s="308">
        <f>ABS(IF($AQ89="Yes",$AF89*Inputs!I$50,Data!$AF89*Inputs!I$51))</f>
        <v>29386.635200000001</v>
      </c>
      <c r="BA89" s="308">
        <f>ABS(IF($AQ89="Yes",$AF89*Inputs!J$50,Data!$AF89*Inputs!J$51))</f>
        <v>29386.635200000001</v>
      </c>
      <c r="BB89" s="308">
        <f>ABS(IF($AQ89="Yes",$AF89*Inputs!K$50,Data!$AF89*Inputs!K$51))</f>
        <v>0</v>
      </c>
      <c r="BC89" s="308">
        <f>ABS(IF($AQ89="Yes",$AF89*Inputs!L$50,Data!$AF89*Inputs!L$51))</f>
        <v>0</v>
      </c>
      <c r="BE89" s="308">
        <f t="shared" si="56"/>
        <v>118989.27040000001</v>
      </c>
      <c r="BF89" s="308">
        <f t="shared" si="57"/>
        <v>148375.9056</v>
      </c>
      <c r="BG89" s="308">
        <f t="shared" si="58"/>
        <v>177762.54079999999</v>
      </c>
      <c r="BH89" s="308">
        <f t="shared" si="59"/>
        <v>207149.17599999998</v>
      </c>
      <c r="BI89" s="308">
        <f t="shared" si="60"/>
        <v>236535.81119999997</v>
      </c>
      <c r="BJ89" s="308">
        <f t="shared" si="61"/>
        <v>338741</v>
      </c>
      <c r="BK89" s="308">
        <f t="shared" si="62"/>
        <v>338741</v>
      </c>
      <c r="BL89" s="308">
        <f t="shared" si="63"/>
        <v>338741</v>
      </c>
      <c r="BN89" s="308">
        <f t="shared" si="46"/>
        <v>118989.27040000001</v>
      </c>
      <c r="BO89" s="308">
        <f t="shared" si="47"/>
        <v>148375.9056</v>
      </c>
      <c r="BP89" s="308">
        <f t="shared" si="48"/>
        <v>177762.54079999999</v>
      </c>
      <c r="BQ89" s="308">
        <f t="shared" si="49"/>
        <v>207149.17599999998</v>
      </c>
      <c r="BR89" s="308">
        <f t="shared" si="50"/>
        <v>236535.81119999997</v>
      </c>
      <c r="BS89" s="308">
        <f t="shared" si="51"/>
        <v>338741</v>
      </c>
      <c r="BT89" s="308">
        <f t="shared" si="52"/>
        <v>338741</v>
      </c>
      <c r="BU89" s="308">
        <f t="shared" si="64"/>
        <v>338741</v>
      </c>
    </row>
    <row r="90" spans="1:73" ht="15" x14ac:dyDescent="0.2">
      <c r="A90" s="62" t="s">
        <v>88</v>
      </c>
      <c r="B90" s="55" t="s">
        <v>10</v>
      </c>
      <c r="C90" s="55"/>
      <c r="D90" s="55"/>
      <c r="E90" s="55"/>
      <c r="F90" s="55"/>
      <c r="G90" s="48">
        <v>2</v>
      </c>
      <c r="H90" s="55">
        <v>76</v>
      </c>
      <c r="I90" s="55">
        <f>INDEX('FY 22 OFA Shell'!$K$27:$K$195,MATCH(Data!H90,'FY 22 OFA Shell'!$H$27:$H$195,0))</f>
        <v>2477.96</v>
      </c>
      <c r="J90" s="55">
        <f>INDEX('FY 22 OFA Shell'!$N$27:$N$195,MATCH(Data!H90,'FY 22 OFA Shell'!$H$27:$H$195,0))</f>
        <v>90</v>
      </c>
      <c r="K90" s="64">
        <f>INDEX('FY 22 OFA Shell'!$S$27:$S$195,MATCH(Data!H90,'FY 22 OFA Shell'!$H$27:$H$195,0))</f>
        <v>35</v>
      </c>
      <c r="L90" s="150">
        <f t="shared" si="53"/>
        <v>3.6320198873266721E-2</v>
      </c>
      <c r="M90" s="149">
        <f>MAX(((L90-Inputs!$E$23)*Data!I90)*Inputs!$E$24,0)</f>
        <v>0</v>
      </c>
      <c r="N90" s="151">
        <f>INDEX('FY 22 OFA Shell'!$V$27:$V$195,MATCH(Data!H90,'FY 22 OFA Shell'!$H$27:$H$195,0))</f>
        <v>4221142071.6700001</v>
      </c>
      <c r="O90" s="63">
        <f>INDEX('FY 22 OFA Shell'!$W$27:$W$195,MATCH(Data!H90,'FY 22 OFA Shell'!$H$27:$H$195,0))</f>
        <v>18183</v>
      </c>
      <c r="P90" s="65">
        <f>INDEX('FY 22 OFA Shell'!$Z$27:$Z$195,MATCH(Data!H90,'FY 22 OFA Shell'!$H$27:$H$195,0))</f>
        <v>104754</v>
      </c>
      <c r="Q90" s="63">
        <f>INDEX('FY 22 OFA Shell'!$AF$27:$AF$195,MATCH(Data!H90,'FY 22 OFA Shell'!$H$27:$H$195,0))</f>
        <v>0</v>
      </c>
      <c r="R90" s="66">
        <f>INDEX('FY 22 OFA Shell'!$AG$27:$AG$195,MATCH(Data!H90,'FY 22 OFA Shell'!$H$27:$H$195,0))</f>
        <v>0</v>
      </c>
      <c r="S90" s="66">
        <f>INDEX('FY 22 OFA Shell'!$AJ$27:$AJ$195,MATCH(Data!H90,'FY 22 OFA Shell'!$H$27:$H$195,0))</f>
        <v>0</v>
      </c>
      <c r="T90" s="66">
        <f>INDEX('FY 22 OFA Shell'!$AK$27:$AK$195,MATCH(Data!H90,'FY 22 OFA Shell'!$H$27:$H$195,0))</f>
        <v>0</v>
      </c>
      <c r="U90" s="135">
        <v>446496</v>
      </c>
      <c r="V90" s="67">
        <f>ROUND(J90*Inputs!$E$22, 2)</f>
        <v>27</v>
      </c>
      <c r="W90" s="68">
        <f>I90+V90+K90*Inputs!$E$28+Data!M90</f>
        <v>2513.71</v>
      </c>
      <c r="X90" s="69">
        <f t="shared" si="40"/>
        <v>232147.72</v>
      </c>
      <c r="Y90" s="70">
        <f>ROUND(X90/Inputs!$E$32, 6)</f>
        <v>1.205794</v>
      </c>
      <c r="Z90" s="70">
        <f>ROUND(P90/Inputs!$E$33, 6)</f>
        <v>0.86936899999999995</v>
      </c>
      <c r="AA90" s="59">
        <f>ROUND(1-((Y90*Inputs!$E$29)+Z90*Inputs!$E$27), 6)</f>
        <v>-0.104867</v>
      </c>
      <c r="AB90" s="59">
        <v>174.30632494208467</v>
      </c>
      <c r="AC90" s="73">
        <f>INDEX('FY 22 OFA Shell'!$G$27:$G$195,MATCH(Data!H90,'FY 22 OFA Shell'!$H$27:$H$195,0))</f>
        <v>145</v>
      </c>
      <c r="AD90" s="73">
        <f t="shared" si="54"/>
        <v>5</v>
      </c>
      <c r="AE90" s="65">
        <v>446496</v>
      </c>
      <c r="AF90" s="65">
        <f t="shared" si="41"/>
        <v>-156791</v>
      </c>
      <c r="AG90" s="65">
        <f t="shared" si="42"/>
        <v>-156791</v>
      </c>
      <c r="AH90" s="52">
        <v>370877</v>
      </c>
      <c r="AI90" s="107">
        <v>417669</v>
      </c>
      <c r="AJ90"/>
      <c r="AK90">
        <v>0</v>
      </c>
      <c r="AL90" s="165">
        <f>INDEX('FY 22 OFA Shell'!$AU$27:$AU$195,MATCH(Data!H90,'FY 22 OFA Shell'!$H$27:$H$195,0))</f>
        <v>395466</v>
      </c>
      <c r="AM90" s="165">
        <f>Outputs!H95</f>
        <v>289705</v>
      </c>
      <c r="AN90" s="165">
        <f>Outputs!G95+Outputs!D95+Outputs!F95</f>
        <v>289705</v>
      </c>
      <c r="AO90" s="165">
        <v>407115</v>
      </c>
      <c r="AP90" s="165">
        <f t="shared" si="43"/>
        <v>417669</v>
      </c>
      <c r="AQ90" s="52" t="str">
        <f t="shared" si="44"/>
        <v>No</v>
      </c>
      <c r="AR90" s="308">
        <f>ABS(IF(AQ90="Yes",AF90*Inputs!$D$50,Data!AF90*Inputs!$D$51))</f>
        <v>0</v>
      </c>
      <c r="AS90" s="308">
        <f t="shared" si="55"/>
        <v>395466</v>
      </c>
      <c r="AT90" s="308">
        <f t="shared" si="45"/>
        <v>395466</v>
      </c>
      <c r="AU90" s="308"/>
      <c r="AV90" s="308">
        <f>ABS(IF($AQ90="Yes",$AF90*Inputs!E$50,Data!$AF90*Inputs!E$51))</f>
        <v>0</v>
      </c>
      <c r="AW90" s="308">
        <f>ABS(IF($AQ90="Yes",$AF90*Inputs!F$50,Data!$AF90*Inputs!F$51))</f>
        <v>13060.6903</v>
      </c>
      <c r="AX90" s="308">
        <f>ABS(IF($AQ90="Yes",$AF90*Inputs!G$50,Data!$AF90*Inputs!G$51))</f>
        <v>13060.6903</v>
      </c>
      <c r="AY90" s="308">
        <f>ABS(IF($AQ90="Yes",$AF90*Inputs!H$50,Data!$AF90*Inputs!H$51))</f>
        <v>13060.6903</v>
      </c>
      <c r="AZ90" s="308">
        <f>ABS(IF($AQ90="Yes",$AF90*Inputs!I$50,Data!$AF90*Inputs!I$51))</f>
        <v>13060.6903</v>
      </c>
      <c r="BA90" s="308">
        <f>ABS(IF($AQ90="Yes",$AF90*Inputs!J$50,Data!$AF90*Inputs!J$51))</f>
        <v>13060.6903</v>
      </c>
      <c r="BB90" s="308">
        <f>ABS(IF($AQ90="Yes",$AF90*Inputs!K$50,Data!$AF90*Inputs!K$51))</f>
        <v>13060.6903</v>
      </c>
      <c r="BC90" s="308">
        <f>ABS(IF($AQ90="Yes",$AF90*Inputs!L$50,Data!$AF90*Inputs!L$51))</f>
        <v>13060.6903</v>
      </c>
      <c r="BE90" s="308">
        <f t="shared" si="56"/>
        <v>395466</v>
      </c>
      <c r="BF90" s="308">
        <f t="shared" si="57"/>
        <v>382405.30969999998</v>
      </c>
      <c r="BG90" s="308">
        <f t="shared" si="58"/>
        <v>369344.61939999997</v>
      </c>
      <c r="BH90" s="308">
        <f t="shared" si="59"/>
        <v>356283.92909999995</v>
      </c>
      <c r="BI90" s="308">
        <f t="shared" si="60"/>
        <v>343223.23879999993</v>
      </c>
      <c r="BJ90" s="308">
        <f t="shared" si="61"/>
        <v>330162.54849999992</v>
      </c>
      <c r="BK90" s="308">
        <f t="shared" si="62"/>
        <v>317101.8581999999</v>
      </c>
      <c r="BL90" s="308">
        <f t="shared" si="63"/>
        <v>289705</v>
      </c>
      <c r="BN90" s="308">
        <f t="shared" si="46"/>
        <v>395466</v>
      </c>
      <c r="BO90" s="308">
        <f t="shared" si="47"/>
        <v>382405.30969999998</v>
      </c>
      <c r="BP90" s="308">
        <f t="shared" si="48"/>
        <v>369344.61939999997</v>
      </c>
      <c r="BQ90" s="308">
        <f t="shared" si="49"/>
        <v>356283.92909999995</v>
      </c>
      <c r="BR90" s="308">
        <f t="shared" si="50"/>
        <v>343223.23879999993</v>
      </c>
      <c r="BS90" s="308">
        <f t="shared" si="51"/>
        <v>330162.54849999992</v>
      </c>
      <c r="BT90" s="308">
        <f t="shared" si="52"/>
        <v>317101.8581999999</v>
      </c>
      <c r="BU90" s="308">
        <f t="shared" si="64"/>
        <v>289705</v>
      </c>
    </row>
    <row r="91" spans="1:73" ht="15" x14ac:dyDescent="0.2">
      <c r="A91" s="62" t="s">
        <v>89</v>
      </c>
      <c r="B91" s="55" t="s">
        <v>19</v>
      </c>
      <c r="C91" s="55"/>
      <c r="D91" s="55">
        <v>1</v>
      </c>
      <c r="E91" s="55">
        <v>1</v>
      </c>
      <c r="F91" s="55"/>
      <c r="G91" s="48">
        <v>9</v>
      </c>
      <c r="H91" s="55">
        <v>77</v>
      </c>
      <c r="I91" s="55">
        <f>INDEX('FY 22 OFA Shell'!$K$27:$K$195,MATCH(Data!H91,'FY 22 OFA Shell'!$H$27:$H$195,0))</f>
        <v>7390.01</v>
      </c>
      <c r="J91" s="55">
        <f>INDEX('FY 22 OFA Shell'!$N$27:$N$195,MATCH(Data!H91,'FY 22 OFA Shell'!$H$27:$H$195,0))</f>
        <v>4288</v>
      </c>
      <c r="K91" s="64">
        <f>INDEX('FY 22 OFA Shell'!$S$27:$S$195,MATCH(Data!H91,'FY 22 OFA Shell'!$H$27:$H$195,0))</f>
        <v>521</v>
      </c>
      <c r="L91" s="150">
        <f t="shared" si="53"/>
        <v>0.58024278722220946</v>
      </c>
      <c r="M91" s="149">
        <f>MAX(((L91-Inputs!$E$23)*Data!I91)*Inputs!$E$24,0)</f>
        <v>0</v>
      </c>
      <c r="N91" s="151">
        <f>INDEX('FY 22 OFA Shell'!$V$27:$V$195,MATCH(Data!H91,'FY 22 OFA Shell'!$H$27:$H$195,0))</f>
        <v>5990360631</v>
      </c>
      <c r="O91" s="63">
        <f>INDEX('FY 22 OFA Shell'!$W$27:$W$195,MATCH(Data!H91,'FY 22 OFA Shell'!$H$27:$H$195,0))</f>
        <v>57955</v>
      </c>
      <c r="P91" s="65">
        <f>INDEX('FY 22 OFA Shell'!$Z$27:$Z$195,MATCH(Data!H91,'FY 22 OFA Shell'!$H$27:$H$195,0))</f>
        <v>70736</v>
      </c>
      <c r="Q91" s="63">
        <f>INDEX('FY 22 OFA Shell'!$AF$27:$AF$195,MATCH(Data!H91,'FY 22 OFA Shell'!$H$27:$H$195,0))</f>
        <v>0</v>
      </c>
      <c r="R91" s="66">
        <f>INDEX('FY 22 OFA Shell'!$AG$27:$AG$195,MATCH(Data!H91,'FY 22 OFA Shell'!$H$27:$H$195,0))</f>
        <v>0</v>
      </c>
      <c r="S91" s="66">
        <f>INDEX('FY 22 OFA Shell'!$AJ$27:$AJ$195,MATCH(Data!H91,'FY 22 OFA Shell'!$H$27:$H$195,0))</f>
        <v>0</v>
      </c>
      <c r="T91" s="66">
        <f>INDEX('FY 22 OFA Shell'!$AK$27:$AK$195,MATCH(Data!H91,'FY 22 OFA Shell'!$H$27:$H$195,0))</f>
        <v>0</v>
      </c>
      <c r="U91" s="135">
        <v>34440424</v>
      </c>
      <c r="V91" s="67">
        <f>ROUND(J91*Inputs!$E$22, 2)</f>
        <v>1286.4000000000001</v>
      </c>
      <c r="W91" s="68">
        <f>I91+V91+K91*Inputs!$E$28+Data!M91</f>
        <v>8806.66</v>
      </c>
      <c r="X91" s="69">
        <f t="shared" si="40"/>
        <v>103362.27</v>
      </c>
      <c r="Y91" s="70">
        <f>ROUND(X91/Inputs!$E$32, 6)</f>
        <v>0.53687200000000002</v>
      </c>
      <c r="Z91" s="70">
        <f>ROUND(P91/Inputs!$E$33, 6)</f>
        <v>0.58704900000000004</v>
      </c>
      <c r="AA91" s="59">
        <f>ROUND(1-((Y91*Inputs!$E$29)+Z91*Inputs!$E$27), 6)</f>
        <v>0.448075</v>
      </c>
      <c r="AB91" s="59">
        <v>288.83689744091612</v>
      </c>
      <c r="AC91" s="73">
        <f>INDEX('FY 22 OFA Shell'!$G$27:$G$195,MATCH(Data!H91,'FY 22 OFA Shell'!$H$27:$H$195,0))</f>
        <v>18</v>
      </c>
      <c r="AD91" s="73">
        <f t="shared" si="54"/>
        <v>4</v>
      </c>
      <c r="AE91" s="65">
        <v>34440424</v>
      </c>
      <c r="AF91" s="65">
        <f t="shared" si="41"/>
        <v>14082638</v>
      </c>
      <c r="AG91" s="65">
        <f t="shared" si="42"/>
        <v>14082638</v>
      </c>
      <c r="AH91" s="52">
        <v>34190424</v>
      </c>
      <c r="AI91" s="107">
        <v>34936995.787</v>
      </c>
      <c r="AJ91">
        <v>28</v>
      </c>
      <c r="AK91">
        <v>35629.662132514262</v>
      </c>
      <c r="AL91" s="165">
        <f>INDEX('FY 22 OFA Shell'!$AU$27:$AU$195,MATCH(Data!H91,'FY 22 OFA Shell'!$H$27:$H$195,0))</f>
        <v>38251467</v>
      </c>
      <c r="AM91" s="165">
        <f>Outputs!H96</f>
        <v>48523062</v>
      </c>
      <c r="AN91" s="165">
        <f>Outputs!G96+Outputs!D96+Outputs!F96</f>
        <v>48523062</v>
      </c>
      <c r="AO91" s="165">
        <v>36228543</v>
      </c>
      <c r="AP91" s="165">
        <f t="shared" si="43"/>
        <v>34972625.449132517</v>
      </c>
      <c r="AQ91" s="52" t="str">
        <f t="shared" si="44"/>
        <v>Yes</v>
      </c>
      <c r="AR91" s="308">
        <f>ABS(IF(AQ91="Yes",AF91*Inputs!$D$50,Data!AF91*Inputs!$D$51))</f>
        <v>1501209.2108</v>
      </c>
      <c r="AS91" s="308">
        <f t="shared" si="55"/>
        <v>39752676.2108</v>
      </c>
      <c r="AT91" s="308">
        <f t="shared" si="45"/>
        <v>39752676.2108</v>
      </c>
      <c r="AU91" s="308"/>
      <c r="AV91" s="308">
        <f>ABS(IF($AQ91="Yes",$AF91*Inputs!E$50,Data!$AF91*Inputs!E$51))</f>
        <v>1501209.2108</v>
      </c>
      <c r="AW91" s="308">
        <f>ABS(IF($AQ91="Yes",$AF91*Inputs!F$50,Data!$AF91*Inputs!F$51))</f>
        <v>1501209.2108</v>
      </c>
      <c r="AX91" s="308">
        <f>ABS(IF($AQ91="Yes",$AF91*Inputs!G$50,Data!$AF91*Inputs!G$51))</f>
        <v>1501209.2108</v>
      </c>
      <c r="AY91" s="308">
        <f>ABS(IF($AQ91="Yes",$AF91*Inputs!H$50,Data!$AF91*Inputs!H$51))</f>
        <v>1501209.2108</v>
      </c>
      <c r="AZ91" s="308">
        <f>ABS(IF($AQ91="Yes",$AF91*Inputs!I$50,Data!$AF91*Inputs!I$51))</f>
        <v>1501209.2108</v>
      </c>
      <c r="BA91" s="308">
        <f>ABS(IF($AQ91="Yes",$AF91*Inputs!J$50,Data!$AF91*Inputs!J$51))</f>
        <v>1501209.2108</v>
      </c>
      <c r="BB91" s="308">
        <f>ABS(IF($AQ91="Yes",$AF91*Inputs!K$50,Data!$AF91*Inputs!K$51))</f>
        <v>0</v>
      </c>
      <c r="BC91" s="308">
        <f>ABS(IF($AQ91="Yes",$AF91*Inputs!L$50,Data!$AF91*Inputs!L$51))</f>
        <v>0</v>
      </c>
      <c r="BE91" s="308">
        <f t="shared" si="56"/>
        <v>41253885.421599999</v>
      </c>
      <c r="BF91" s="308">
        <f t="shared" si="57"/>
        <v>42755094.632399999</v>
      </c>
      <c r="BG91" s="308">
        <f t="shared" si="58"/>
        <v>44256303.843199998</v>
      </c>
      <c r="BH91" s="308">
        <f t="shared" si="59"/>
        <v>45757513.053999998</v>
      </c>
      <c r="BI91" s="308">
        <f t="shared" si="60"/>
        <v>47258722.264799997</v>
      </c>
      <c r="BJ91" s="308">
        <f t="shared" si="61"/>
        <v>48523062</v>
      </c>
      <c r="BK91" s="308">
        <f t="shared" si="62"/>
        <v>48523062</v>
      </c>
      <c r="BL91" s="308">
        <f t="shared" si="63"/>
        <v>48523062</v>
      </c>
      <c r="BN91" s="308">
        <f t="shared" si="46"/>
        <v>41253885.421599999</v>
      </c>
      <c r="BO91" s="308">
        <f t="shared" si="47"/>
        <v>42755094.632399999</v>
      </c>
      <c r="BP91" s="308">
        <f t="shared" si="48"/>
        <v>44256303.843199998</v>
      </c>
      <c r="BQ91" s="308">
        <f t="shared" si="49"/>
        <v>45757513.053999998</v>
      </c>
      <c r="BR91" s="308">
        <f t="shared" si="50"/>
        <v>47258722.264799997</v>
      </c>
      <c r="BS91" s="308">
        <f t="shared" si="51"/>
        <v>48523062</v>
      </c>
      <c r="BT91" s="308">
        <f t="shared" si="52"/>
        <v>48523062</v>
      </c>
      <c r="BU91" s="308">
        <f t="shared" si="64"/>
        <v>48523062</v>
      </c>
    </row>
    <row r="92" spans="1:73" ht="15" x14ac:dyDescent="0.2">
      <c r="A92" s="62" t="s">
        <v>90</v>
      </c>
      <c r="B92" s="55" t="s">
        <v>4</v>
      </c>
      <c r="C92" s="55"/>
      <c r="D92" s="55"/>
      <c r="E92" s="55"/>
      <c r="F92" s="55"/>
      <c r="G92" s="48">
        <v>8</v>
      </c>
      <c r="H92" s="55">
        <v>78</v>
      </c>
      <c r="I92" s="55">
        <f>INDEX('FY 22 OFA Shell'!$K$27:$K$195,MATCH(Data!H92,'FY 22 OFA Shell'!$H$27:$H$195,0))</f>
        <v>1579.92</v>
      </c>
      <c r="J92" s="55">
        <f>INDEX('FY 22 OFA Shell'!$N$27:$N$195,MATCH(Data!H92,'FY 22 OFA Shell'!$H$27:$H$195,0))</f>
        <v>464</v>
      </c>
      <c r="K92" s="64">
        <f>INDEX('FY 22 OFA Shell'!$S$27:$S$195,MATCH(Data!H92,'FY 22 OFA Shell'!$H$27:$H$195,0))</f>
        <v>49</v>
      </c>
      <c r="L92" s="150">
        <f t="shared" si="53"/>
        <v>0.29368575624082233</v>
      </c>
      <c r="M92" s="149">
        <f>MAX(((L92-Inputs!$E$23)*Data!I92)*Inputs!$E$24,0)</f>
        <v>0</v>
      </c>
      <c r="N92" s="151">
        <f>INDEX('FY 22 OFA Shell'!$V$27:$V$195,MATCH(Data!H92,'FY 22 OFA Shell'!$H$27:$H$195,0))</f>
        <v>1606825479</v>
      </c>
      <c r="O92" s="63">
        <f>INDEX('FY 22 OFA Shell'!$W$27:$W$195,MATCH(Data!H92,'FY 22 OFA Shell'!$H$27:$H$195,0))</f>
        <v>14110</v>
      </c>
      <c r="P92" s="65">
        <f>INDEX('FY 22 OFA Shell'!$Z$27:$Z$195,MATCH(Data!H92,'FY 22 OFA Shell'!$H$27:$H$195,0))</f>
        <v>56807</v>
      </c>
      <c r="Q92" s="63">
        <f>INDEX('FY 22 OFA Shell'!$AF$27:$AF$195,MATCH(Data!H92,'FY 22 OFA Shell'!$H$27:$H$195,0))</f>
        <v>525</v>
      </c>
      <c r="R92" s="66">
        <f>INDEX('FY 22 OFA Shell'!$AG$27:$AG$195,MATCH(Data!H92,'FY 22 OFA Shell'!$H$27:$H$195,0))</f>
        <v>4</v>
      </c>
      <c r="S92" s="66">
        <f>INDEX('FY 22 OFA Shell'!$AJ$27:$AJ$195,MATCH(Data!H92,'FY 22 OFA Shell'!$H$27:$H$195,0))</f>
        <v>0</v>
      </c>
      <c r="T92" s="66">
        <f>INDEX('FY 22 OFA Shell'!$AK$27:$AK$195,MATCH(Data!H92,'FY 22 OFA Shell'!$H$27:$H$195,0))</f>
        <v>0</v>
      </c>
      <c r="U92" s="135">
        <v>9947410</v>
      </c>
      <c r="V92" s="67">
        <f>ROUND(J92*Inputs!$E$22, 2)</f>
        <v>139.19999999999999</v>
      </c>
      <c r="W92" s="68">
        <f>I92+V92+K92*Inputs!$E$28+Data!M92</f>
        <v>1731.3700000000001</v>
      </c>
      <c r="X92" s="69">
        <f t="shared" si="40"/>
        <v>113878.49</v>
      </c>
      <c r="Y92" s="70">
        <f>ROUND(X92/Inputs!$E$32, 6)</f>
        <v>0.59149399999999996</v>
      </c>
      <c r="Z92" s="70">
        <f>ROUND(P92/Inputs!$E$33, 6)</f>
        <v>0.47144999999999998</v>
      </c>
      <c r="AA92" s="59">
        <f>ROUND(1-((Y92*Inputs!$E$29)+Z92*Inputs!$E$27), 6)</f>
        <v>0.444519</v>
      </c>
      <c r="AB92" s="59">
        <v>267.10485420448759</v>
      </c>
      <c r="AC92" s="73">
        <f>INDEX('FY 22 OFA Shell'!$G$27:$G$195,MATCH(Data!H92,'FY 22 OFA Shell'!$H$27:$H$195,0))</f>
        <v>47</v>
      </c>
      <c r="AD92" s="73">
        <f t="shared" si="54"/>
        <v>5</v>
      </c>
      <c r="AE92" s="65">
        <v>9947410</v>
      </c>
      <c r="AF92" s="65">
        <f t="shared" si="41"/>
        <v>-867460</v>
      </c>
      <c r="AG92" s="65">
        <f t="shared" si="42"/>
        <v>-867460</v>
      </c>
      <c r="AH92" s="52">
        <v>8623717</v>
      </c>
      <c r="AI92" s="107">
        <v>9675277</v>
      </c>
      <c r="AJ92"/>
      <c r="AK92">
        <v>0</v>
      </c>
      <c r="AL92" s="165">
        <f>INDEX('FY 22 OFA Shell'!$AU$27:$AU$195,MATCH(Data!H92,'FY 22 OFA Shell'!$H$27:$H$195,0))</f>
        <v>9459722</v>
      </c>
      <c r="AM92" s="165">
        <f>Outputs!H97</f>
        <v>9079950</v>
      </c>
      <c r="AN92" s="165">
        <f>Outputs!G97+Outputs!D97+Outputs!F97</f>
        <v>9079950</v>
      </c>
      <c r="AO92" s="165">
        <v>9561101</v>
      </c>
      <c r="AP92" s="165">
        <f t="shared" si="43"/>
        <v>9675277</v>
      </c>
      <c r="AQ92" s="52" t="str">
        <f t="shared" si="44"/>
        <v>No</v>
      </c>
      <c r="AR92" s="308">
        <f>ABS(IF(AQ92="Yes",AF92*Inputs!$D$50,Data!AF92*Inputs!$D$51))</f>
        <v>0</v>
      </c>
      <c r="AS92" s="308">
        <f t="shared" si="55"/>
        <v>9459722</v>
      </c>
      <c r="AT92" s="308">
        <f t="shared" si="45"/>
        <v>9459722</v>
      </c>
      <c r="AU92" s="308"/>
      <c r="AV92" s="308">
        <f>ABS(IF($AQ92="Yes",$AF92*Inputs!E$50,Data!$AF92*Inputs!E$51))</f>
        <v>0</v>
      </c>
      <c r="AW92" s="308">
        <f>ABS(IF($AQ92="Yes",$AF92*Inputs!F$50,Data!$AF92*Inputs!F$51))</f>
        <v>72259.418000000005</v>
      </c>
      <c r="AX92" s="308">
        <f>ABS(IF($AQ92="Yes",$AF92*Inputs!G$50,Data!$AF92*Inputs!G$51))</f>
        <v>72259.418000000005</v>
      </c>
      <c r="AY92" s="308">
        <f>ABS(IF($AQ92="Yes",$AF92*Inputs!H$50,Data!$AF92*Inputs!H$51))</f>
        <v>72259.418000000005</v>
      </c>
      <c r="AZ92" s="308">
        <f>ABS(IF($AQ92="Yes",$AF92*Inputs!I$50,Data!$AF92*Inputs!I$51))</f>
        <v>72259.418000000005</v>
      </c>
      <c r="BA92" s="308">
        <f>ABS(IF($AQ92="Yes",$AF92*Inputs!J$50,Data!$AF92*Inputs!J$51))</f>
        <v>72259.418000000005</v>
      </c>
      <c r="BB92" s="308">
        <f>ABS(IF($AQ92="Yes",$AF92*Inputs!K$50,Data!$AF92*Inputs!K$51))</f>
        <v>72259.418000000005</v>
      </c>
      <c r="BC92" s="308">
        <f>ABS(IF($AQ92="Yes",$AF92*Inputs!L$50,Data!$AF92*Inputs!L$51))</f>
        <v>72259.418000000005</v>
      </c>
      <c r="BE92" s="308">
        <f t="shared" si="56"/>
        <v>9459722</v>
      </c>
      <c r="BF92" s="308">
        <f t="shared" si="57"/>
        <v>9387462.5820000004</v>
      </c>
      <c r="BG92" s="308">
        <f t="shared" si="58"/>
        <v>9315203.1640000008</v>
      </c>
      <c r="BH92" s="308">
        <f t="shared" si="59"/>
        <v>9242943.7460000012</v>
      </c>
      <c r="BI92" s="308">
        <f t="shared" si="60"/>
        <v>9170684.3280000016</v>
      </c>
      <c r="BJ92" s="308">
        <f t="shared" si="61"/>
        <v>9098424.910000002</v>
      </c>
      <c r="BK92" s="308">
        <f t="shared" si="62"/>
        <v>9026165.4920000024</v>
      </c>
      <c r="BL92" s="308">
        <f t="shared" si="63"/>
        <v>9079950</v>
      </c>
      <c r="BN92" s="308">
        <f t="shared" si="46"/>
        <v>9459722</v>
      </c>
      <c r="BO92" s="308">
        <f t="shared" si="47"/>
        <v>9387462.5820000004</v>
      </c>
      <c r="BP92" s="308">
        <f t="shared" si="48"/>
        <v>9315203.1640000008</v>
      </c>
      <c r="BQ92" s="308">
        <f t="shared" si="49"/>
        <v>9242943.7460000012</v>
      </c>
      <c r="BR92" s="308">
        <f t="shared" si="50"/>
        <v>9170684.3280000016</v>
      </c>
      <c r="BS92" s="308">
        <f t="shared" si="51"/>
        <v>9098424.910000002</v>
      </c>
      <c r="BT92" s="308">
        <f t="shared" si="52"/>
        <v>9026165.4920000024</v>
      </c>
      <c r="BU92" s="308">
        <f t="shared" si="64"/>
        <v>9079950</v>
      </c>
    </row>
    <row r="93" spans="1:73" ht="15" x14ac:dyDescent="0.2">
      <c r="A93" s="62" t="s">
        <v>91</v>
      </c>
      <c r="B93" s="55" t="s">
        <v>4</v>
      </c>
      <c r="C93" s="55"/>
      <c r="D93" s="55"/>
      <c r="E93" s="55"/>
      <c r="F93" s="55"/>
      <c r="G93" s="48">
        <v>4</v>
      </c>
      <c r="H93" s="55">
        <v>79</v>
      </c>
      <c r="I93" s="55">
        <f>INDEX('FY 22 OFA Shell'!$K$27:$K$195,MATCH(Data!H93,'FY 22 OFA Shell'!$H$27:$H$195,0))</f>
        <v>934.13</v>
      </c>
      <c r="J93" s="55">
        <f>INDEX('FY 22 OFA Shell'!$N$27:$N$195,MATCH(Data!H93,'FY 22 OFA Shell'!$H$27:$H$195,0))</f>
        <v>137</v>
      </c>
      <c r="K93" s="64">
        <f>INDEX('FY 22 OFA Shell'!$S$27:$S$195,MATCH(Data!H93,'FY 22 OFA Shell'!$H$27:$H$195,0))</f>
        <v>7</v>
      </c>
      <c r="L93" s="150">
        <f t="shared" si="53"/>
        <v>0.14666052904841939</v>
      </c>
      <c r="M93" s="149">
        <f>MAX(((L93-Inputs!$E$23)*Data!I93)*Inputs!$E$24,0)</f>
        <v>0</v>
      </c>
      <c r="N93" s="151">
        <f>INDEX('FY 22 OFA Shell'!$V$27:$V$195,MATCH(Data!H93,'FY 22 OFA Shell'!$H$27:$H$195,0))</f>
        <v>863962490</v>
      </c>
      <c r="O93" s="63">
        <f>INDEX('FY 22 OFA Shell'!$W$27:$W$195,MATCH(Data!H93,'FY 22 OFA Shell'!$H$27:$H$195,0))</f>
        <v>6394</v>
      </c>
      <c r="P93" s="65">
        <f>INDEX('FY 22 OFA Shell'!$Z$27:$Z$195,MATCH(Data!H93,'FY 22 OFA Shell'!$H$27:$H$195,0))</f>
        <v>109750</v>
      </c>
      <c r="Q93" s="63">
        <f>INDEX('FY 22 OFA Shell'!$AF$27:$AF$195,MATCH(Data!H93,'FY 22 OFA Shell'!$H$27:$H$195,0))</f>
        <v>489</v>
      </c>
      <c r="R93" s="66">
        <f>INDEX('FY 22 OFA Shell'!$AG$27:$AG$195,MATCH(Data!H93,'FY 22 OFA Shell'!$H$27:$H$195,0))</f>
        <v>6</v>
      </c>
      <c r="S93" s="66">
        <f>INDEX('FY 22 OFA Shell'!$AJ$27:$AJ$195,MATCH(Data!H93,'FY 22 OFA Shell'!$H$27:$H$195,0))</f>
        <v>0</v>
      </c>
      <c r="T93" s="66">
        <f>INDEX('FY 22 OFA Shell'!$AK$27:$AK$195,MATCH(Data!H93,'FY 22 OFA Shell'!$H$27:$H$195,0))</f>
        <v>0</v>
      </c>
      <c r="U93" s="135">
        <v>3154015</v>
      </c>
      <c r="V93" s="67">
        <f>ROUND(J93*Inputs!$E$22, 2)</f>
        <v>41.1</v>
      </c>
      <c r="W93" s="68">
        <f>I93+V93+K93*Inputs!$E$28+Data!M93</f>
        <v>976.98</v>
      </c>
      <c r="X93" s="69">
        <f t="shared" si="40"/>
        <v>135120.81</v>
      </c>
      <c r="Y93" s="70">
        <f>ROUND(X93/Inputs!$E$32, 6)</f>
        <v>0.70182900000000004</v>
      </c>
      <c r="Z93" s="70">
        <f>ROUND(P93/Inputs!$E$33, 6)</f>
        <v>0.91083199999999997</v>
      </c>
      <c r="AA93" s="59">
        <f>ROUND(1-((Y93*Inputs!$E$29)+Z93*Inputs!$E$27), 6)</f>
        <v>0.23547000000000001</v>
      </c>
      <c r="AB93" s="59">
        <v>223.36141840906024</v>
      </c>
      <c r="AC93" s="73">
        <f>INDEX('FY 22 OFA Shell'!$G$27:$G$195,MATCH(Data!H93,'FY 22 OFA Shell'!$H$27:$H$195,0))</f>
        <v>101</v>
      </c>
      <c r="AD93" s="73">
        <f t="shared" si="54"/>
        <v>5</v>
      </c>
      <c r="AE93" s="65">
        <v>3154015</v>
      </c>
      <c r="AF93" s="65">
        <f t="shared" si="41"/>
        <v>-209295</v>
      </c>
      <c r="AG93" s="65">
        <f t="shared" si="42"/>
        <v>-209295</v>
      </c>
      <c r="AH93" s="52">
        <v>2740735</v>
      </c>
      <c r="AI93" s="107">
        <v>2989094.25</v>
      </c>
      <c r="AJ93"/>
      <c r="AK93">
        <v>0</v>
      </c>
      <c r="AL93" s="165">
        <f>INDEX('FY 22 OFA Shell'!$AU$27:$AU$195,MATCH(Data!H93,'FY 22 OFA Shell'!$H$27:$H$195,0))</f>
        <v>2902339</v>
      </c>
      <c r="AM93" s="165">
        <f>Outputs!H98</f>
        <v>2944720</v>
      </c>
      <c r="AN93" s="165">
        <f>Outputs!G98+Outputs!D98+Outputs!F98</f>
        <v>2944720</v>
      </c>
      <c r="AO93" s="165">
        <v>2951184</v>
      </c>
      <c r="AP93" s="165">
        <f t="shared" si="43"/>
        <v>2989094.25</v>
      </c>
      <c r="AQ93" s="52" t="str">
        <f t="shared" si="44"/>
        <v>No</v>
      </c>
      <c r="AR93" s="308">
        <f>ABS(IF(AQ93="Yes",AF93*Inputs!$D$50,Data!AF93*Inputs!$D$51))</f>
        <v>0</v>
      </c>
      <c r="AS93" s="308">
        <f t="shared" si="55"/>
        <v>2902339</v>
      </c>
      <c r="AT93" s="308">
        <f t="shared" si="45"/>
        <v>2902339</v>
      </c>
      <c r="AU93" s="308"/>
      <c r="AV93" s="308">
        <f>ABS(IF($AQ93="Yes",$AF93*Inputs!E$50,Data!$AF93*Inputs!E$51))</f>
        <v>0</v>
      </c>
      <c r="AW93" s="308">
        <f>ABS(IF($AQ93="Yes",$AF93*Inputs!F$50,Data!$AF93*Inputs!F$51))</f>
        <v>17434.273499999999</v>
      </c>
      <c r="AX93" s="308">
        <f>ABS(IF($AQ93="Yes",$AF93*Inputs!G$50,Data!$AF93*Inputs!G$51))</f>
        <v>17434.273499999999</v>
      </c>
      <c r="AY93" s="308">
        <f>ABS(IF($AQ93="Yes",$AF93*Inputs!H$50,Data!$AF93*Inputs!H$51))</f>
        <v>17434.273499999999</v>
      </c>
      <c r="AZ93" s="308">
        <f>ABS(IF($AQ93="Yes",$AF93*Inputs!I$50,Data!$AF93*Inputs!I$51))</f>
        <v>17434.273499999999</v>
      </c>
      <c r="BA93" s="308">
        <f>ABS(IF($AQ93="Yes",$AF93*Inputs!J$50,Data!$AF93*Inputs!J$51))</f>
        <v>17434.273499999999</v>
      </c>
      <c r="BB93" s="308">
        <f>ABS(IF($AQ93="Yes",$AF93*Inputs!K$50,Data!$AF93*Inputs!K$51))</f>
        <v>17434.273499999999</v>
      </c>
      <c r="BC93" s="308">
        <f>ABS(IF($AQ93="Yes",$AF93*Inputs!L$50,Data!$AF93*Inputs!L$51))</f>
        <v>17434.273499999999</v>
      </c>
      <c r="BE93" s="308">
        <f t="shared" si="56"/>
        <v>2902339</v>
      </c>
      <c r="BF93" s="308">
        <f t="shared" si="57"/>
        <v>2884904.7264999999</v>
      </c>
      <c r="BG93" s="308">
        <f t="shared" si="58"/>
        <v>2867470.4529999997</v>
      </c>
      <c r="BH93" s="308">
        <f t="shared" si="59"/>
        <v>2850036.1794999996</v>
      </c>
      <c r="BI93" s="308">
        <f t="shared" si="60"/>
        <v>2832601.9059999995</v>
      </c>
      <c r="BJ93" s="308">
        <f t="shared" si="61"/>
        <v>2815167.6324999994</v>
      </c>
      <c r="BK93" s="308">
        <f t="shared" si="62"/>
        <v>2797733.3589999992</v>
      </c>
      <c r="BL93" s="308">
        <f t="shared" si="63"/>
        <v>2944720</v>
      </c>
      <c r="BN93" s="308">
        <f t="shared" si="46"/>
        <v>2902339</v>
      </c>
      <c r="BO93" s="308">
        <f t="shared" si="47"/>
        <v>2884904.7264999999</v>
      </c>
      <c r="BP93" s="308">
        <f t="shared" si="48"/>
        <v>2867470.4529999997</v>
      </c>
      <c r="BQ93" s="308">
        <f t="shared" si="49"/>
        <v>2850036.1794999996</v>
      </c>
      <c r="BR93" s="308">
        <f t="shared" si="50"/>
        <v>2832601.9059999995</v>
      </c>
      <c r="BS93" s="308">
        <f t="shared" si="51"/>
        <v>2815167.6324999994</v>
      </c>
      <c r="BT93" s="308">
        <f t="shared" si="52"/>
        <v>2797733.3589999992</v>
      </c>
      <c r="BU93" s="308">
        <f t="shared" si="64"/>
        <v>2944720</v>
      </c>
    </row>
    <row r="94" spans="1:73" ht="15" x14ac:dyDescent="0.2">
      <c r="A94" s="62" t="s">
        <v>92</v>
      </c>
      <c r="B94" s="55" t="s">
        <v>6</v>
      </c>
      <c r="C94" s="55">
        <v>1</v>
      </c>
      <c r="D94" s="55">
        <v>1</v>
      </c>
      <c r="E94" s="55">
        <v>0</v>
      </c>
      <c r="F94" s="55">
        <v>1</v>
      </c>
      <c r="G94" s="48">
        <v>10</v>
      </c>
      <c r="H94" s="55">
        <v>80</v>
      </c>
      <c r="I94" s="55">
        <f>INDEX('FY 22 OFA Shell'!$K$27:$K$195,MATCH(Data!H94,'FY 22 OFA Shell'!$H$27:$H$195,0))</f>
        <v>8867</v>
      </c>
      <c r="J94" s="55">
        <f>INDEX('FY 22 OFA Shell'!$N$27:$N$195,MATCH(Data!H94,'FY 22 OFA Shell'!$H$27:$H$195,0))</f>
        <v>6684</v>
      </c>
      <c r="K94" s="64">
        <f>INDEX('FY 22 OFA Shell'!$S$27:$S$195,MATCH(Data!H94,'FY 22 OFA Shell'!$H$27:$H$195,0))</f>
        <v>1394</v>
      </c>
      <c r="L94" s="150">
        <f t="shared" si="53"/>
        <v>0.75380624788541783</v>
      </c>
      <c r="M94" s="149">
        <f>MAX(((L94-Inputs!$E$23)*Data!I94)*Inputs!$E$24,0)</f>
        <v>204.57000000000002</v>
      </c>
      <c r="N94" s="151">
        <f>INDEX('FY 22 OFA Shell'!$V$27:$V$195,MATCH(Data!H94,'FY 22 OFA Shell'!$H$27:$H$195,0))</f>
        <v>4674675666.6700001</v>
      </c>
      <c r="O94" s="63">
        <f>INDEX('FY 22 OFA Shell'!$W$27:$W$195,MATCH(Data!H94,'FY 22 OFA Shell'!$H$27:$H$195,0))</f>
        <v>59864</v>
      </c>
      <c r="P94" s="65">
        <f>INDEX('FY 22 OFA Shell'!$Z$27:$Z$195,MATCH(Data!H94,'FY 22 OFA Shell'!$H$27:$H$195,0))</f>
        <v>57886</v>
      </c>
      <c r="Q94" s="63">
        <f>INDEX('FY 22 OFA Shell'!$AF$27:$AF$195,MATCH(Data!H94,'FY 22 OFA Shell'!$H$27:$H$195,0))</f>
        <v>0</v>
      </c>
      <c r="R94" s="66">
        <f>INDEX('FY 22 OFA Shell'!$AG$27:$AG$195,MATCH(Data!H94,'FY 22 OFA Shell'!$H$27:$H$195,0))</f>
        <v>0</v>
      </c>
      <c r="S94" s="66">
        <f>INDEX('FY 22 OFA Shell'!$AJ$27:$AJ$195,MATCH(Data!H94,'FY 22 OFA Shell'!$H$27:$H$195,0))</f>
        <v>0</v>
      </c>
      <c r="T94" s="66">
        <f>INDEX('FY 22 OFA Shell'!$AK$27:$AK$195,MATCH(Data!H94,'FY 22 OFA Shell'!$H$27:$H$195,0))</f>
        <v>0</v>
      </c>
      <c r="U94" s="135">
        <v>60258395</v>
      </c>
      <c r="V94" s="67">
        <f>ROUND(J94*Inputs!$E$22, 2)</f>
        <v>2005.2</v>
      </c>
      <c r="W94" s="68">
        <f>I94+V94+K94*Inputs!$E$28+Data!M94</f>
        <v>11425.27</v>
      </c>
      <c r="X94" s="69">
        <f t="shared" si="40"/>
        <v>78088.259999999995</v>
      </c>
      <c r="Y94" s="70">
        <f>ROUND(X94/Inputs!$E$32, 6)</f>
        <v>0.40559699999999999</v>
      </c>
      <c r="Z94" s="70">
        <f>ROUND(P94/Inputs!$E$33, 6)</f>
        <v>0.48040500000000003</v>
      </c>
      <c r="AA94" s="59">
        <f>ROUND(1-((Y94*Inputs!$E$29)+Z94*Inputs!$E$27), 6)</f>
        <v>0.57196100000000005</v>
      </c>
      <c r="AB94" s="59">
        <v>346.11010064125509</v>
      </c>
      <c r="AC94" s="73">
        <f>INDEX('FY 22 OFA Shell'!$G$27:$G$195,MATCH(Data!H94,'FY 22 OFA Shell'!$H$27:$H$195,0))</f>
        <v>11</v>
      </c>
      <c r="AD94" s="73">
        <f t="shared" si="54"/>
        <v>3</v>
      </c>
      <c r="AE94" s="65">
        <v>60258395</v>
      </c>
      <c r="AF94" s="65">
        <f t="shared" si="41"/>
        <v>20322327</v>
      </c>
      <c r="AG94" s="65">
        <f t="shared" si="42"/>
        <v>20322327</v>
      </c>
      <c r="AH94" s="52">
        <v>60008395</v>
      </c>
      <c r="AI94" s="107">
        <v>60909850.232000001</v>
      </c>
      <c r="AJ94">
        <v>167</v>
      </c>
      <c r="AK94">
        <v>212505.4848617815</v>
      </c>
      <c r="AL94" s="165">
        <f>INDEX('FY 22 OFA Shell'!$AU$27:$AU$195,MATCH(Data!H94,'FY 22 OFA Shell'!$H$27:$H$195,0))</f>
        <v>64774542</v>
      </c>
      <c r="AM94" s="165">
        <f>Outputs!H99</f>
        <v>80580722</v>
      </c>
      <c r="AN94" s="165">
        <f>Outputs!G99+Outputs!D99+Outputs!F99</f>
        <v>80580722</v>
      </c>
      <c r="AO94" s="165">
        <v>62740127</v>
      </c>
      <c r="AP94" s="165">
        <f t="shared" si="43"/>
        <v>61122355.716861784</v>
      </c>
      <c r="AQ94" s="52" t="str">
        <f t="shared" si="44"/>
        <v>Yes</v>
      </c>
      <c r="AR94" s="308">
        <f>ABS(IF(AQ94="Yes",AF94*Inputs!$D$50,Data!AF94*Inputs!$D$51))</f>
        <v>2166360.0581999999</v>
      </c>
      <c r="AS94" s="308">
        <f t="shared" si="55"/>
        <v>66940902.058200002</v>
      </c>
      <c r="AT94" s="308">
        <f t="shared" si="45"/>
        <v>66940902.058200002</v>
      </c>
      <c r="AU94" s="308"/>
      <c r="AV94" s="308">
        <f>ABS(IF($AQ94="Yes",$AF94*Inputs!E$50,Data!$AF94*Inputs!E$51))</f>
        <v>2166360.0581999999</v>
      </c>
      <c r="AW94" s="308">
        <f>ABS(IF($AQ94="Yes",$AF94*Inputs!F$50,Data!$AF94*Inputs!F$51))</f>
        <v>2166360.0581999999</v>
      </c>
      <c r="AX94" s="308">
        <f>ABS(IF($AQ94="Yes",$AF94*Inputs!G$50,Data!$AF94*Inputs!G$51))</f>
        <v>2166360.0581999999</v>
      </c>
      <c r="AY94" s="308">
        <f>ABS(IF($AQ94="Yes",$AF94*Inputs!H$50,Data!$AF94*Inputs!H$51))</f>
        <v>2166360.0581999999</v>
      </c>
      <c r="AZ94" s="308">
        <f>ABS(IF($AQ94="Yes",$AF94*Inputs!I$50,Data!$AF94*Inputs!I$51))</f>
        <v>2166360.0581999999</v>
      </c>
      <c r="BA94" s="308">
        <f>ABS(IF($AQ94="Yes",$AF94*Inputs!J$50,Data!$AF94*Inputs!J$51))</f>
        <v>2166360.0581999999</v>
      </c>
      <c r="BB94" s="308">
        <f>ABS(IF($AQ94="Yes",$AF94*Inputs!K$50,Data!$AF94*Inputs!K$51))</f>
        <v>0</v>
      </c>
      <c r="BC94" s="308">
        <f>ABS(IF($AQ94="Yes",$AF94*Inputs!L$50,Data!$AF94*Inputs!L$51))</f>
        <v>0</v>
      </c>
      <c r="BE94" s="308">
        <f t="shared" si="56"/>
        <v>69107262.116400003</v>
      </c>
      <c r="BF94" s="308">
        <f t="shared" si="57"/>
        <v>71273622.174600005</v>
      </c>
      <c r="BG94" s="308">
        <f t="shared" si="58"/>
        <v>73439982.232800007</v>
      </c>
      <c r="BH94" s="308">
        <f t="shared" si="59"/>
        <v>75606342.291000009</v>
      </c>
      <c r="BI94" s="308">
        <f t="shared" si="60"/>
        <v>77772702.34920001</v>
      </c>
      <c r="BJ94" s="308">
        <f t="shared" si="61"/>
        <v>80580722</v>
      </c>
      <c r="BK94" s="308">
        <f t="shared" si="62"/>
        <v>80580722</v>
      </c>
      <c r="BL94" s="308">
        <f t="shared" si="63"/>
        <v>80580722</v>
      </c>
      <c r="BN94" s="308">
        <f t="shared" si="46"/>
        <v>69107262.116400003</v>
      </c>
      <c r="BO94" s="308">
        <f t="shared" si="47"/>
        <v>71273622.174600005</v>
      </c>
      <c r="BP94" s="308">
        <f t="shared" si="48"/>
        <v>73439982.232800007</v>
      </c>
      <c r="BQ94" s="308">
        <f t="shared" si="49"/>
        <v>75606342.291000009</v>
      </c>
      <c r="BR94" s="308">
        <f t="shared" si="50"/>
        <v>77772702.34920001</v>
      </c>
      <c r="BS94" s="308">
        <f t="shared" si="51"/>
        <v>80580722</v>
      </c>
      <c r="BT94" s="308">
        <f t="shared" si="52"/>
        <v>80580722</v>
      </c>
      <c r="BU94" s="308">
        <f t="shared" si="64"/>
        <v>80580722</v>
      </c>
    </row>
    <row r="95" spans="1:73" ht="15" x14ac:dyDescent="0.2">
      <c r="A95" s="62" t="s">
        <v>93</v>
      </c>
      <c r="B95" s="55" t="s">
        <v>10</v>
      </c>
      <c r="C95" s="55"/>
      <c r="D95" s="55"/>
      <c r="E95" s="55"/>
      <c r="F95" s="55"/>
      <c r="G95" s="48">
        <v>3</v>
      </c>
      <c r="H95" s="55">
        <v>81</v>
      </c>
      <c r="I95" s="55">
        <f>INDEX('FY 22 OFA Shell'!$K$27:$K$195,MATCH(Data!H95,'FY 22 OFA Shell'!$H$27:$H$195,0))</f>
        <v>1206.1500000000001</v>
      </c>
      <c r="J95" s="55">
        <f>INDEX('FY 22 OFA Shell'!$N$27:$N$195,MATCH(Data!H95,'FY 22 OFA Shell'!$H$27:$H$195,0))</f>
        <v>205</v>
      </c>
      <c r="K95" s="64">
        <f>INDEX('FY 22 OFA Shell'!$S$27:$S$195,MATCH(Data!H95,'FY 22 OFA Shell'!$H$27:$H$195,0))</f>
        <v>26</v>
      </c>
      <c r="L95" s="150">
        <f t="shared" si="53"/>
        <v>0.16996227666542302</v>
      </c>
      <c r="M95" s="149">
        <f>MAX(((L95-Inputs!$E$23)*Data!I95)*Inputs!$E$24,0)</f>
        <v>0</v>
      </c>
      <c r="N95" s="151">
        <f>INDEX('FY 22 OFA Shell'!$V$27:$V$195,MATCH(Data!H95,'FY 22 OFA Shell'!$H$27:$H$195,0))</f>
        <v>1396744506.6700001</v>
      </c>
      <c r="O95" s="63">
        <f>INDEX('FY 22 OFA Shell'!$W$27:$W$195,MATCH(Data!H95,'FY 22 OFA Shell'!$H$27:$H$195,0))</f>
        <v>7661</v>
      </c>
      <c r="P95" s="65">
        <f>INDEX('FY 22 OFA Shell'!$Z$27:$Z$195,MATCH(Data!H95,'FY 22 OFA Shell'!$H$27:$H$195,0))</f>
        <v>108977</v>
      </c>
      <c r="Q95" s="63">
        <f>INDEX('FY 22 OFA Shell'!$AF$27:$AF$195,MATCH(Data!H95,'FY 22 OFA Shell'!$H$27:$H$195,0))</f>
        <v>1208</v>
      </c>
      <c r="R95" s="66">
        <f>INDEX('FY 22 OFA Shell'!$AG$27:$AG$195,MATCH(Data!H95,'FY 22 OFA Shell'!$H$27:$H$195,0))</f>
        <v>13</v>
      </c>
      <c r="S95" s="66">
        <f>INDEX('FY 22 OFA Shell'!$AJ$27:$AJ$195,MATCH(Data!H95,'FY 22 OFA Shell'!$H$27:$H$195,0))</f>
        <v>0</v>
      </c>
      <c r="T95" s="66">
        <f>INDEX('FY 22 OFA Shell'!$AK$27:$AK$195,MATCH(Data!H95,'FY 22 OFA Shell'!$H$27:$H$195,0))</f>
        <v>0</v>
      </c>
      <c r="U95" s="135">
        <v>855086</v>
      </c>
      <c r="V95" s="67">
        <f>ROUND(J95*Inputs!$E$22, 2)</f>
        <v>61.5</v>
      </c>
      <c r="W95" s="68">
        <f>I95+V95+K95*Inputs!$E$28+Data!M95</f>
        <v>1274.1500000000001</v>
      </c>
      <c r="X95" s="69">
        <f t="shared" si="40"/>
        <v>182318.82</v>
      </c>
      <c r="Y95" s="70">
        <f>ROUND(X95/Inputs!$E$32, 6)</f>
        <v>0.94697900000000002</v>
      </c>
      <c r="Z95" s="70">
        <f>ROUND(P95/Inputs!$E$33, 6)</f>
        <v>0.90441700000000003</v>
      </c>
      <c r="AA95" s="59">
        <f>ROUND(1-((Y95*Inputs!$E$29)+Z95*Inputs!$E$27), 6)</f>
        <v>6.5790000000000001E-2</v>
      </c>
      <c r="AB95" s="59">
        <v>213.18053403058749</v>
      </c>
      <c r="AC95" s="73">
        <f>INDEX('FY 22 OFA Shell'!$G$27:$G$195,MATCH(Data!H95,'FY 22 OFA Shell'!$H$27:$H$195,0))</f>
        <v>105</v>
      </c>
      <c r="AD95" s="73">
        <f t="shared" si="54"/>
        <v>5</v>
      </c>
      <c r="AE95" s="65">
        <v>855086</v>
      </c>
      <c r="AF95" s="65">
        <f t="shared" si="41"/>
        <v>1681412</v>
      </c>
      <c r="AG95" s="65">
        <f t="shared" si="42"/>
        <v>1681412</v>
      </c>
      <c r="AH95" s="52">
        <v>729177</v>
      </c>
      <c r="AI95" s="107">
        <v>822085.75</v>
      </c>
      <c r="AJ95">
        <v>1</v>
      </c>
      <c r="AK95">
        <v>1272.4879333040808</v>
      </c>
      <c r="AL95" s="165">
        <f>INDEX('FY 22 OFA Shell'!$AU$27:$AU$195,MATCH(Data!H95,'FY 22 OFA Shell'!$H$27:$H$195,0))</f>
        <v>847757</v>
      </c>
      <c r="AM95" s="165">
        <f>Outputs!H100</f>
        <v>2536498</v>
      </c>
      <c r="AN95" s="165">
        <f>Outputs!G100+Outputs!D100+Outputs!F100</f>
        <v>2536498</v>
      </c>
      <c r="AO95" s="165">
        <v>821127</v>
      </c>
      <c r="AP95" s="165">
        <f t="shared" si="43"/>
        <v>823358.23793330404</v>
      </c>
      <c r="AQ95" s="52" t="str">
        <f t="shared" si="44"/>
        <v>Yes</v>
      </c>
      <c r="AR95" s="308">
        <f>ABS(IF(AQ95="Yes",AF95*Inputs!$D$50,Data!AF95*Inputs!$D$51))</f>
        <v>179238.51920000001</v>
      </c>
      <c r="AS95" s="308">
        <f t="shared" si="55"/>
        <v>1026995.5192</v>
      </c>
      <c r="AT95" s="308">
        <f t="shared" si="45"/>
        <v>1026995.5192</v>
      </c>
      <c r="AU95" s="308"/>
      <c r="AV95" s="308">
        <f>ABS(IF($AQ95="Yes",$AF95*Inputs!E$50,Data!$AF95*Inputs!E$51))</f>
        <v>179238.51920000001</v>
      </c>
      <c r="AW95" s="308">
        <f>ABS(IF($AQ95="Yes",$AF95*Inputs!F$50,Data!$AF95*Inputs!F$51))</f>
        <v>179238.51920000001</v>
      </c>
      <c r="AX95" s="308">
        <f>ABS(IF($AQ95="Yes",$AF95*Inputs!G$50,Data!$AF95*Inputs!G$51))</f>
        <v>179238.51920000001</v>
      </c>
      <c r="AY95" s="308">
        <f>ABS(IF($AQ95="Yes",$AF95*Inputs!H$50,Data!$AF95*Inputs!H$51))</f>
        <v>179238.51920000001</v>
      </c>
      <c r="AZ95" s="308">
        <f>ABS(IF($AQ95="Yes",$AF95*Inputs!I$50,Data!$AF95*Inputs!I$51))</f>
        <v>179238.51920000001</v>
      </c>
      <c r="BA95" s="308">
        <f>ABS(IF($AQ95="Yes",$AF95*Inputs!J$50,Data!$AF95*Inputs!J$51))</f>
        <v>179238.51920000001</v>
      </c>
      <c r="BB95" s="308">
        <f>ABS(IF($AQ95="Yes",$AF95*Inputs!K$50,Data!$AF95*Inputs!K$51))</f>
        <v>0</v>
      </c>
      <c r="BC95" s="308">
        <f>ABS(IF($AQ95="Yes",$AF95*Inputs!L$50,Data!$AF95*Inputs!L$51))</f>
        <v>0</v>
      </c>
      <c r="BE95" s="308">
        <f t="shared" si="56"/>
        <v>1206234.0384</v>
      </c>
      <c r="BF95" s="308">
        <f t="shared" si="57"/>
        <v>1385472.5575999999</v>
      </c>
      <c r="BG95" s="308">
        <f t="shared" si="58"/>
        <v>1564711.0767999999</v>
      </c>
      <c r="BH95" s="308">
        <f t="shared" si="59"/>
        <v>1743949.5959999999</v>
      </c>
      <c r="BI95" s="308">
        <f t="shared" si="60"/>
        <v>1923188.1151999999</v>
      </c>
      <c r="BJ95" s="308">
        <f t="shared" si="61"/>
        <v>2536498</v>
      </c>
      <c r="BK95" s="308">
        <f t="shared" si="62"/>
        <v>2536498</v>
      </c>
      <c r="BL95" s="308">
        <f t="shared" si="63"/>
        <v>2536498</v>
      </c>
      <c r="BN95" s="308">
        <f t="shared" si="46"/>
        <v>1206234.0384</v>
      </c>
      <c r="BO95" s="308">
        <f t="shared" si="47"/>
        <v>1385472.5575999999</v>
      </c>
      <c r="BP95" s="308">
        <f t="shared" si="48"/>
        <v>1564711.0767999999</v>
      </c>
      <c r="BQ95" s="308">
        <f t="shared" si="49"/>
        <v>1743949.5959999999</v>
      </c>
      <c r="BR95" s="308">
        <f t="shared" si="50"/>
        <v>1923188.1151999999</v>
      </c>
      <c r="BS95" s="308">
        <f t="shared" si="51"/>
        <v>2536498</v>
      </c>
      <c r="BT95" s="308">
        <f t="shared" si="52"/>
        <v>2536498</v>
      </c>
      <c r="BU95" s="308">
        <f t="shared" si="64"/>
        <v>2536498</v>
      </c>
    </row>
    <row r="96" spans="1:73" ht="15" x14ac:dyDescent="0.2">
      <c r="A96" s="62" t="s">
        <v>94</v>
      </c>
      <c r="B96" s="55" t="s">
        <v>4</v>
      </c>
      <c r="C96" s="55"/>
      <c r="D96" s="55"/>
      <c r="E96" s="55"/>
      <c r="F96" s="55"/>
      <c r="G96" s="48">
        <v>6</v>
      </c>
      <c r="H96" s="55">
        <v>82</v>
      </c>
      <c r="I96" s="55">
        <f>INDEX('FY 22 OFA Shell'!$K$27:$K$195,MATCH(Data!H96,'FY 22 OFA Shell'!$H$27:$H$195,0))</f>
        <v>493.4</v>
      </c>
      <c r="J96" s="55">
        <f>INDEX('FY 22 OFA Shell'!$N$27:$N$195,MATCH(Data!H96,'FY 22 OFA Shell'!$H$27:$H$195,0))</f>
        <v>98</v>
      </c>
      <c r="K96" s="64">
        <f>INDEX('FY 22 OFA Shell'!$S$27:$S$195,MATCH(Data!H96,'FY 22 OFA Shell'!$H$27:$H$195,0))</f>
        <v>4</v>
      </c>
      <c r="L96" s="150">
        <f t="shared" si="53"/>
        <v>0.19862180786380221</v>
      </c>
      <c r="M96" s="149">
        <f>MAX(((L96-Inputs!$E$23)*Data!I96)*Inputs!$E$24,0)</f>
        <v>0</v>
      </c>
      <c r="N96" s="151">
        <f>INDEX('FY 22 OFA Shell'!$V$27:$V$195,MATCH(Data!H96,'FY 22 OFA Shell'!$H$27:$H$195,0))</f>
        <v>617127590</v>
      </c>
      <c r="O96" s="63">
        <f>INDEX('FY 22 OFA Shell'!$W$27:$W$195,MATCH(Data!H96,'FY 22 OFA Shell'!$H$27:$H$195,0))</f>
        <v>4385</v>
      </c>
      <c r="P96" s="65">
        <f>INDEX('FY 22 OFA Shell'!$Z$27:$Z$195,MATCH(Data!H96,'FY 22 OFA Shell'!$H$27:$H$195,0))</f>
        <v>93750</v>
      </c>
      <c r="Q96" s="63">
        <f>INDEX('FY 22 OFA Shell'!$AF$27:$AF$195,MATCH(Data!H96,'FY 22 OFA Shell'!$H$27:$H$195,0))</f>
        <v>494</v>
      </c>
      <c r="R96" s="66">
        <f>INDEX('FY 22 OFA Shell'!$AG$27:$AG$195,MATCH(Data!H96,'FY 22 OFA Shell'!$H$27:$H$195,0))</f>
        <v>13</v>
      </c>
      <c r="S96" s="66">
        <f>INDEX('FY 22 OFA Shell'!$AJ$27:$AJ$195,MATCH(Data!H96,'FY 22 OFA Shell'!$H$27:$H$195,0))</f>
        <v>0</v>
      </c>
      <c r="T96" s="66">
        <f>INDEX('FY 22 OFA Shell'!$AK$27:$AK$195,MATCH(Data!H96,'FY 22 OFA Shell'!$H$27:$H$195,0))</f>
        <v>0</v>
      </c>
      <c r="U96" s="135">
        <v>2099315</v>
      </c>
      <c r="V96" s="67">
        <f>ROUND(J96*Inputs!$E$22, 2)</f>
        <v>29.4</v>
      </c>
      <c r="W96" s="68">
        <f>I96+V96+K96*Inputs!$E$28+Data!M96</f>
        <v>523.79999999999995</v>
      </c>
      <c r="X96" s="69">
        <f t="shared" si="40"/>
        <v>140736.04999999999</v>
      </c>
      <c r="Y96" s="70">
        <f>ROUND(X96/Inputs!$E$32, 6)</f>
        <v>0.73099499999999995</v>
      </c>
      <c r="Z96" s="70">
        <f>ROUND(P96/Inputs!$E$33, 6)</f>
        <v>0.77804499999999999</v>
      </c>
      <c r="AA96" s="59">
        <f>ROUND(1-((Y96*Inputs!$E$29)+Z96*Inputs!$E$27), 6)</f>
        <v>0.25489000000000001</v>
      </c>
      <c r="AB96" s="59">
        <v>236.70040039319878</v>
      </c>
      <c r="AC96" s="73">
        <f>INDEX('FY 22 OFA Shell'!$G$27:$G$195,MATCH(Data!H96,'FY 22 OFA Shell'!$H$27:$H$195,0))</f>
        <v>60</v>
      </c>
      <c r="AD96" s="73">
        <f t="shared" si="54"/>
        <v>5</v>
      </c>
      <c r="AE96" s="65">
        <v>2099315</v>
      </c>
      <c r="AF96" s="65">
        <f t="shared" si="41"/>
        <v>81604</v>
      </c>
      <c r="AG96" s="65">
        <f t="shared" si="42"/>
        <v>81604</v>
      </c>
      <c r="AH96" s="52">
        <v>1822437</v>
      </c>
      <c r="AI96" s="107">
        <v>1945055.25</v>
      </c>
      <c r="AJ96"/>
      <c r="AK96">
        <v>0</v>
      </c>
      <c r="AL96" s="165">
        <f>INDEX('FY 22 OFA Shell'!$AU$27:$AU$195,MATCH(Data!H96,'FY 22 OFA Shell'!$H$27:$H$195,0))</f>
        <v>1837504</v>
      </c>
      <c r="AM96" s="165">
        <f>Outputs!H101</f>
        <v>2180919</v>
      </c>
      <c r="AN96" s="165">
        <f>Outputs!G101+Outputs!D101+Outputs!F101</f>
        <v>2180919</v>
      </c>
      <c r="AO96" s="165">
        <v>1894751</v>
      </c>
      <c r="AP96" s="165">
        <f t="shared" si="43"/>
        <v>1945055.25</v>
      </c>
      <c r="AQ96" s="52" t="str">
        <f t="shared" si="44"/>
        <v>Yes</v>
      </c>
      <c r="AR96" s="308">
        <f>ABS(IF(AQ96="Yes",AF96*Inputs!$D$50,Data!AF96*Inputs!$D$51))</f>
        <v>8698.9863999999998</v>
      </c>
      <c r="AS96" s="308">
        <f t="shared" si="55"/>
        <v>1846202.9864000001</v>
      </c>
      <c r="AT96" s="308">
        <f t="shared" si="45"/>
        <v>1846202.9864000001</v>
      </c>
      <c r="AU96" s="308"/>
      <c r="AV96" s="308">
        <f>ABS(IF($AQ96="Yes",$AF96*Inputs!E$50,Data!$AF96*Inputs!E$51))</f>
        <v>8698.9863999999998</v>
      </c>
      <c r="AW96" s="308">
        <f>ABS(IF($AQ96="Yes",$AF96*Inputs!F$50,Data!$AF96*Inputs!F$51))</f>
        <v>8698.9863999999998</v>
      </c>
      <c r="AX96" s="308">
        <f>ABS(IF($AQ96="Yes",$AF96*Inputs!G$50,Data!$AF96*Inputs!G$51))</f>
        <v>8698.9863999999998</v>
      </c>
      <c r="AY96" s="308">
        <f>ABS(IF($AQ96="Yes",$AF96*Inputs!H$50,Data!$AF96*Inputs!H$51))</f>
        <v>8698.9863999999998</v>
      </c>
      <c r="AZ96" s="308">
        <f>ABS(IF($AQ96="Yes",$AF96*Inputs!I$50,Data!$AF96*Inputs!I$51))</f>
        <v>8698.9863999999998</v>
      </c>
      <c r="BA96" s="308">
        <f>ABS(IF($AQ96="Yes",$AF96*Inputs!J$50,Data!$AF96*Inputs!J$51))</f>
        <v>8698.9863999999998</v>
      </c>
      <c r="BB96" s="308">
        <f>ABS(IF($AQ96="Yes",$AF96*Inputs!K$50,Data!$AF96*Inputs!K$51))</f>
        <v>0</v>
      </c>
      <c r="BC96" s="308">
        <f>ABS(IF($AQ96="Yes",$AF96*Inputs!L$50,Data!$AF96*Inputs!L$51))</f>
        <v>0</v>
      </c>
      <c r="BE96" s="308">
        <f t="shared" si="56"/>
        <v>1854901.9728000001</v>
      </c>
      <c r="BF96" s="308">
        <f t="shared" si="57"/>
        <v>1863600.9592000002</v>
      </c>
      <c r="BG96" s="308">
        <f t="shared" si="58"/>
        <v>1872299.9456000002</v>
      </c>
      <c r="BH96" s="308">
        <f t="shared" si="59"/>
        <v>1880998.9320000003</v>
      </c>
      <c r="BI96" s="308">
        <f t="shared" si="60"/>
        <v>1889697.9184000003</v>
      </c>
      <c r="BJ96" s="308">
        <f t="shared" si="61"/>
        <v>2180919</v>
      </c>
      <c r="BK96" s="308">
        <f t="shared" si="62"/>
        <v>2180919</v>
      </c>
      <c r="BL96" s="308">
        <f t="shared" si="63"/>
        <v>2180919</v>
      </c>
      <c r="BN96" s="308">
        <f t="shared" si="46"/>
        <v>1854901.9728000001</v>
      </c>
      <c r="BO96" s="308">
        <f t="shared" si="47"/>
        <v>1863600.9592000002</v>
      </c>
      <c r="BP96" s="308">
        <f t="shared" si="48"/>
        <v>1872299.9456000002</v>
      </c>
      <c r="BQ96" s="308">
        <f t="shared" si="49"/>
        <v>1880998.9320000003</v>
      </c>
      <c r="BR96" s="308">
        <f t="shared" si="50"/>
        <v>1889697.9184000003</v>
      </c>
      <c r="BS96" s="308">
        <f t="shared" si="51"/>
        <v>2180919</v>
      </c>
      <c r="BT96" s="308">
        <f t="shared" si="52"/>
        <v>2180919</v>
      </c>
      <c r="BU96" s="308">
        <f t="shared" si="64"/>
        <v>2180919</v>
      </c>
    </row>
    <row r="97" spans="1:73" ht="15" x14ac:dyDescent="0.2">
      <c r="A97" s="62" t="s">
        <v>95</v>
      </c>
      <c r="B97" s="55" t="s">
        <v>19</v>
      </c>
      <c r="C97" s="55"/>
      <c r="D97" s="55">
        <v>1</v>
      </c>
      <c r="E97" s="55">
        <v>1</v>
      </c>
      <c r="F97" s="55"/>
      <c r="G97" s="48">
        <v>9</v>
      </c>
      <c r="H97" s="55">
        <v>83</v>
      </c>
      <c r="I97" s="55">
        <f>INDEX('FY 22 OFA Shell'!$K$27:$K$195,MATCH(Data!H97,'FY 22 OFA Shell'!$H$27:$H$195,0))</f>
        <v>4603.3500000000004</v>
      </c>
      <c r="J97" s="55">
        <f>INDEX('FY 22 OFA Shell'!$N$27:$N$195,MATCH(Data!H97,'FY 22 OFA Shell'!$H$27:$H$195,0))</f>
        <v>2144</v>
      </c>
      <c r="K97" s="64">
        <f>INDEX('FY 22 OFA Shell'!$S$27:$S$195,MATCH(Data!H97,'FY 22 OFA Shell'!$H$27:$H$195,0))</f>
        <v>166</v>
      </c>
      <c r="L97" s="150">
        <f t="shared" si="53"/>
        <v>0.46574777064529088</v>
      </c>
      <c r="M97" s="149">
        <f>MAX(((L97-Inputs!$E$23)*Data!I97)*Inputs!$E$24,0)</f>
        <v>0</v>
      </c>
      <c r="N97" s="151">
        <f>INDEX('FY 22 OFA Shell'!$V$27:$V$195,MATCH(Data!H97,'FY 22 OFA Shell'!$H$27:$H$195,0))</f>
        <v>5114946730.6700001</v>
      </c>
      <c r="O97" s="63">
        <f>INDEX('FY 22 OFA Shell'!$W$27:$W$195,MATCH(Data!H97,'FY 22 OFA Shell'!$H$27:$H$195,0))</f>
        <v>46473</v>
      </c>
      <c r="P97" s="65">
        <f>INDEX('FY 22 OFA Shell'!$Z$27:$Z$195,MATCH(Data!H97,'FY 22 OFA Shell'!$H$27:$H$195,0))</f>
        <v>67651</v>
      </c>
      <c r="Q97" s="63">
        <f>INDEX('FY 22 OFA Shell'!$AF$27:$AF$195,MATCH(Data!H97,'FY 22 OFA Shell'!$H$27:$H$195,0))</f>
        <v>0</v>
      </c>
      <c r="R97" s="66">
        <f>INDEX('FY 22 OFA Shell'!$AG$27:$AG$195,MATCH(Data!H97,'FY 22 OFA Shell'!$H$27:$H$195,0))</f>
        <v>0</v>
      </c>
      <c r="S97" s="66">
        <f>INDEX('FY 22 OFA Shell'!$AJ$27:$AJ$195,MATCH(Data!H97,'FY 22 OFA Shell'!$H$27:$H$195,0))</f>
        <v>0</v>
      </c>
      <c r="T97" s="66">
        <f>INDEX('FY 22 OFA Shell'!$AK$27:$AK$195,MATCH(Data!H97,'FY 22 OFA Shell'!$H$27:$H$195,0))</f>
        <v>0</v>
      </c>
      <c r="U97" s="135">
        <v>19515825</v>
      </c>
      <c r="V97" s="67">
        <f>ROUND(J97*Inputs!$E$22, 2)</f>
        <v>643.20000000000005</v>
      </c>
      <c r="W97" s="68">
        <f>I97+V97+K97*Inputs!$E$28+Data!M97</f>
        <v>5288.05</v>
      </c>
      <c r="X97" s="69">
        <f t="shared" si="40"/>
        <v>110062.76</v>
      </c>
      <c r="Y97" s="70">
        <f>ROUND(X97/Inputs!$E$32, 6)</f>
        <v>0.57167500000000004</v>
      </c>
      <c r="Z97" s="70">
        <f>ROUND(P97/Inputs!$E$33, 6)</f>
        <v>0.561446</v>
      </c>
      <c r="AA97" s="59">
        <f>ROUND(1-((Y97*Inputs!$E$29)+Z97*Inputs!$E$27), 6)</f>
        <v>0.431394</v>
      </c>
      <c r="AB97" s="59">
        <v>280.9857891454522</v>
      </c>
      <c r="AC97" s="73">
        <f>INDEX('FY 22 OFA Shell'!$G$27:$G$195,MATCH(Data!H97,'FY 22 OFA Shell'!$H$27:$H$195,0))</f>
        <v>31</v>
      </c>
      <c r="AD97" s="73">
        <f t="shared" si="54"/>
        <v>5</v>
      </c>
      <c r="AE97" s="65">
        <v>19515825</v>
      </c>
      <c r="AF97" s="65">
        <f t="shared" si="41"/>
        <v>6775386</v>
      </c>
      <c r="AG97" s="65">
        <f t="shared" si="42"/>
        <v>6775386</v>
      </c>
      <c r="AH97" s="52">
        <v>19286974</v>
      </c>
      <c r="AI97" s="107">
        <v>19843505.978999998</v>
      </c>
      <c r="AJ97">
        <v>15</v>
      </c>
      <c r="AK97">
        <v>19087.318999561212</v>
      </c>
      <c r="AL97" s="165">
        <f>INDEX('FY 22 OFA Shell'!$AU$27:$AU$195,MATCH(Data!H97,'FY 22 OFA Shell'!$H$27:$H$195,0))</f>
        <v>21551965</v>
      </c>
      <c r="AM97" s="165">
        <f>Outputs!H102</f>
        <v>26291211</v>
      </c>
      <c r="AN97" s="165">
        <f>Outputs!G102+Outputs!D102+Outputs!F102</f>
        <v>26291211</v>
      </c>
      <c r="AO97" s="165">
        <v>20671979</v>
      </c>
      <c r="AP97" s="165">
        <f t="shared" si="43"/>
        <v>19862593.297999561</v>
      </c>
      <c r="AQ97" s="52" t="str">
        <f t="shared" si="44"/>
        <v>Yes</v>
      </c>
      <c r="AR97" s="308">
        <f>ABS(IF(AQ97="Yes",AF97*Inputs!$D$50,Data!AF97*Inputs!$D$51))</f>
        <v>722256.14760000003</v>
      </c>
      <c r="AS97" s="308">
        <f t="shared" si="55"/>
        <v>22274221.147599999</v>
      </c>
      <c r="AT97" s="308">
        <f t="shared" si="45"/>
        <v>22274221.147599999</v>
      </c>
      <c r="AU97" s="308"/>
      <c r="AV97" s="308">
        <f>ABS(IF($AQ97="Yes",$AF97*Inputs!E$50,Data!$AF97*Inputs!E$51))</f>
        <v>722256.14760000003</v>
      </c>
      <c r="AW97" s="308">
        <f>ABS(IF($AQ97="Yes",$AF97*Inputs!F$50,Data!$AF97*Inputs!F$51))</f>
        <v>722256.14760000003</v>
      </c>
      <c r="AX97" s="308">
        <f>ABS(IF($AQ97="Yes",$AF97*Inputs!G$50,Data!$AF97*Inputs!G$51))</f>
        <v>722256.14760000003</v>
      </c>
      <c r="AY97" s="308">
        <f>ABS(IF($AQ97="Yes",$AF97*Inputs!H$50,Data!$AF97*Inputs!H$51))</f>
        <v>722256.14760000003</v>
      </c>
      <c r="AZ97" s="308">
        <f>ABS(IF($AQ97="Yes",$AF97*Inputs!I$50,Data!$AF97*Inputs!I$51))</f>
        <v>722256.14760000003</v>
      </c>
      <c r="BA97" s="308">
        <f>ABS(IF($AQ97="Yes",$AF97*Inputs!J$50,Data!$AF97*Inputs!J$51))</f>
        <v>722256.14760000003</v>
      </c>
      <c r="BB97" s="308">
        <f>ABS(IF($AQ97="Yes",$AF97*Inputs!K$50,Data!$AF97*Inputs!K$51))</f>
        <v>0</v>
      </c>
      <c r="BC97" s="308">
        <f>ABS(IF($AQ97="Yes",$AF97*Inputs!L$50,Data!$AF97*Inputs!L$51))</f>
        <v>0</v>
      </c>
      <c r="BE97" s="308">
        <f t="shared" si="56"/>
        <v>22996477.295199998</v>
      </c>
      <c r="BF97" s="308">
        <f t="shared" si="57"/>
        <v>23718733.442799997</v>
      </c>
      <c r="BG97" s="308">
        <f t="shared" si="58"/>
        <v>24440989.590399995</v>
      </c>
      <c r="BH97" s="308">
        <f t="shared" si="59"/>
        <v>25163245.737999994</v>
      </c>
      <c r="BI97" s="308">
        <f t="shared" si="60"/>
        <v>25885501.885599993</v>
      </c>
      <c r="BJ97" s="308">
        <f t="shared" si="61"/>
        <v>26291211</v>
      </c>
      <c r="BK97" s="308">
        <f t="shared" si="62"/>
        <v>26291211</v>
      </c>
      <c r="BL97" s="308">
        <f t="shared" si="63"/>
        <v>26291211</v>
      </c>
      <c r="BN97" s="308">
        <f t="shared" si="46"/>
        <v>22996477.295199998</v>
      </c>
      <c r="BO97" s="308">
        <f t="shared" si="47"/>
        <v>23718733.442799997</v>
      </c>
      <c r="BP97" s="308">
        <f t="shared" si="48"/>
        <v>24440989.590399995</v>
      </c>
      <c r="BQ97" s="308">
        <f t="shared" si="49"/>
        <v>25163245.737999994</v>
      </c>
      <c r="BR97" s="308">
        <f t="shared" si="50"/>
        <v>25885501.885599993</v>
      </c>
      <c r="BS97" s="308">
        <f t="shared" si="51"/>
        <v>26291211</v>
      </c>
      <c r="BT97" s="308">
        <f t="shared" si="52"/>
        <v>26291211</v>
      </c>
      <c r="BU97" s="308">
        <f t="shared" si="64"/>
        <v>26291211</v>
      </c>
    </row>
    <row r="98" spans="1:73" ht="15" x14ac:dyDescent="0.2">
      <c r="A98" s="62" t="s">
        <v>96</v>
      </c>
      <c r="B98" s="55" t="s">
        <v>14</v>
      </c>
      <c r="C98" s="55"/>
      <c r="D98" s="55"/>
      <c r="E98" s="55"/>
      <c r="F98" s="55"/>
      <c r="G98" s="48">
        <v>6</v>
      </c>
      <c r="H98" s="55">
        <v>84</v>
      </c>
      <c r="I98" s="55">
        <f>INDEX('FY 22 OFA Shell'!$K$27:$K$195,MATCH(Data!H98,'FY 22 OFA Shell'!$H$27:$H$195,0))</f>
        <v>5426.46</v>
      </c>
      <c r="J98" s="55">
        <f>INDEX('FY 22 OFA Shell'!$N$27:$N$195,MATCH(Data!H98,'FY 22 OFA Shell'!$H$27:$H$195,0))</f>
        <v>1551</v>
      </c>
      <c r="K98" s="64">
        <f>INDEX('FY 22 OFA Shell'!$S$27:$S$195,MATCH(Data!H98,'FY 22 OFA Shell'!$H$27:$H$195,0))</f>
        <v>128</v>
      </c>
      <c r="L98" s="150">
        <f t="shared" si="53"/>
        <v>0.2858216959122522</v>
      </c>
      <c r="M98" s="149">
        <f>MAX(((L98-Inputs!$E$23)*Data!I98)*Inputs!$E$24,0)</f>
        <v>0</v>
      </c>
      <c r="N98" s="151">
        <f>INDEX('FY 22 OFA Shell'!$V$27:$V$195,MATCH(Data!H98,'FY 22 OFA Shell'!$H$27:$H$195,0))</f>
        <v>9672348317.3299999</v>
      </c>
      <c r="O98" s="63">
        <f>INDEX('FY 22 OFA Shell'!$W$27:$W$195,MATCH(Data!H98,'FY 22 OFA Shell'!$H$27:$H$195,0))</f>
        <v>54047</v>
      </c>
      <c r="P98" s="65">
        <f>INDEX('FY 22 OFA Shell'!$Z$27:$Z$195,MATCH(Data!H98,'FY 22 OFA Shell'!$H$27:$H$195,0))</f>
        <v>89778</v>
      </c>
      <c r="Q98" s="63">
        <f>INDEX('FY 22 OFA Shell'!$AF$27:$AF$195,MATCH(Data!H98,'FY 22 OFA Shell'!$H$27:$H$195,0))</f>
        <v>0</v>
      </c>
      <c r="R98" s="66">
        <f>INDEX('FY 22 OFA Shell'!$AG$27:$AG$195,MATCH(Data!H98,'FY 22 OFA Shell'!$H$27:$H$195,0))</f>
        <v>0</v>
      </c>
      <c r="S98" s="66">
        <f>INDEX('FY 22 OFA Shell'!$AJ$27:$AJ$195,MATCH(Data!H98,'FY 22 OFA Shell'!$H$27:$H$195,0))</f>
        <v>0</v>
      </c>
      <c r="T98" s="66">
        <f>INDEX('FY 22 OFA Shell'!$AK$27:$AK$195,MATCH(Data!H98,'FY 22 OFA Shell'!$H$27:$H$195,0))</f>
        <v>0</v>
      </c>
      <c r="U98" s="135">
        <v>10849101</v>
      </c>
      <c r="V98" s="67">
        <f>ROUND(J98*Inputs!$E$22, 2)</f>
        <v>465.3</v>
      </c>
      <c r="W98" s="68">
        <f>I98+V98+K98*Inputs!$E$28+Data!M98</f>
        <v>5923.76</v>
      </c>
      <c r="X98" s="69">
        <f t="shared" si="40"/>
        <v>178961.8</v>
      </c>
      <c r="Y98" s="70">
        <f>ROUND(X98/Inputs!$E$32, 6)</f>
        <v>0.92954199999999998</v>
      </c>
      <c r="Z98" s="70">
        <f>ROUND(P98/Inputs!$E$33, 6)</f>
        <v>0.74508099999999999</v>
      </c>
      <c r="AA98" s="59">
        <f>ROUND(1-((Y98*Inputs!$E$29)+Z98*Inputs!$E$27), 6)</f>
        <v>0.12579599999999999</v>
      </c>
      <c r="AB98" s="59">
        <v>221.42824215825448</v>
      </c>
      <c r="AC98" s="73">
        <f>INDEX('FY 22 OFA Shell'!$G$27:$G$195,MATCH(Data!H98,'FY 22 OFA Shell'!$H$27:$H$195,0))</f>
        <v>80</v>
      </c>
      <c r="AD98" s="73">
        <f t="shared" si="54"/>
        <v>5</v>
      </c>
      <c r="AE98" s="65">
        <v>10849101</v>
      </c>
      <c r="AF98" s="65">
        <f t="shared" si="41"/>
        <v>-2260840</v>
      </c>
      <c r="AG98" s="65">
        <f t="shared" si="42"/>
        <v>-2260840</v>
      </c>
      <c r="AH98" s="52">
        <v>9324010</v>
      </c>
      <c r="AI98" s="107">
        <v>10069108.75</v>
      </c>
      <c r="AJ98">
        <v>1</v>
      </c>
      <c r="AK98">
        <v>1272.4879333040808</v>
      </c>
      <c r="AL98" s="165">
        <f>INDEX('FY 22 OFA Shell'!$AU$27:$AU$195,MATCH(Data!H98,'FY 22 OFA Shell'!$H$27:$H$195,0))</f>
        <v>9673235</v>
      </c>
      <c r="AM98" s="165">
        <f>Outputs!H103</f>
        <v>8588261</v>
      </c>
      <c r="AN98" s="165">
        <f>Outputs!G103+Outputs!D103+Outputs!F103</f>
        <v>8588261</v>
      </c>
      <c r="AO98" s="165">
        <v>9885063</v>
      </c>
      <c r="AP98" s="165">
        <f t="shared" si="43"/>
        <v>10070381.237933304</v>
      </c>
      <c r="AQ98" s="52" t="str">
        <f t="shared" si="44"/>
        <v>No</v>
      </c>
      <c r="AR98" s="308">
        <f>ABS(IF(AQ98="Yes",AF98*Inputs!$D$50,Data!AF98*Inputs!$D$51))</f>
        <v>0</v>
      </c>
      <c r="AS98" s="308">
        <f t="shared" si="55"/>
        <v>9673235</v>
      </c>
      <c r="AT98" s="308">
        <f t="shared" si="45"/>
        <v>9673235</v>
      </c>
      <c r="AU98" s="308"/>
      <c r="AV98" s="308">
        <f>ABS(IF($AQ98="Yes",$AF98*Inputs!E$50,Data!$AF98*Inputs!E$51))</f>
        <v>0</v>
      </c>
      <c r="AW98" s="308">
        <f>ABS(IF($AQ98="Yes",$AF98*Inputs!F$50,Data!$AF98*Inputs!F$51))</f>
        <v>188327.97200000001</v>
      </c>
      <c r="AX98" s="308">
        <f>ABS(IF($AQ98="Yes",$AF98*Inputs!G$50,Data!$AF98*Inputs!G$51))</f>
        <v>188327.97200000001</v>
      </c>
      <c r="AY98" s="308">
        <f>ABS(IF($AQ98="Yes",$AF98*Inputs!H$50,Data!$AF98*Inputs!H$51))</f>
        <v>188327.97200000001</v>
      </c>
      <c r="AZ98" s="308">
        <f>ABS(IF($AQ98="Yes",$AF98*Inputs!I$50,Data!$AF98*Inputs!I$51))</f>
        <v>188327.97200000001</v>
      </c>
      <c r="BA98" s="308">
        <f>ABS(IF($AQ98="Yes",$AF98*Inputs!J$50,Data!$AF98*Inputs!J$51))</f>
        <v>188327.97200000001</v>
      </c>
      <c r="BB98" s="308">
        <f>ABS(IF($AQ98="Yes",$AF98*Inputs!K$50,Data!$AF98*Inputs!K$51))</f>
        <v>188327.97200000001</v>
      </c>
      <c r="BC98" s="308">
        <f>ABS(IF($AQ98="Yes",$AF98*Inputs!L$50,Data!$AF98*Inputs!L$51))</f>
        <v>188327.97200000001</v>
      </c>
      <c r="BE98" s="308">
        <f t="shared" si="56"/>
        <v>9673235</v>
      </c>
      <c r="BF98" s="308">
        <f t="shared" si="57"/>
        <v>9484907.0280000009</v>
      </c>
      <c r="BG98" s="308">
        <f t="shared" si="58"/>
        <v>9296579.0560000017</v>
      </c>
      <c r="BH98" s="308">
        <f t="shared" si="59"/>
        <v>9108251.0840000026</v>
      </c>
      <c r="BI98" s="308">
        <f t="shared" si="60"/>
        <v>8919923.1120000035</v>
      </c>
      <c r="BJ98" s="308">
        <f t="shared" si="61"/>
        <v>8731595.1400000043</v>
      </c>
      <c r="BK98" s="308">
        <f t="shared" si="62"/>
        <v>8543267.1680000052</v>
      </c>
      <c r="BL98" s="308">
        <f t="shared" si="63"/>
        <v>8588261</v>
      </c>
      <c r="BN98" s="308">
        <f t="shared" si="46"/>
        <v>9673235</v>
      </c>
      <c r="BO98" s="308">
        <f t="shared" si="47"/>
        <v>9484907.0280000009</v>
      </c>
      <c r="BP98" s="308">
        <f t="shared" si="48"/>
        <v>9296579.0560000017</v>
      </c>
      <c r="BQ98" s="308">
        <f t="shared" si="49"/>
        <v>9108251.0840000026</v>
      </c>
      <c r="BR98" s="308">
        <f t="shared" si="50"/>
        <v>8919923.1120000035</v>
      </c>
      <c r="BS98" s="308">
        <f t="shared" si="51"/>
        <v>8731595.1400000043</v>
      </c>
      <c r="BT98" s="308">
        <f t="shared" si="52"/>
        <v>8543267.1680000052</v>
      </c>
      <c r="BU98" s="308">
        <f t="shared" si="64"/>
        <v>8588261</v>
      </c>
    </row>
    <row r="99" spans="1:73" ht="15" x14ac:dyDescent="0.2">
      <c r="A99" s="62" t="s">
        <v>97</v>
      </c>
      <c r="B99" s="55" t="s">
        <v>10</v>
      </c>
      <c r="C99" s="55"/>
      <c r="D99" s="55"/>
      <c r="E99" s="55"/>
      <c r="F99" s="55"/>
      <c r="G99" s="48">
        <v>3</v>
      </c>
      <c r="H99" s="55">
        <v>85</v>
      </c>
      <c r="I99" s="55">
        <f>INDEX('FY 22 OFA Shell'!$K$27:$K$195,MATCH(Data!H99,'FY 22 OFA Shell'!$H$27:$H$195,0))</f>
        <v>3202.95</v>
      </c>
      <c r="J99" s="55">
        <f>INDEX('FY 22 OFA Shell'!$N$27:$N$195,MATCH(Data!H99,'FY 22 OFA Shell'!$H$27:$H$195,0))</f>
        <v>350</v>
      </c>
      <c r="K99" s="64">
        <f>INDEX('FY 22 OFA Shell'!$S$27:$S$195,MATCH(Data!H99,'FY 22 OFA Shell'!$H$27:$H$195,0))</f>
        <v>36</v>
      </c>
      <c r="L99" s="150">
        <f t="shared" si="53"/>
        <v>0.10927426278899141</v>
      </c>
      <c r="M99" s="149">
        <f>MAX(((L99-Inputs!$E$23)*Data!I99)*Inputs!$E$24,0)</f>
        <v>0</v>
      </c>
      <c r="N99" s="151">
        <f>INDEX('FY 22 OFA Shell'!$V$27:$V$195,MATCH(Data!H99,'FY 22 OFA Shell'!$H$27:$H$195,0))</f>
        <v>3241585331.3299999</v>
      </c>
      <c r="O99" s="63">
        <f>INDEX('FY 22 OFA Shell'!$W$27:$W$195,MATCH(Data!H99,'FY 22 OFA Shell'!$H$27:$H$195,0))</f>
        <v>19621</v>
      </c>
      <c r="P99" s="65">
        <f>INDEX('FY 22 OFA Shell'!$Z$27:$Z$195,MATCH(Data!H99,'FY 22 OFA Shell'!$H$27:$H$195,0))</f>
        <v>115049</v>
      </c>
      <c r="Q99" s="63">
        <f>INDEX('FY 22 OFA Shell'!$AF$27:$AF$195,MATCH(Data!H99,'FY 22 OFA Shell'!$H$27:$H$195,0))</f>
        <v>0</v>
      </c>
      <c r="R99" s="66">
        <f>INDEX('FY 22 OFA Shell'!$AG$27:$AG$195,MATCH(Data!H99,'FY 22 OFA Shell'!$H$27:$H$195,0))</f>
        <v>0</v>
      </c>
      <c r="S99" s="66">
        <f>INDEX('FY 22 OFA Shell'!$AJ$27:$AJ$195,MATCH(Data!H99,'FY 22 OFA Shell'!$H$27:$H$195,0))</f>
        <v>0</v>
      </c>
      <c r="T99" s="66">
        <f>INDEX('FY 22 OFA Shell'!$AK$27:$AK$195,MATCH(Data!H99,'FY 22 OFA Shell'!$H$27:$H$195,0))</f>
        <v>0</v>
      </c>
      <c r="U99" s="135">
        <v>6394518</v>
      </c>
      <c r="V99" s="67">
        <f>ROUND(J99*Inputs!$E$22, 2)</f>
        <v>105</v>
      </c>
      <c r="W99" s="68">
        <f>I99+V99+K99*Inputs!$E$28+Data!M99</f>
        <v>3316.95</v>
      </c>
      <c r="X99" s="69">
        <f t="shared" si="40"/>
        <v>165210</v>
      </c>
      <c r="Y99" s="70">
        <f>ROUND(X99/Inputs!$E$32, 6)</f>
        <v>0.85811400000000004</v>
      </c>
      <c r="Z99" s="70">
        <f>ROUND(P99/Inputs!$E$33, 6)</f>
        <v>0.95480900000000002</v>
      </c>
      <c r="AA99" s="59">
        <f>ROUND(1-((Y99*Inputs!$E$29)+Z99*Inputs!$E$27), 6)</f>
        <v>0.11287800000000001</v>
      </c>
      <c r="AB99" s="59">
        <v>220.02101510663744</v>
      </c>
      <c r="AC99" s="73">
        <f>INDEX('FY 22 OFA Shell'!$G$27:$G$195,MATCH(Data!H99,'FY 22 OFA Shell'!$H$27:$H$195,0))</f>
        <v>77</v>
      </c>
      <c r="AD99" s="73">
        <f t="shared" si="54"/>
        <v>5</v>
      </c>
      <c r="AE99" s="65">
        <v>6394518</v>
      </c>
      <c r="AF99" s="65">
        <f t="shared" si="41"/>
        <v>-2079435</v>
      </c>
      <c r="AG99" s="65">
        <f t="shared" si="42"/>
        <v>-2079435</v>
      </c>
      <c r="AH99" s="52">
        <v>5555756</v>
      </c>
      <c r="AI99" s="107">
        <v>5690756.5</v>
      </c>
      <c r="AJ99">
        <v>2</v>
      </c>
      <c r="AK99">
        <v>2544.9758666081616</v>
      </c>
      <c r="AL99" s="165">
        <f>INDEX('FY 22 OFA Shell'!$AU$27:$AU$195,MATCH(Data!H99,'FY 22 OFA Shell'!$H$27:$H$195,0))</f>
        <v>5272935</v>
      </c>
      <c r="AM99" s="165">
        <f>Outputs!H104</f>
        <v>4315083</v>
      </c>
      <c r="AN99" s="165">
        <f>Outputs!G104+Outputs!D104+Outputs!F104</f>
        <v>4315083</v>
      </c>
      <c r="AO99" s="165">
        <v>5448842</v>
      </c>
      <c r="AP99" s="165">
        <f t="shared" si="43"/>
        <v>5693301.4758666083</v>
      </c>
      <c r="AQ99" s="52" t="str">
        <f t="shared" si="44"/>
        <v>No</v>
      </c>
      <c r="AR99" s="308">
        <f>ABS(IF(AQ99="Yes",AF99*Inputs!$D$50,Data!AF99*Inputs!$D$51))</f>
        <v>0</v>
      </c>
      <c r="AS99" s="308">
        <f t="shared" si="55"/>
        <v>5272935</v>
      </c>
      <c r="AT99" s="308">
        <f t="shared" si="45"/>
        <v>5272935</v>
      </c>
      <c r="AU99" s="308"/>
      <c r="AV99" s="308">
        <f>ABS(IF($AQ99="Yes",$AF99*Inputs!E$50,Data!$AF99*Inputs!E$51))</f>
        <v>0</v>
      </c>
      <c r="AW99" s="308">
        <f>ABS(IF($AQ99="Yes",$AF99*Inputs!F$50,Data!$AF99*Inputs!F$51))</f>
        <v>173216.93549999999</v>
      </c>
      <c r="AX99" s="308">
        <f>ABS(IF($AQ99="Yes",$AF99*Inputs!G$50,Data!$AF99*Inputs!G$51))</f>
        <v>173216.93549999999</v>
      </c>
      <c r="AY99" s="308">
        <f>ABS(IF($AQ99="Yes",$AF99*Inputs!H$50,Data!$AF99*Inputs!H$51))</f>
        <v>173216.93549999999</v>
      </c>
      <c r="AZ99" s="308">
        <f>ABS(IF($AQ99="Yes",$AF99*Inputs!I$50,Data!$AF99*Inputs!I$51))</f>
        <v>173216.93549999999</v>
      </c>
      <c r="BA99" s="308">
        <f>ABS(IF($AQ99="Yes",$AF99*Inputs!J$50,Data!$AF99*Inputs!J$51))</f>
        <v>173216.93549999999</v>
      </c>
      <c r="BB99" s="308">
        <f>ABS(IF($AQ99="Yes",$AF99*Inputs!K$50,Data!$AF99*Inputs!K$51))</f>
        <v>173216.93549999999</v>
      </c>
      <c r="BC99" s="308">
        <f>ABS(IF($AQ99="Yes",$AF99*Inputs!L$50,Data!$AF99*Inputs!L$51))</f>
        <v>173216.93549999999</v>
      </c>
      <c r="BE99" s="308">
        <f t="shared" si="56"/>
        <v>5272935</v>
      </c>
      <c r="BF99" s="308">
        <f t="shared" si="57"/>
        <v>5099718.0645000003</v>
      </c>
      <c r="BG99" s="308">
        <f t="shared" si="58"/>
        <v>4926501.1290000007</v>
      </c>
      <c r="BH99" s="308">
        <f t="shared" si="59"/>
        <v>4753284.193500001</v>
      </c>
      <c r="BI99" s="308">
        <f t="shared" si="60"/>
        <v>4580067.2580000013</v>
      </c>
      <c r="BJ99" s="308">
        <f t="shared" si="61"/>
        <v>4406850.3225000016</v>
      </c>
      <c r="BK99" s="308">
        <f t="shared" si="62"/>
        <v>4233633.387000002</v>
      </c>
      <c r="BL99" s="308">
        <f t="shared" si="63"/>
        <v>4315083</v>
      </c>
      <c r="BN99" s="308">
        <f t="shared" si="46"/>
        <v>5272935</v>
      </c>
      <c r="BO99" s="308">
        <f t="shared" si="47"/>
        <v>5099718.0645000003</v>
      </c>
      <c r="BP99" s="308">
        <f t="shared" si="48"/>
        <v>4926501.1290000007</v>
      </c>
      <c r="BQ99" s="308">
        <f t="shared" si="49"/>
        <v>4753284.193500001</v>
      </c>
      <c r="BR99" s="308">
        <f t="shared" si="50"/>
        <v>4580067.2580000013</v>
      </c>
      <c r="BS99" s="308">
        <f t="shared" si="51"/>
        <v>4406850.3225000016</v>
      </c>
      <c r="BT99" s="308">
        <f t="shared" si="52"/>
        <v>4233633.387000002</v>
      </c>
      <c r="BU99" s="308">
        <f t="shared" si="64"/>
        <v>4315083</v>
      </c>
    </row>
    <row r="100" spans="1:73" ht="15" x14ac:dyDescent="0.2">
      <c r="A100" s="62" t="s">
        <v>98</v>
      </c>
      <c r="B100" s="55" t="s">
        <v>32</v>
      </c>
      <c r="C100" s="55"/>
      <c r="D100" s="55"/>
      <c r="E100" s="55"/>
      <c r="F100" s="55"/>
      <c r="G100" s="48">
        <v>8</v>
      </c>
      <c r="H100" s="55">
        <v>86</v>
      </c>
      <c r="I100" s="55">
        <f>INDEX('FY 22 OFA Shell'!$K$27:$K$195,MATCH(Data!H100,'FY 22 OFA Shell'!$H$27:$H$195,0))</f>
        <v>2127.64</v>
      </c>
      <c r="J100" s="55">
        <f>INDEX('FY 22 OFA Shell'!$N$27:$N$195,MATCH(Data!H100,'FY 22 OFA Shell'!$H$27:$H$195,0))</f>
        <v>968</v>
      </c>
      <c r="K100" s="64">
        <f>INDEX('FY 22 OFA Shell'!$S$27:$S$195,MATCH(Data!H100,'FY 22 OFA Shell'!$H$27:$H$195,0))</f>
        <v>97</v>
      </c>
      <c r="L100" s="150">
        <f t="shared" si="53"/>
        <v>0.45496418567050817</v>
      </c>
      <c r="M100" s="149">
        <f>MAX(((L100-Inputs!$E$23)*Data!I100)*Inputs!$E$24,0)</f>
        <v>0</v>
      </c>
      <c r="N100" s="151">
        <f>INDEX('FY 22 OFA Shell'!$V$27:$V$195,MATCH(Data!H100,'FY 22 OFA Shell'!$H$27:$H$195,0))</f>
        <v>1897089863.3299999</v>
      </c>
      <c r="O100" s="63">
        <f>INDEX('FY 22 OFA Shell'!$W$27:$W$195,MATCH(Data!H100,'FY 22 OFA Shell'!$H$27:$H$195,0))</f>
        <v>19094</v>
      </c>
      <c r="P100" s="65">
        <f>INDEX('FY 22 OFA Shell'!$Z$27:$Z$195,MATCH(Data!H100,'FY 22 OFA Shell'!$H$27:$H$195,0))</f>
        <v>73765</v>
      </c>
      <c r="Q100" s="63">
        <f>INDEX('FY 22 OFA Shell'!$AF$27:$AF$195,MATCH(Data!H100,'FY 22 OFA Shell'!$H$27:$H$195,0))</f>
        <v>0</v>
      </c>
      <c r="R100" s="66">
        <f>INDEX('FY 22 OFA Shell'!$AG$27:$AG$195,MATCH(Data!H100,'FY 22 OFA Shell'!$H$27:$H$195,0))</f>
        <v>0</v>
      </c>
      <c r="S100" s="66">
        <f>INDEX('FY 22 OFA Shell'!$AJ$27:$AJ$195,MATCH(Data!H100,'FY 22 OFA Shell'!$H$27:$H$195,0))</f>
        <v>0</v>
      </c>
      <c r="T100" s="66">
        <f>INDEX('FY 22 OFA Shell'!$AK$27:$AK$195,MATCH(Data!H100,'FY 22 OFA Shell'!$H$27:$H$195,0))</f>
        <v>0</v>
      </c>
      <c r="U100" s="135">
        <v>12589621</v>
      </c>
      <c r="V100" s="67">
        <f>ROUND(J100*Inputs!$E$22, 2)</f>
        <v>290.39999999999998</v>
      </c>
      <c r="W100" s="68">
        <f>I100+V100+K100*Inputs!$E$28+Data!M100</f>
        <v>2442.29</v>
      </c>
      <c r="X100" s="69">
        <f t="shared" si="40"/>
        <v>99355.29</v>
      </c>
      <c r="Y100" s="70">
        <f>ROUND(X100/Inputs!$E$32, 6)</f>
        <v>0.51605999999999996</v>
      </c>
      <c r="Z100" s="70">
        <f>ROUND(P100/Inputs!$E$33, 6)</f>
        <v>0.61218700000000004</v>
      </c>
      <c r="AA100" s="59">
        <f>ROUND(1-((Y100*Inputs!$E$29)+Z100*Inputs!$E$27), 6)</f>
        <v>0.45510200000000001</v>
      </c>
      <c r="AB100" s="59">
        <v>266.10336984741417</v>
      </c>
      <c r="AC100" s="73">
        <f>INDEX('FY 22 OFA Shell'!$G$27:$G$195,MATCH(Data!H100,'FY 22 OFA Shell'!$H$27:$H$195,0))</f>
        <v>21</v>
      </c>
      <c r="AD100" s="73">
        <f t="shared" si="54"/>
        <v>5</v>
      </c>
      <c r="AE100" s="65">
        <v>12589621</v>
      </c>
      <c r="AF100" s="65">
        <f t="shared" si="41"/>
        <v>220314</v>
      </c>
      <c r="AG100" s="65">
        <f t="shared" si="42"/>
        <v>220314</v>
      </c>
      <c r="AH100" s="52">
        <v>10936376</v>
      </c>
      <c r="AI100" s="107">
        <v>12628738.977</v>
      </c>
      <c r="AJ100">
        <v>4</v>
      </c>
      <c r="AK100">
        <v>5089.9517332163232</v>
      </c>
      <c r="AL100" s="165">
        <f>INDEX('FY 22 OFA Shell'!$AU$27:$AU$195,MATCH(Data!H100,'FY 22 OFA Shell'!$H$27:$H$195,0))</f>
        <v>12779336</v>
      </c>
      <c r="AM100" s="165">
        <f>Outputs!H105</f>
        <v>12809935</v>
      </c>
      <c r="AN100" s="165">
        <f>Outputs!G105+Outputs!D105+Outputs!F105</f>
        <v>12809935</v>
      </c>
      <c r="AO100" s="165">
        <v>12690954</v>
      </c>
      <c r="AP100" s="165">
        <f t="shared" si="43"/>
        <v>12633828.928733217</v>
      </c>
      <c r="AQ100" s="52" t="str">
        <f t="shared" si="44"/>
        <v>Yes</v>
      </c>
      <c r="AR100" s="308">
        <f>ABS(IF(AQ100="Yes",AF100*Inputs!$D$50,Data!AF100*Inputs!$D$51))</f>
        <v>23485.472399999999</v>
      </c>
      <c r="AS100" s="308">
        <f t="shared" si="55"/>
        <v>12802821.4724</v>
      </c>
      <c r="AT100" s="308">
        <f t="shared" si="45"/>
        <v>12802821.4724</v>
      </c>
      <c r="AU100" s="308"/>
      <c r="AV100" s="308">
        <f>ABS(IF($AQ100="Yes",$AF100*Inputs!E$50,Data!$AF100*Inputs!E$51))</f>
        <v>23485.472399999999</v>
      </c>
      <c r="AW100" s="308">
        <f>ABS(IF($AQ100="Yes",$AF100*Inputs!F$50,Data!$AF100*Inputs!F$51))</f>
        <v>23485.472399999999</v>
      </c>
      <c r="AX100" s="308">
        <f>ABS(IF($AQ100="Yes",$AF100*Inputs!G$50,Data!$AF100*Inputs!G$51))</f>
        <v>23485.472399999999</v>
      </c>
      <c r="AY100" s="308">
        <f>ABS(IF($AQ100="Yes",$AF100*Inputs!H$50,Data!$AF100*Inputs!H$51))</f>
        <v>23485.472399999999</v>
      </c>
      <c r="AZ100" s="308">
        <f>ABS(IF($AQ100="Yes",$AF100*Inputs!I$50,Data!$AF100*Inputs!I$51))</f>
        <v>23485.472399999999</v>
      </c>
      <c r="BA100" s="308">
        <f>ABS(IF($AQ100="Yes",$AF100*Inputs!J$50,Data!$AF100*Inputs!J$51))</f>
        <v>23485.472399999999</v>
      </c>
      <c r="BB100" s="308">
        <f>ABS(IF($AQ100="Yes",$AF100*Inputs!K$50,Data!$AF100*Inputs!K$51))</f>
        <v>0</v>
      </c>
      <c r="BC100" s="308">
        <f>ABS(IF($AQ100="Yes",$AF100*Inputs!L$50,Data!$AF100*Inputs!L$51))</f>
        <v>0</v>
      </c>
      <c r="BE100" s="308">
        <f t="shared" si="56"/>
        <v>12826306.944800001</v>
      </c>
      <c r="BF100" s="308">
        <f t="shared" si="57"/>
        <v>12849792.417200001</v>
      </c>
      <c r="BG100" s="308">
        <f t="shared" si="58"/>
        <v>12873277.889600001</v>
      </c>
      <c r="BH100" s="308">
        <f t="shared" si="59"/>
        <v>12896763.362000002</v>
      </c>
      <c r="BI100" s="308">
        <f t="shared" si="60"/>
        <v>12920248.834400002</v>
      </c>
      <c r="BJ100" s="308">
        <f t="shared" si="61"/>
        <v>12809935</v>
      </c>
      <c r="BK100" s="308">
        <f t="shared" si="62"/>
        <v>12809935</v>
      </c>
      <c r="BL100" s="308">
        <f t="shared" si="63"/>
        <v>12809935</v>
      </c>
      <c r="BN100" s="308">
        <f t="shared" si="46"/>
        <v>12826306.944800001</v>
      </c>
      <c r="BO100" s="308">
        <f t="shared" si="47"/>
        <v>12849792.417200001</v>
      </c>
      <c r="BP100" s="308">
        <f t="shared" si="48"/>
        <v>12873277.889600001</v>
      </c>
      <c r="BQ100" s="308">
        <f t="shared" si="49"/>
        <v>12896763.362000002</v>
      </c>
      <c r="BR100" s="308">
        <f t="shared" si="50"/>
        <v>12920248.834400002</v>
      </c>
      <c r="BS100" s="308">
        <f t="shared" si="51"/>
        <v>12809935</v>
      </c>
      <c r="BT100" s="308">
        <f t="shared" si="52"/>
        <v>12809935</v>
      </c>
      <c r="BU100" s="308">
        <f t="shared" si="64"/>
        <v>12809935</v>
      </c>
    </row>
    <row r="101" spans="1:73" ht="15" x14ac:dyDescent="0.2">
      <c r="A101" s="62" t="s">
        <v>99</v>
      </c>
      <c r="B101" s="55" t="s">
        <v>8</v>
      </c>
      <c r="C101" s="55"/>
      <c r="D101" s="55"/>
      <c r="E101" s="55"/>
      <c r="F101" s="55"/>
      <c r="G101" s="48">
        <v>3</v>
      </c>
      <c r="H101" s="55">
        <v>87</v>
      </c>
      <c r="I101" s="55">
        <f>INDEX('FY 22 OFA Shell'!$K$27:$K$195,MATCH(Data!H101,'FY 22 OFA Shell'!$H$27:$H$195,0))</f>
        <v>215.58</v>
      </c>
      <c r="J101" s="55">
        <f>INDEX('FY 22 OFA Shell'!$N$27:$N$195,MATCH(Data!H101,'FY 22 OFA Shell'!$H$27:$H$195,0))</f>
        <v>65</v>
      </c>
      <c r="K101" s="64">
        <f>INDEX('FY 22 OFA Shell'!$S$27:$S$195,MATCH(Data!H101,'FY 22 OFA Shell'!$H$27:$H$195,0))</f>
        <v>4</v>
      </c>
      <c r="L101" s="150">
        <f t="shared" si="53"/>
        <v>0.30151219964746262</v>
      </c>
      <c r="M101" s="149">
        <f>MAX(((L101-Inputs!$E$23)*Data!I101)*Inputs!$E$24,0)</f>
        <v>0</v>
      </c>
      <c r="N101" s="151">
        <f>INDEX('FY 22 OFA Shell'!$V$27:$V$195,MATCH(Data!H101,'FY 22 OFA Shell'!$H$27:$H$195,0))</f>
        <v>476416325.67000002</v>
      </c>
      <c r="O101" s="63">
        <f>INDEX('FY 22 OFA Shell'!$W$27:$W$195,MATCH(Data!H101,'FY 22 OFA Shell'!$H$27:$H$195,0))</f>
        <v>2288</v>
      </c>
      <c r="P101" s="65">
        <f>INDEX('FY 22 OFA Shell'!$Z$27:$Z$195,MATCH(Data!H101,'FY 22 OFA Shell'!$H$27:$H$195,0))</f>
        <v>94500</v>
      </c>
      <c r="Q101" s="63">
        <f>INDEX('FY 22 OFA Shell'!$AF$27:$AF$195,MATCH(Data!H101,'FY 22 OFA Shell'!$H$27:$H$195,0))</f>
        <v>218</v>
      </c>
      <c r="R101" s="66">
        <f>INDEX('FY 22 OFA Shell'!$AG$27:$AG$195,MATCH(Data!H101,'FY 22 OFA Shell'!$H$27:$H$195,0))</f>
        <v>13</v>
      </c>
      <c r="S101" s="66">
        <f>INDEX('FY 22 OFA Shell'!$AJ$27:$AJ$195,MATCH(Data!H101,'FY 22 OFA Shell'!$H$27:$H$195,0))</f>
        <v>0</v>
      </c>
      <c r="T101" s="66">
        <f>INDEX('FY 22 OFA Shell'!$AK$27:$AK$195,MATCH(Data!H101,'FY 22 OFA Shell'!$H$27:$H$195,0))</f>
        <v>0</v>
      </c>
      <c r="U101" s="135">
        <v>102178</v>
      </c>
      <c r="V101" s="67">
        <f>ROUND(J101*Inputs!$E$22, 2)</f>
        <v>19.5</v>
      </c>
      <c r="W101" s="68">
        <f>I101+V101+K101*Inputs!$E$28+Data!M101</f>
        <v>236.08</v>
      </c>
      <c r="X101" s="69">
        <f t="shared" si="40"/>
        <v>208223.92</v>
      </c>
      <c r="Y101" s="70">
        <f>ROUND(X101/Inputs!$E$32, 6)</f>
        <v>1.0815319999999999</v>
      </c>
      <c r="Z101" s="70">
        <f>ROUND(P101/Inputs!$E$33, 6)</f>
        <v>0.78427000000000002</v>
      </c>
      <c r="AA101" s="59">
        <f>ROUND(1-((Y101*Inputs!$E$29)+Z101*Inputs!$E$27), 6)</f>
        <v>7.6470000000000002E-3</v>
      </c>
      <c r="AB101" s="59">
        <v>214.90548223699065</v>
      </c>
      <c r="AC101" s="73">
        <f>INDEX('FY 22 OFA Shell'!$G$27:$G$195,MATCH(Data!H101,'FY 22 OFA Shell'!$H$27:$H$195,0))</f>
        <v>133</v>
      </c>
      <c r="AD101" s="73">
        <f t="shared" si="54"/>
        <v>5</v>
      </c>
      <c r="AE101" s="65">
        <v>102178</v>
      </c>
      <c r="AF101" s="65">
        <f t="shared" si="41"/>
        <v>208430</v>
      </c>
      <c r="AG101" s="65">
        <f t="shared" si="42"/>
        <v>208430</v>
      </c>
      <c r="AH101" s="52">
        <v>84502</v>
      </c>
      <c r="AI101" s="107">
        <v>103296.02899999999</v>
      </c>
      <c r="AJ101"/>
      <c r="AK101">
        <v>0</v>
      </c>
      <c r="AL101" s="165">
        <f>INDEX('FY 22 OFA Shell'!$AU$27:$AU$195,MATCH(Data!H101,'FY 22 OFA Shell'!$H$27:$H$195,0))</f>
        <v>109929</v>
      </c>
      <c r="AM101" s="165">
        <f>Outputs!H106</f>
        <v>310608</v>
      </c>
      <c r="AN101" s="165">
        <f>Outputs!G106+Outputs!D106+Outputs!F106</f>
        <v>310608</v>
      </c>
      <c r="AO101" s="165">
        <v>111991</v>
      </c>
      <c r="AP101" s="165">
        <f t="shared" si="43"/>
        <v>103296.02899999999</v>
      </c>
      <c r="AQ101" s="52" t="str">
        <f t="shared" si="44"/>
        <v>Yes</v>
      </c>
      <c r="AR101" s="308">
        <f>ABS(IF(AQ101="Yes",AF101*Inputs!$D$50,Data!AF101*Inputs!$D$51))</f>
        <v>22218.637999999999</v>
      </c>
      <c r="AS101" s="308">
        <f t="shared" si="55"/>
        <v>132147.63800000001</v>
      </c>
      <c r="AT101" s="308">
        <f t="shared" si="45"/>
        <v>132147.63800000001</v>
      </c>
      <c r="AU101" s="308"/>
      <c r="AV101" s="308">
        <f>ABS(IF($AQ101="Yes",$AF101*Inputs!E$50,Data!$AF101*Inputs!E$51))</f>
        <v>22218.637999999999</v>
      </c>
      <c r="AW101" s="308">
        <f>ABS(IF($AQ101="Yes",$AF101*Inputs!F$50,Data!$AF101*Inputs!F$51))</f>
        <v>22218.637999999999</v>
      </c>
      <c r="AX101" s="308">
        <f>ABS(IF($AQ101="Yes",$AF101*Inputs!G$50,Data!$AF101*Inputs!G$51))</f>
        <v>22218.637999999999</v>
      </c>
      <c r="AY101" s="308">
        <f>ABS(IF($AQ101="Yes",$AF101*Inputs!H$50,Data!$AF101*Inputs!H$51))</f>
        <v>22218.637999999999</v>
      </c>
      <c r="AZ101" s="308">
        <f>ABS(IF($AQ101="Yes",$AF101*Inputs!I$50,Data!$AF101*Inputs!I$51))</f>
        <v>22218.637999999999</v>
      </c>
      <c r="BA101" s="308">
        <f>ABS(IF($AQ101="Yes",$AF101*Inputs!J$50,Data!$AF101*Inputs!J$51))</f>
        <v>22218.637999999999</v>
      </c>
      <c r="BB101" s="308">
        <f>ABS(IF($AQ101="Yes",$AF101*Inputs!K$50,Data!$AF101*Inputs!K$51))</f>
        <v>0</v>
      </c>
      <c r="BC101" s="308">
        <f>ABS(IF($AQ101="Yes",$AF101*Inputs!L$50,Data!$AF101*Inputs!L$51))</f>
        <v>0</v>
      </c>
      <c r="BE101" s="308">
        <f t="shared" si="56"/>
        <v>154366.27600000001</v>
      </c>
      <c r="BF101" s="308">
        <f t="shared" si="57"/>
        <v>176584.91400000002</v>
      </c>
      <c r="BG101" s="308">
        <f t="shared" si="58"/>
        <v>198803.55200000003</v>
      </c>
      <c r="BH101" s="308">
        <f t="shared" si="59"/>
        <v>221022.19000000003</v>
      </c>
      <c r="BI101" s="308">
        <f t="shared" si="60"/>
        <v>243240.82800000004</v>
      </c>
      <c r="BJ101" s="308">
        <f t="shared" si="61"/>
        <v>310608</v>
      </c>
      <c r="BK101" s="308">
        <f t="shared" si="62"/>
        <v>310608</v>
      </c>
      <c r="BL101" s="308">
        <f t="shared" si="63"/>
        <v>310608</v>
      </c>
      <c r="BN101" s="308">
        <f t="shared" si="46"/>
        <v>154366.27600000001</v>
      </c>
      <c r="BO101" s="308">
        <f t="shared" si="47"/>
        <v>176584.91400000002</v>
      </c>
      <c r="BP101" s="308">
        <f t="shared" si="48"/>
        <v>198803.55200000003</v>
      </c>
      <c r="BQ101" s="308">
        <f t="shared" si="49"/>
        <v>221022.19000000003</v>
      </c>
      <c r="BR101" s="308">
        <f t="shared" si="50"/>
        <v>243240.82800000004</v>
      </c>
      <c r="BS101" s="308">
        <f t="shared" si="51"/>
        <v>310608</v>
      </c>
      <c r="BT101" s="308">
        <f t="shared" si="52"/>
        <v>310608</v>
      </c>
      <c r="BU101" s="308">
        <f t="shared" si="64"/>
        <v>310608</v>
      </c>
    </row>
    <row r="102" spans="1:73" ht="15" x14ac:dyDescent="0.2">
      <c r="A102" s="62" t="s">
        <v>100</v>
      </c>
      <c r="B102" s="55" t="s">
        <v>19</v>
      </c>
      <c r="C102" s="55"/>
      <c r="D102" s="55">
        <v>1</v>
      </c>
      <c r="E102" s="55">
        <v>1</v>
      </c>
      <c r="F102" s="55"/>
      <c r="G102" s="48">
        <v>10</v>
      </c>
      <c r="H102" s="55">
        <v>88</v>
      </c>
      <c r="I102" s="55">
        <f>INDEX('FY 22 OFA Shell'!$K$27:$K$195,MATCH(Data!H102,'FY 22 OFA Shell'!$H$27:$H$195,0))</f>
        <v>4538.93</v>
      </c>
      <c r="J102" s="55">
        <f>INDEX('FY 22 OFA Shell'!$N$27:$N$195,MATCH(Data!H102,'FY 22 OFA Shell'!$H$27:$H$195,0))</f>
        <v>2562</v>
      </c>
      <c r="K102" s="64">
        <f>INDEX('FY 22 OFA Shell'!$S$27:$S$195,MATCH(Data!H102,'FY 22 OFA Shell'!$H$27:$H$195,0))</f>
        <v>337</v>
      </c>
      <c r="L102" s="150">
        <f t="shared" si="53"/>
        <v>0.56445021183406663</v>
      </c>
      <c r="M102" s="149">
        <f>MAX(((L102-Inputs!$E$23)*Data!I102)*Inputs!$E$24,0)</f>
        <v>0</v>
      </c>
      <c r="N102" s="151">
        <f>INDEX('FY 22 OFA Shell'!$V$27:$V$195,MATCH(Data!H102,'FY 22 OFA Shell'!$H$27:$H$195,0))</f>
        <v>2395636456.6700001</v>
      </c>
      <c r="O102" s="63">
        <f>INDEX('FY 22 OFA Shell'!$W$27:$W$195,MATCH(Data!H102,'FY 22 OFA Shell'!$H$27:$H$195,0))</f>
        <v>31481</v>
      </c>
      <c r="P102" s="65">
        <f>INDEX('FY 22 OFA Shell'!$Z$27:$Z$195,MATCH(Data!H102,'FY 22 OFA Shell'!$H$27:$H$195,0))</f>
        <v>70512</v>
      </c>
      <c r="Q102" s="63">
        <f>INDEX('FY 22 OFA Shell'!$AF$27:$AF$195,MATCH(Data!H102,'FY 22 OFA Shell'!$H$27:$H$195,0))</f>
        <v>0</v>
      </c>
      <c r="R102" s="66">
        <f>INDEX('FY 22 OFA Shell'!$AG$27:$AG$195,MATCH(Data!H102,'FY 22 OFA Shell'!$H$27:$H$195,0))</f>
        <v>0</v>
      </c>
      <c r="S102" s="66">
        <f>INDEX('FY 22 OFA Shell'!$AJ$27:$AJ$195,MATCH(Data!H102,'FY 22 OFA Shell'!$H$27:$H$195,0))</f>
        <v>0</v>
      </c>
      <c r="T102" s="66">
        <f>INDEX('FY 22 OFA Shell'!$AK$27:$AK$195,MATCH(Data!H102,'FY 22 OFA Shell'!$H$27:$H$195,0))</f>
        <v>0</v>
      </c>
      <c r="U102" s="135">
        <v>30280380</v>
      </c>
      <c r="V102" s="67">
        <f>ROUND(J102*Inputs!$E$22, 2)</f>
        <v>768.6</v>
      </c>
      <c r="W102" s="68">
        <f>I102+V102+K102*Inputs!$E$28+Data!M102</f>
        <v>5391.7800000000007</v>
      </c>
      <c r="X102" s="69">
        <f t="shared" si="40"/>
        <v>76097.850000000006</v>
      </c>
      <c r="Y102" s="70">
        <f>ROUND(X102/Inputs!$E$32, 6)</f>
        <v>0.395258</v>
      </c>
      <c r="Z102" s="70">
        <f>ROUND(P102/Inputs!$E$33, 6)</f>
        <v>0.58518999999999999</v>
      </c>
      <c r="AA102" s="59">
        <f>ROUND(1-((Y102*Inputs!$E$29)+Z102*Inputs!$E$27), 6)</f>
        <v>0.54776199999999997</v>
      </c>
      <c r="AB102" s="59">
        <v>319.99446529149969</v>
      </c>
      <c r="AC102" s="73">
        <f>INDEX('FY 22 OFA Shell'!$G$27:$G$195,MATCH(Data!H102,'FY 22 OFA Shell'!$H$27:$H$195,0))</f>
        <v>13</v>
      </c>
      <c r="AD102" s="73">
        <f t="shared" si="54"/>
        <v>3</v>
      </c>
      <c r="AE102" s="65">
        <v>30280380</v>
      </c>
      <c r="AF102" s="65">
        <f t="shared" si="41"/>
        <v>6243306</v>
      </c>
      <c r="AG102" s="65">
        <f t="shared" si="42"/>
        <v>6243306</v>
      </c>
      <c r="AH102" s="52">
        <v>30196115</v>
      </c>
      <c r="AI102" s="107">
        <v>30516109.377</v>
      </c>
      <c r="AJ102">
        <v>5</v>
      </c>
      <c r="AK102">
        <v>6362.439666520404</v>
      </c>
      <c r="AL102" s="165">
        <f>INDEX('FY 22 OFA Shell'!$AU$27:$AU$195,MATCH(Data!H102,'FY 22 OFA Shell'!$H$27:$H$195,0))</f>
        <v>32037303</v>
      </c>
      <c r="AM102" s="165">
        <f>Outputs!H107</f>
        <v>36523686</v>
      </c>
      <c r="AN102" s="165">
        <f>Outputs!G107+Outputs!D107+Outputs!F107</f>
        <v>36523686</v>
      </c>
      <c r="AO102" s="165">
        <v>31227536</v>
      </c>
      <c r="AP102" s="165">
        <f t="shared" si="43"/>
        <v>30522471.816666521</v>
      </c>
      <c r="AQ102" s="52" t="str">
        <f t="shared" si="44"/>
        <v>Yes</v>
      </c>
      <c r="AR102" s="308">
        <f>ABS(IF(AQ102="Yes",AF102*Inputs!$D$50,Data!AF102*Inputs!$D$51))</f>
        <v>665536.41960000002</v>
      </c>
      <c r="AS102" s="308">
        <f t="shared" si="55"/>
        <v>32702839.419599999</v>
      </c>
      <c r="AT102" s="308">
        <f t="shared" si="45"/>
        <v>32702839.419599999</v>
      </c>
      <c r="AU102" s="308"/>
      <c r="AV102" s="308">
        <f>ABS(IF($AQ102="Yes",$AF102*Inputs!E$50,Data!$AF102*Inputs!E$51))</f>
        <v>665536.41960000002</v>
      </c>
      <c r="AW102" s="308">
        <f>ABS(IF($AQ102="Yes",$AF102*Inputs!F$50,Data!$AF102*Inputs!F$51))</f>
        <v>665536.41960000002</v>
      </c>
      <c r="AX102" s="308">
        <f>ABS(IF($AQ102="Yes",$AF102*Inputs!G$50,Data!$AF102*Inputs!G$51))</f>
        <v>665536.41960000002</v>
      </c>
      <c r="AY102" s="308">
        <f>ABS(IF($AQ102="Yes",$AF102*Inputs!H$50,Data!$AF102*Inputs!H$51))</f>
        <v>665536.41960000002</v>
      </c>
      <c r="AZ102" s="308">
        <f>ABS(IF($AQ102="Yes",$AF102*Inputs!I$50,Data!$AF102*Inputs!I$51))</f>
        <v>665536.41960000002</v>
      </c>
      <c r="BA102" s="308">
        <f>ABS(IF($AQ102="Yes",$AF102*Inputs!J$50,Data!$AF102*Inputs!J$51))</f>
        <v>665536.41960000002</v>
      </c>
      <c r="BB102" s="308">
        <f>ABS(IF($AQ102="Yes",$AF102*Inputs!K$50,Data!$AF102*Inputs!K$51))</f>
        <v>0</v>
      </c>
      <c r="BC102" s="308">
        <f>ABS(IF($AQ102="Yes",$AF102*Inputs!L$50,Data!$AF102*Inputs!L$51))</f>
        <v>0</v>
      </c>
      <c r="BE102" s="308">
        <f t="shared" si="56"/>
        <v>33368375.839199997</v>
      </c>
      <c r="BF102" s="308">
        <f t="shared" si="57"/>
        <v>34033912.2588</v>
      </c>
      <c r="BG102" s="308">
        <f t="shared" si="58"/>
        <v>34699448.678400002</v>
      </c>
      <c r="BH102" s="308">
        <f t="shared" si="59"/>
        <v>35364985.098000005</v>
      </c>
      <c r="BI102" s="308">
        <f t="shared" si="60"/>
        <v>36030521.517600007</v>
      </c>
      <c r="BJ102" s="308">
        <f t="shared" si="61"/>
        <v>36523686</v>
      </c>
      <c r="BK102" s="308">
        <f t="shared" si="62"/>
        <v>36523686</v>
      </c>
      <c r="BL102" s="308">
        <f t="shared" si="63"/>
        <v>36523686</v>
      </c>
      <c r="BN102" s="308">
        <f t="shared" si="46"/>
        <v>33368375.839199997</v>
      </c>
      <c r="BO102" s="308">
        <f t="shared" si="47"/>
        <v>34033912.2588</v>
      </c>
      <c r="BP102" s="308">
        <f t="shared" si="48"/>
        <v>34699448.678400002</v>
      </c>
      <c r="BQ102" s="308">
        <f t="shared" si="49"/>
        <v>35364985.098000005</v>
      </c>
      <c r="BR102" s="308">
        <f t="shared" si="50"/>
        <v>36030521.517600007</v>
      </c>
      <c r="BS102" s="308">
        <f t="shared" si="51"/>
        <v>36523686</v>
      </c>
      <c r="BT102" s="308">
        <f t="shared" si="52"/>
        <v>36523686</v>
      </c>
      <c r="BU102" s="308">
        <f t="shared" si="64"/>
        <v>36523686</v>
      </c>
    </row>
    <row r="103" spans="1:73" ht="15" x14ac:dyDescent="0.2">
      <c r="A103" s="62" t="s">
        <v>101</v>
      </c>
      <c r="B103" s="55" t="s">
        <v>24</v>
      </c>
      <c r="C103" s="55">
        <v>1</v>
      </c>
      <c r="D103" s="55">
        <v>1</v>
      </c>
      <c r="E103" s="55">
        <v>0</v>
      </c>
      <c r="F103" s="55">
        <v>1</v>
      </c>
      <c r="G103" s="48">
        <v>10</v>
      </c>
      <c r="H103" s="55">
        <v>89</v>
      </c>
      <c r="I103" s="55">
        <f>INDEX('FY 22 OFA Shell'!$K$27:$K$195,MATCH(Data!H103,'FY 22 OFA Shell'!$H$27:$H$195,0))</f>
        <v>11097.79</v>
      </c>
      <c r="J103" s="55">
        <f>INDEX('FY 22 OFA Shell'!$N$27:$N$195,MATCH(Data!H103,'FY 22 OFA Shell'!$H$27:$H$195,0))</f>
        <v>8178</v>
      </c>
      <c r="K103" s="64">
        <f>INDEX('FY 22 OFA Shell'!$S$27:$S$195,MATCH(Data!H103,'FY 22 OFA Shell'!$H$27:$H$195,0))</f>
        <v>1815</v>
      </c>
      <c r="L103" s="150">
        <f t="shared" si="53"/>
        <v>0.73690347357446839</v>
      </c>
      <c r="M103" s="149">
        <f>MAX(((L103-Inputs!$E$23)*Data!I103)*Inputs!$E$24,0)</f>
        <v>227.8989</v>
      </c>
      <c r="N103" s="151">
        <f>INDEX('FY 22 OFA Shell'!$V$27:$V$195,MATCH(Data!H103,'FY 22 OFA Shell'!$H$27:$H$195,0))</f>
        <v>3969245273.3299999</v>
      </c>
      <c r="O103" s="63">
        <f>INDEX('FY 22 OFA Shell'!$W$27:$W$195,MATCH(Data!H103,'FY 22 OFA Shell'!$H$27:$H$195,0))</f>
        <v>72839</v>
      </c>
      <c r="P103" s="65">
        <f>INDEX('FY 22 OFA Shell'!$Z$27:$Z$195,MATCH(Data!H103,'FY 22 OFA Shell'!$H$27:$H$195,0))</f>
        <v>45258</v>
      </c>
      <c r="Q103" s="63">
        <f>INDEX('FY 22 OFA Shell'!$AF$27:$AF$195,MATCH(Data!H103,'FY 22 OFA Shell'!$H$27:$H$195,0))</f>
        <v>0</v>
      </c>
      <c r="R103" s="66">
        <f>INDEX('FY 22 OFA Shell'!$AG$27:$AG$195,MATCH(Data!H103,'FY 22 OFA Shell'!$H$27:$H$195,0))</f>
        <v>0</v>
      </c>
      <c r="S103" s="66">
        <f>INDEX('FY 22 OFA Shell'!$AJ$27:$AJ$195,MATCH(Data!H103,'FY 22 OFA Shell'!$H$27:$H$195,0))</f>
        <v>0</v>
      </c>
      <c r="T103" s="66">
        <f>INDEX('FY 22 OFA Shell'!$AK$27:$AK$195,MATCH(Data!H103,'FY 22 OFA Shell'!$H$27:$H$195,0))</f>
        <v>0</v>
      </c>
      <c r="U103" s="135">
        <v>86195269</v>
      </c>
      <c r="V103" s="67">
        <f>ROUND(J103*Inputs!$E$22, 2)</f>
        <v>2453.4</v>
      </c>
      <c r="W103" s="68">
        <f>I103+V103+K103*Inputs!$E$28+Data!M103</f>
        <v>14232.838900000001</v>
      </c>
      <c r="X103" s="69">
        <f t="shared" si="40"/>
        <v>54493.41</v>
      </c>
      <c r="Y103" s="70">
        <f>ROUND(X103/Inputs!$E$32, 6)</f>
        <v>0.28304299999999999</v>
      </c>
      <c r="Z103" s="70">
        <f>ROUND(P103/Inputs!$E$33, 6)</f>
        <v>0.37560300000000002</v>
      </c>
      <c r="AA103" s="59">
        <f>ROUND(1-((Y103*Inputs!$E$29)+Z103*Inputs!$E$27), 6)</f>
        <v>0.68918900000000005</v>
      </c>
      <c r="AB103" s="59">
        <v>416.16969353887447</v>
      </c>
      <c r="AC103" s="73">
        <f>INDEX('FY 22 OFA Shell'!$G$27:$G$195,MATCH(Data!H103,'FY 22 OFA Shell'!$H$27:$H$195,0))</f>
        <v>3</v>
      </c>
      <c r="AD103" s="73">
        <f t="shared" si="54"/>
        <v>1</v>
      </c>
      <c r="AE103" s="65">
        <v>86195269</v>
      </c>
      <c r="AF103" s="65">
        <f t="shared" si="41"/>
        <v>36696801</v>
      </c>
      <c r="AG103" s="65">
        <f t="shared" si="42"/>
        <v>36696801</v>
      </c>
      <c r="AH103" s="52">
        <v>85945269</v>
      </c>
      <c r="AI103" s="107">
        <v>87784759.788000003</v>
      </c>
      <c r="AJ103">
        <v>269</v>
      </c>
      <c r="AK103">
        <v>342299.25405879773</v>
      </c>
      <c r="AL103" s="165">
        <f>INDEX('FY 22 OFA Shell'!$AU$27:$AU$195,MATCH(Data!H103,'FY 22 OFA Shell'!$H$27:$H$195,0))</f>
        <v>95776383</v>
      </c>
      <c r="AM103" s="165">
        <f>Outputs!H108</f>
        <v>122892070</v>
      </c>
      <c r="AN103" s="165">
        <f>Outputs!G108+Outputs!D108+Outputs!F108</f>
        <v>122892070</v>
      </c>
      <c r="AO103" s="165">
        <v>91857909</v>
      </c>
      <c r="AP103" s="165">
        <f t="shared" si="43"/>
        <v>88127059.042058796</v>
      </c>
      <c r="AQ103" s="52" t="str">
        <f t="shared" si="44"/>
        <v>Yes</v>
      </c>
      <c r="AR103" s="308">
        <f>ABS(IF(AQ103="Yes",AF103*Inputs!$D$50,Data!AF103*Inputs!$D$51))</f>
        <v>3911878.9865999999</v>
      </c>
      <c r="AS103" s="308">
        <f t="shared" si="55"/>
        <v>99688261.986599997</v>
      </c>
      <c r="AT103" s="308">
        <f t="shared" si="45"/>
        <v>99688261.986599997</v>
      </c>
      <c r="AU103" s="308"/>
      <c r="AV103" s="308">
        <f>ABS(IF($AQ103="Yes",$AF103*Inputs!E$50,Data!$AF103*Inputs!E$51))</f>
        <v>3911878.9865999999</v>
      </c>
      <c r="AW103" s="308">
        <f>ABS(IF($AQ103="Yes",$AF103*Inputs!F$50,Data!$AF103*Inputs!F$51))</f>
        <v>3911878.9865999999</v>
      </c>
      <c r="AX103" s="308">
        <f>ABS(IF($AQ103="Yes",$AF103*Inputs!G$50,Data!$AF103*Inputs!G$51))</f>
        <v>3911878.9865999999</v>
      </c>
      <c r="AY103" s="308">
        <f>ABS(IF($AQ103="Yes",$AF103*Inputs!H$50,Data!$AF103*Inputs!H$51))</f>
        <v>3911878.9865999999</v>
      </c>
      <c r="AZ103" s="308">
        <f>ABS(IF($AQ103="Yes",$AF103*Inputs!I$50,Data!$AF103*Inputs!I$51))</f>
        <v>3911878.9865999999</v>
      </c>
      <c r="BA103" s="308">
        <f>ABS(IF($AQ103="Yes",$AF103*Inputs!J$50,Data!$AF103*Inputs!J$51))</f>
        <v>3911878.9865999999</v>
      </c>
      <c r="BB103" s="308">
        <f>ABS(IF($AQ103="Yes",$AF103*Inputs!K$50,Data!$AF103*Inputs!K$51))</f>
        <v>0</v>
      </c>
      <c r="BC103" s="308">
        <f>ABS(IF($AQ103="Yes",$AF103*Inputs!L$50,Data!$AF103*Inputs!L$51))</f>
        <v>0</v>
      </c>
      <c r="BE103" s="308">
        <f t="shared" si="56"/>
        <v>103600140.97319999</v>
      </c>
      <c r="BF103" s="308">
        <f t="shared" si="57"/>
        <v>107512019.95979999</v>
      </c>
      <c r="BG103" s="308">
        <f t="shared" si="58"/>
        <v>111423898.94639999</v>
      </c>
      <c r="BH103" s="308">
        <f t="shared" si="59"/>
        <v>115335777.93299998</v>
      </c>
      <c r="BI103" s="308">
        <f t="shared" si="60"/>
        <v>119247656.91959998</v>
      </c>
      <c r="BJ103" s="308">
        <f t="shared" si="61"/>
        <v>122892070</v>
      </c>
      <c r="BK103" s="308">
        <f t="shared" si="62"/>
        <v>122892070</v>
      </c>
      <c r="BL103" s="308">
        <f t="shared" si="63"/>
        <v>122892070</v>
      </c>
      <c r="BN103" s="308">
        <f t="shared" si="46"/>
        <v>103600140.97319999</v>
      </c>
      <c r="BO103" s="308">
        <f t="shared" si="47"/>
        <v>107512019.95979999</v>
      </c>
      <c r="BP103" s="308">
        <f t="shared" si="48"/>
        <v>111423898.94639999</v>
      </c>
      <c r="BQ103" s="308">
        <f t="shared" si="49"/>
        <v>115335777.93299998</v>
      </c>
      <c r="BR103" s="308">
        <f t="shared" si="50"/>
        <v>119247656.91959998</v>
      </c>
      <c r="BS103" s="308">
        <f t="shared" si="51"/>
        <v>122892070</v>
      </c>
      <c r="BT103" s="308">
        <f t="shared" si="52"/>
        <v>122892070</v>
      </c>
      <c r="BU103" s="308">
        <f t="shared" si="64"/>
        <v>122892070</v>
      </c>
    </row>
    <row r="104" spans="1:73" ht="15" x14ac:dyDescent="0.2">
      <c r="A104" s="62" t="s">
        <v>102</v>
      </c>
      <c r="B104" s="55" t="s">
        <v>46</v>
      </c>
      <c r="C104" s="55"/>
      <c r="D104" s="55"/>
      <c r="E104" s="55"/>
      <c r="F104" s="55"/>
      <c r="G104" s="48">
        <v>1</v>
      </c>
      <c r="H104" s="55">
        <v>90</v>
      </c>
      <c r="I104" s="55">
        <f>INDEX('FY 22 OFA Shell'!$K$27:$K$195,MATCH(Data!H104,'FY 22 OFA Shell'!$H$27:$H$195,0))</f>
        <v>4230.76</v>
      </c>
      <c r="J104" s="55">
        <f>INDEX('FY 22 OFA Shell'!$N$27:$N$195,MATCH(Data!H104,'FY 22 OFA Shell'!$H$27:$H$195,0))</f>
        <v>5</v>
      </c>
      <c r="K104" s="64">
        <f>INDEX('FY 22 OFA Shell'!$S$27:$S$195,MATCH(Data!H104,'FY 22 OFA Shell'!$H$27:$H$195,0))</f>
        <v>29</v>
      </c>
      <c r="L104" s="150">
        <f t="shared" si="53"/>
        <v>1.1818207603362042E-3</v>
      </c>
      <c r="M104" s="149">
        <f>MAX(((L104-Inputs!$E$23)*Data!I104)*Inputs!$E$24,0)</f>
        <v>0</v>
      </c>
      <c r="N104" s="151">
        <f>INDEX('FY 22 OFA Shell'!$V$27:$V$195,MATCH(Data!H104,'FY 22 OFA Shell'!$H$27:$H$195,0))</f>
        <v>11466893202.33</v>
      </c>
      <c r="O104" s="63">
        <f>INDEX('FY 22 OFA Shell'!$W$27:$W$195,MATCH(Data!H104,'FY 22 OFA Shell'!$H$27:$H$195,0))</f>
        <v>20273</v>
      </c>
      <c r="P104" s="65">
        <f>INDEX('FY 22 OFA Shell'!$Z$27:$Z$195,MATCH(Data!H104,'FY 22 OFA Shell'!$H$27:$H$195,0))</f>
        <v>192428</v>
      </c>
      <c r="Q104" s="63">
        <f>INDEX('FY 22 OFA Shell'!$AF$27:$AF$195,MATCH(Data!H104,'FY 22 OFA Shell'!$H$27:$H$195,0))</f>
        <v>0</v>
      </c>
      <c r="R104" s="66">
        <f>INDEX('FY 22 OFA Shell'!$AG$27:$AG$195,MATCH(Data!H104,'FY 22 OFA Shell'!$H$27:$H$195,0))</f>
        <v>0</v>
      </c>
      <c r="S104" s="66">
        <f>INDEX('FY 22 OFA Shell'!$AJ$27:$AJ$195,MATCH(Data!H104,'FY 22 OFA Shell'!$H$27:$H$195,0))</f>
        <v>0</v>
      </c>
      <c r="T104" s="66">
        <f>INDEX('FY 22 OFA Shell'!$AK$27:$AK$195,MATCH(Data!H104,'FY 22 OFA Shell'!$H$27:$H$195,0))</f>
        <v>0</v>
      </c>
      <c r="U104" s="135">
        <v>339590</v>
      </c>
      <c r="V104" s="67">
        <f>ROUND(J104*Inputs!$E$22, 2)</f>
        <v>1.5</v>
      </c>
      <c r="W104" s="68">
        <f>I104+V104+K104*Inputs!$E$28+Data!M104</f>
        <v>4239.51</v>
      </c>
      <c r="X104" s="69">
        <f t="shared" si="40"/>
        <v>565623.89</v>
      </c>
      <c r="Y104" s="70">
        <f>ROUND(X104/Inputs!$E$32, 6)</f>
        <v>2.937897</v>
      </c>
      <c r="Z104" s="70">
        <f>ROUND(P104/Inputs!$E$33, 6)</f>
        <v>1.596989</v>
      </c>
      <c r="AA104" s="59">
        <f>ROUND(1-((Y104*Inputs!$E$29)+Z104*Inputs!$E$27), 6)</f>
        <v>-1.535625</v>
      </c>
      <c r="AB104" s="59">
        <v>41.628211540342221</v>
      </c>
      <c r="AC104" s="73">
        <f>INDEX('FY 22 OFA Shell'!$G$27:$G$195,MATCH(Data!H104,'FY 22 OFA Shell'!$H$27:$H$195,0))</f>
        <v>168</v>
      </c>
      <c r="AD104" s="73">
        <f t="shared" si="54"/>
        <v>5</v>
      </c>
      <c r="AE104" s="65">
        <v>339590</v>
      </c>
      <c r="AF104" s="65">
        <f t="shared" si="41"/>
        <v>149014</v>
      </c>
      <c r="AG104" s="65">
        <f t="shared" si="42"/>
        <v>149014</v>
      </c>
      <c r="AH104" s="52">
        <v>282276</v>
      </c>
      <c r="AI104" s="107">
        <v>345922.163</v>
      </c>
      <c r="AJ104">
        <v>4</v>
      </c>
      <c r="AK104">
        <v>5089.9517332163232</v>
      </c>
      <c r="AL104" s="165">
        <f>INDEX('FY 22 OFA Shell'!$AU$27:$AU$195,MATCH(Data!H104,'FY 22 OFA Shell'!$H$27:$H$195,0))</f>
        <v>377366</v>
      </c>
      <c r="AM104" s="165">
        <f>Outputs!H109</f>
        <v>488604</v>
      </c>
      <c r="AN104" s="165">
        <f>Outputs!G109+Outputs!D109+Outputs!F109</f>
        <v>488604</v>
      </c>
      <c r="AO104" s="165">
        <v>361345</v>
      </c>
      <c r="AP104" s="165">
        <f t="shared" si="43"/>
        <v>351012.11473321635</v>
      </c>
      <c r="AQ104" s="52" t="str">
        <f t="shared" si="44"/>
        <v>Yes</v>
      </c>
      <c r="AR104" s="308">
        <f>ABS(IF(AQ104="Yes",AF104*Inputs!$D$50,Data!AF104*Inputs!$D$51))</f>
        <v>15884.892400000001</v>
      </c>
      <c r="AS104" s="308">
        <f t="shared" si="55"/>
        <v>393250.89240000001</v>
      </c>
      <c r="AT104" s="308">
        <f t="shared" si="45"/>
        <v>393250.89240000001</v>
      </c>
      <c r="AU104" s="308"/>
      <c r="AV104" s="308">
        <f>ABS(IF($AQ104="Yes",$AF104*Inputs!E$50,Data!$AF104*Inputs!E$51))</f>
        <v>15884.892400000001</v>
      </c>
      <c r="AW104" s="308">
        <f>ABS(IF($AQ104="Yes",$AF104*Inputs!F$50,Data!$AF104*Inputs!F$51))</f>
        <v>15884.892400000001</v>
      </c>
      <c r="AX104" s="308">
        <f>ABS(IF($AQ104="Yes",$AF104*Inputs!G$50,Data!$AF104*Inputs!G$51))</f>
        <v>15884.892400000001</v>
      </c>
      <c r="AY104" s="308">
        <f>ABS(IF($AQ104="Yes",$AF104*Inputs!H$50,Data!$AF104*Inputs!H$51))</f>
        <v>15884.892400000001</v>
      </c>
      <c r="AZ104" s="308">
        <f>ABS(IF($AQ104="Yes",$AF104*Inputs!I$50,Data!$AF104*Inputs!I$51))</f>
        <v>15884.892400000001</v>
      </c>
      <c r="BA104" s="308">
        <f>ABS(IF($AQ104="Yes",$AF104*Inputs!J$50,Data!$AF104*Inputs!J$51))</f>
        <v>15884.892400000001</v>
      </c>
      <c r="BB104" s="308">
        <f>ABS(IF($AQ104="Yes",$AF104*Inputs!K$50,Data!$AF104*Inputs!K$51))</f>
        <v>0</v>
      </c>
      <c r="BC104" s="308">
        <f>ABS(IF($AQ104="Yes",$AF104*Inputs!L$50,Data!$AF104*Inputs!L$51))</f>
        <v>0</v>
      </c>
      <c r="BE104" s="308">
        <f t="shared" si="56"/>
        <v>409135.78480000002</v>
      </c>
      <c r="BF104" s="308">
        <f t="shared" si="57"/>
        <v>425020.67720000003</v>
      </c>
      <c r="BG104" s="308">
        <f t="shared" si="58"/>
        <v>440905.56960000005</v>
      </c>
      <c r="BH104" s="308">
        <f t="shared" si="59"/>
        <v>456790.46200000006</v>
      </c>
      <c r="BI104" s="308">
        <f t="shared" si="60"/>
        <v>472675.35440000007</v>
      </c>
      <c r="BJ104" s="308">
        <f t="shared" si="61"/>
        <v>488604</v>
      </c>
      <c r="BK104" s="308">
        <f t="shared" si="62"/>
        <v>488604</v>
      </c>
      <c r="BL104" s="308">
        <f t="shared" si="63"/>
        <v>488604</v>
      </c>
      <c r="BN104" s="308">
        <f t="shared" si="46"/>
        <v>409135.78480000002</v>
      </c>
      <c r="BO104" s="308">
        <f t="shared" si="47"/>
        <v>425020.67720000003</v>
      </c>
      <c r="BP104" s="308">
        <f t="shared" si="48"/>
        <v>440905.56960000005</v>
      </c>
      <c r="BQ104" s="308">
        <f t="shared" si="49"/>
        <v>456790.46200000006</v>
      </c>
      <c r="BR104" s="308">
        <f t="shared" si="50"/>
        <v>472675.35440000007</v>
      </c>
      <c r="BS104" s="308">
        <f t="shared" si="51"/>
        <v>488604</v>
      </c>
      <c r="BT104" s="308">
        <f t="shared" si="52"/>
        <v>488604</v>
      </c>
      <c r="BU104" s="308">
        <f t="shared" si="64"/>
        <v>488604</v>
      </c>
    </row>
    <row r="105" spans="1:73" ht="15" x14ac:dyDescent="0.2">
      <c r="A105" s="62" t="s">
        <v>103</v>
      </c>
      <c r="B105" s="55" t="s">
        <v>10</v>
      </c>
      <c r="C105" s="55"/>
      <c r="D105" s="55"/>
      <c r="E105" s="55"/>
      <c r="F105" s="55"/>
      <c r="G105" s="48">
        <v>3</v>
      </c>
      <c r="H105" s="55">
        <v>91</v>
      </c>
      <c r="I105" s="55">
        <f>INDEX('FY 22 OFA Shell'!$K$27:$K$195,MATCH(Data!H105,'FY 22 OFA Shell'!$H$27:$H$195,0))</f>
        <v>2053.7800000000002</v>
      </c>
      <c r="J105" s="55">
        <f>INDEX('FY 22 OFA Shell'!$N$27:$N$195,MATCH(Data!H105,'FY 22 OFA Shell'!$H$27:$H$195,0))</f>
        <v>277</v>
      </c>
      <c r="K105" s="64">
        <f>INDEX('FY 22 OFA Shell'!$S$27:$S$195,MATCH(Data!H105,'FY 22 OFA Shell'!$H$27:$H$195,0))</f>
        <v>80</v>
      </c>
      <c r="L105" s="150">
        <f t="shared" si="53"/>
        <v>0.13487325808996092</v>
      </c>
      <c r="M105" s="149">
        <f>MAX(((L105-Inputs!$E$23)*Data!I105)*Inputs!$E$24,0)</f>
        <v>0</v>
      </c>
      <c r="N105" s="151">
        <f>INDEX('FY 22 OFA Shell'!$V$27:$V$195,MATCH(Data!H105,'FY 22 OFA Shell'!$H$27:$H$195,0))</f>
        <v>2500958862</v>
      </c>
      <c r="O105" s="63">
        <f>INDEX('FY 22 OFA Shell'!$W$27:$W$195,MATCH(Data!H105,'FY 22 OFA Shell'!$H$27:$H$195,0))</f>
        <v>13992</v>
      </c>
      <c r="P105" s="65">
        <f>INDEX('FY 22 OFA Shell'!$Z$27:$Z$195,MATCH(Data!H105,'FY 22 OFA Shell'!$H$27:$H$195,0))</f>
        <v>107089</v>
      </c>
      <c r="Q105" s="63">
        <f>INDEX('FY 22 OFA Shell'!$AF$27:$AF$195,MATCH(Data!H105,'FY 22 OFA Shell'!$H$27:$H$195,0))</f>
        <v>0</v>
      </c>
      <c r="R105" s="66">
        <f>INDEX('FY 22 OFA Shell'!$AG$27:$AG$195,MATCH(Data!H105,'FY 22 OFA Shell'!$H$27:$H$195,0))</f>
        <v>0</v>
      </c>
      <c r="S105" s="66">
        <f>INDEX('FY 22 OFA Shell'!$AJ$27:$AJ$195,MATCH(Data!H105,'FY 22 OFA Shell'!$H$27:$H$195,0))</f>
        <v>0</v>
      </c>
      <c r="T105" s="66">
        <f>INDEX('FY 22 OFA Shell'!$AK$27:$AK$195,MATCH(Data!H105,'FY 22 OFA Shell'!$H$27:$H$195,0))</f>
        <v>0</v>
      </c>
      <c r="U105" s="135">
        <v>4338569</v>
      </c>
      <c r="V105" s="67">
        <f>ROUND(J105*Inputs!$E$22, 2)</f>
        <v>83.1</v>
      </c>
      <c r="W105" s="68">
        <f>I105+V105+K105*Inputs!$E$28+Data!M105</f>
        <v>2156.88</v>
      </c>
      <c r="X105" s="69">
        <f t="shared" si="40"/>
        <v>178742.06</v>
      </c>
      <c r="Y105" s="70">
        <f>ROUND(X105/Inputs!$E$32, 6)</f>
        <v>0.92840100000000003</v>
      </c>
      <c r="Z105" s="70">
        <f>ROUND(P105/Inputs!$E$33, 6)</f>
        <v>0.88874799999999998</v>
      </c>
      <c r="AA105" s="59">
        <f>ROUND(1-((Y105*Inputs!$E$29)+Z105*Inputs!$E$27), 6)</f>
        <v>8.3495E-2</v>
      </c>
      <c r="AB105" s="59">
        <v>216.45265051084482</v>
      </c>
      <c r="AC105" s="73">
        <f>INDEX('FY 22 OFA Shell'!$G$27:$G$195,MATCH(Data!H105,'FY 22 OFA Shell'!$H$27:$H$195,0))</f>
        <v>107</v>
      </c>
      <c r="AD105" s="73">
        <f t="shared" si="54"/>
        <v>5</v>
      </c>
      <c r="AE105" s="65">
        <v>4338569</v>
      </c>
      <c r="AF105" s="65">
        <f t="shared" si="41"/>
        <v>-2263047</v>
      </c>
      <c r="AG105" s="65">
        <f t="shared" si="42"/>
        <v>-2263047</v>
      </c>
      <c r="AH105" s="52">
        <v>3776212</v>
      </c>
      <c r="AI105" s="107">
        <v>3841431.25</v>
      </c>
      <c r="AJ105">
        <v>2</v>
      </c>
      <c r="AK105">
        <v>2544.9758666081616</v>
      </c>
      <c r="AL105" s="165">
        <f>INDEX('FY 22 OFA Shell'!$AU$27:$AU$195,MATCH(Data!H105,'FY 22 OFA Shell'!$H$27:$H$195,0))</f>
        <v>3481120</v>
      </c>
      <c r="AM105" s="165">
        <f>Outputs!H110</f>
        <v>2075522</v>
      </c>
      <c r="AN105" s="165">
        <f>Outputs!G110+Outputs!D110+Outputs!F110</f>
        <v>2075522</v>
      </c>
      <c r="AO105" s="165">
        <v>3682458</v>
      </c>
      <c r="AP105" s="165">
        <f t="shared" si="43"/>
        <v>3843976.2258666083</v>
      </c>
      <c r="AQ105" s="52" t="str">
        <f t="shared" si="44"/>
        <v>No</v>
      </c>
      <c r="AR105" s="308">
        <f>ABS(IF(AQ105="Yes",AF105*Inputs!$D$50,Data!AF105*Inputs!$D$51))</f>
        <v>0</v>
      </c>
      <c r="AS105" s="308">
        <f t="shared" si="55"/>
        <v>3481120</v>
      </c>
      <c r="AT105" s="308">
        <f t="shared" si="45"/>
        <v>3481120</v>
      </c>
      <c r="AU105" s="308"/>
      <c r="AV105" s="308">
        <f>ABS(IF($AQ105="Yes",$AF105*Inputs!E$50,Data!$AF105*Inputs!E$51))</f>
        <v>0</v>
      </c>
      <c r="AW105" s="308">
        <f>ABS(IF($AQ105="Yes",$AF105*Inputs!F$50,Data!$AF105*Inputs!F$51))</f>
        <v>188511.81510000001</v>
      </c>
      <c r="AX105" s="308">
        <f>ABS(IF($AQ105="Yes",$AF105*Inputs!G$50,Data!$AF105*Inputs!G$51))</f>
        <v>188511.81510000001</v>
      </c>
      <c r="AY105" s="308">
        <f>ABS(IF($AQ105="Yes",$AF105*Inputs!H$50,Data!$AF105*Inputs!H$51))</f>
        <v>188511.81510000001</v>
      </c>
      <c r="AZ105" s="308">
        <f>ABS(IF($AQ105="Yes",$AF105*Inputs!I$50,Data!$AF105*Inputs!I$51))</f>
        <v>188511.81510000001</v>
      </c>
      <c r="BA105" s="308">
        <f>ABS(IF($AQ105="Yes",$AF105*Inputs!J$50,Data!$AF105*Inputs!J$51))</f>
        <v>188511.81510000001</v>
      </c>
      <c r="BB105" s="308">
        <f>ABS(IF($AQ105="Yes",$AF105*Inputs!K$50,Data!$AF105*Inputs!K$51))</f>
        <v>188511.81510000001</v>
      </c>
      <c r="BC105" s="308">
        <f>ABS(IF($AQ105="Yes",$AF105*Inputs!L$50,Data!$AF105*Inputs!L$51))</f>
        <v>188511.81510000001</v>
      </c>
      <c r="BE105" s="308">
        <f t="shared" si="56"/>
        <v>3481120</v>
      </c>
      <c r="BF105" s="308">
        <f t="shared" si="57"/>
        <v>3292608.1848999998</v>
      </c>
      <c r="BG105" s="308">
        <f t="shared" si="58"/>
        <v>3104096.3697999995</v>
      </c>
      <c r="BH105" s="308">
        <f t="shared" si="59"/>
        <v>2915584.5546999993</v>
      </c>
      <c r="BI105" s="308">
        <f t="shared" si="60"/>
        <v>2727072.739599999</v>
      </c>
      <c r="BJ105" s="308">
        <f t="shared" si="61"/>
        <v>2538560.9244999988</v>
      </c>
      <c r="BK105" s="308">
        <f t="shared" si="62"/>
        <v>2350049.1093999986</v>
      </c>
      <c r="BL105" s="308">
        <f t="shared" si="63"/>
        <v>2075522</v>
      </c>
      <c r="BN105" s="308">
        <f t="shared" si="46"/>
        <v>3481120</v>
      </c>
      <c r="BO105" s="308">
        <f t="shared" si="47"/>
        <v>3292608.1848999998</v>
      </c>
      <c r="BP105" s="308">
        <f t="shared" si="48"/>
        <v>3104096.3697999995</v>
      </c>
      <c r="BQ105" s="308">
        <f t="shared" si="49"/>
        <v>2915584.5546999993</v>
      </c>
      <c r="BR105" s="308">
        <f t="shared" si="50"/>
        <v>2727072.739599999</v>
      </c>
      <c r="BS105" s="308">
        <f t="shared" si="51"/>
        <v>2538560.9244999988</v>
      </c>
      <c r="BT105" s="308">
        <f t="shared" si="52"/>
        <v>2350049.1093999986</v>
      </c>
      <c r="BU105" s="308">
        <f t="shared" si="64"/>
        <v>2075522</v>
      </c>
    </row>
    <row r="106" spans="1:73" ht="15" x14ac:dyDescent="0.2">
      <c r="A106" s="62" t="s">
        <v>104</v>
      </c>
      <c r="B106" s="55" t="s">
        <v>4</v>
      </c>
      <c r="C106" s="55"/>
      <c r="D106" s="55"/>
      <c r="E106" s="55"/>
      <c r="F106" s="55"/>
      <c r="G106" s="48">
        <v>5</v>
      </c>
      <c r="H106" s="55">
        <v>92</v>
      </c>
      <c r="I106" s="55">
        <f>INDEX('FY 22 OFA Shell'!$K$27:$K$195,MATCH(Data!H106,'FY 22 OFA Shell'!$H$27:$H$195,0))</f>
        <v>882.86</v>
      </c>
      <c r="J106" s="55">
        <f>INDEX('FY 22 OFA Shell'!$N$27:$N$195,MATCH(Data!H106,'FY 22 OFA Shell'!$H$27:$H$195,0))</f>
        <v>158</v>
      </c>
      <c r="K106" s="64">
        <f>INDEX('FY 22 OFA Shell'!$S$27:$S$195,MATCH(Data!H106,'FY 22 OFA Shell'!$H$27:$H$195,0))</f>
        <v>7</v>
      </c>
      <c r="L106" s="150">
        <f t="shared" si="53"/>
        <v>0.178963822123553</v>
      </c>
      <c r="M106" s="149">
        <f>MAX(((L106-Inputs!$E$23)*Data!I106)*Inputs!$E$24,0)</f>
        <v>0</v>
      </c>
      <c r="N106" s="151">
        <f>INDEX('FY 22 OFA Shell'!$V$27:$V$195,MATCH(Data!H106,'FY 22 OFA Shell'!$H$27:$H$195,0))</f>
        <v>968060648.66999996</v>
      </c>
      <c r="O106" s="63">
        <f>INDEX('FY 22 OFA Shell'!$W$27:$W$195,MATCH(Data!H106,'FY 22 OFA Shell'!$H$27:$H$195,0))</f>
        <v>6755</v>
      </c>
      <c r="P106" s="65">
        <f>INDEX('FY 22 OFA Shell'!$Z$27:$Z$195,MATCH(Data!H106,'FY 22 OFA Shell'!$H$27:$H$195,0))</f>
        <v>99926</v>
      </c>
      <c r="Q106" s="63">
        <f>INDEX('FY 22 OFA Shell'!$AF$27:$AF$195,MATCH(Data!H106,'FY 22 OFA Shell'!$H$27:$H$195,0))</f>
        <v>450</v>
      </c>
      <c r="R106" s="66">
        <f>INDEX('FY 22 OFA Shell'!$AG$27:$AG$195,MATCH(Data!H106,'FY 22 OFA Shell'!$H$27:$H$195,0))</f>
        <v>6</v>
      </c>
      <c r="S106" s="66">
        <f>INDEX('FY 22 OFA Shell'!$AJ$27:$AJ$195,MATCH(Data!H106,'FY 22 OFA Shell'!$H$27:$H$195,0))</f>
        <v>0</v>
      </c>
      <c r="T106" s="66">
        <f>INDEX('FY 22 OFA Shell'!$AK$27:$AK$195,MATCH(Data!H106,'FY 22 OFA Shell'!$H$27:$H$195,0))</f>
        <v>0</v>
      </c>
      <c r="U106" s="135">
        <v>3113169</v>
      </c>
      <c r="V106" s="67">
        <f>ROUND(J106*Inputs!$E$22, 2)</f>
        <v>47.4</v>
      </c>
      <c r="W106" s="68">
        <f>I106+V106+K106*Inputs!$E$28+Data!M106</f>
        <v>932.01</v>
      </c>
      <c r="X106" s="69">
        <f t="shared" si="40"/>
        <v>143310.24</v>
      </c>
      <c r="Y106" s="70">
        <f>ROUND(X106/Inputs!$E$32, 6)</f>
        <v>0.74436500000000005</v>
      </c>
      <c r="Z106" s="70">
        <f>ROUND(P106/Inputs!$E$33, 6)</f>
        <v>0.82930099999999995</v>
      </c>
      <c r="AA106" s="59">
        <f>ROUND(1-((Y106*Inputs!$E$29)+Z106*Inputs!$E$27), 6)</f>
        <v>0.230154</v>
      </c>
      <c r="AB106" s="59">
        <v>227.20606452492771</v>
      </c>
      <c r="AC106" s="73">
        <f>INDEX('FY 22 OFA Shell'!$G$27:$G$195,MATCH(Data!H106,'FY 22 OFA Shell'!$H$27:$H$195,0))</f>
        <v>111</v>
      </c>
      <c r="AD106" s="73">
        <f t="shared" si="54"/>
        <v>5</v>
      </c>
      <c r="AE106" s="65">
        <v>3113169</v>
      </c>
      <c r="AF106" s="65">
        <f t="shared" si="41"/>
        <v>-370989</v>
      </c>
      <c r="AG106" s="65">
        <f t="shared" si="42"/>
        <v>-370989</v>
      </c>
      <c r="AH106" s="52">
        <v>2710014</v>
      </c>
      <c r="AI106" s="107">
        <v>3014801.25</v>
      </c>
      <c r="AJ106"/>
      <c r="AK106">
        <v>0</v>
      </c>
      <c r="AL106" s="165">
        <f>INDEX('FY 22 OFA Shell'!$AU$27:$AU$195,MATCH(Data!H106,'FY 22 OFA Shell'!$H$27:$H$195,0))</f>
        <v>2913010</v>
      </c>
      <c r="AM106" s="165">
        <f>Outputs!H111</f>
        <v>2742180</v>
      </c>
      <c r="AN106" s="165">
        <f>Outputs!G111+Outputs!D111+Outputs!F111</f>
        <v>2742180</v>
      </c>
      <c r="AO106" s="165">
        <v>2966654</v>
      </c>
      <c r="AP106" s="165">
        <f t="shared" si="43"/>
        <v>3014801.25</v>
      </c>
      <c r="AQ106" s="52" t="str">
        <f t="shared" si="44"/>
        <v>No</v>
      </c>
      <c r="AR106" s="308">
        <f>ABS(IF(AQ106="Yes",AF106*Inputs!$D$50,Data!AF106*Inputs!$D$51))</f>
        <v>0</v>
      </c>
      <c r="AS106" s="308">
        <f t="shared" si="55"/>
        <v>2913010</v>
      </c>
      <c r="AT106" s="308">
        <f t="shared" si="45"/>
        <v>2913010</v>
      </c>
      <c r="AU106" s="308"/>
      <c r="AV106" s="308">
        <f>ABS(IF($AQ106="Yes",$AF106*Inputs!E$50,Data!$AF106*Inputs!E$51))</f>
        <v>0</v>
      </c>
      <c r="AW106" s="308">
        <f>ABS(IF($AQ106="Yes",$AF106*Inputs!F$50,Data!$AF106*Inputs!F$51))</f>
        <v>30903.383699999998</v>
      </c>
      <c r="AX106" s="308">
        <f>ABS(IF($AQ106="Yes",$AF106*Inputs!G$50,Data!$AF106*Inputs!G$51))</f>
        <v>30903.383699999998</v>
      </c>
      <c r="AY106" s="308">
        <f>ABS(IF($AQ106="Yes",$AF106*Inputs!H$50,Data!$AF106*Inputs!H$51))</f>
        <v>30903.383699999998</v>
      </c>
      <c r="AZ106" s="308">
        <f>ABS(IF($AQ106="Yes",$AF106*Inputs!I$50,Data!$AF106*Inputs!I$51))</f>
        <v>30903.383699999998</v>
      </c>
      <c r="BA106" s="308">
        <f>ABS(IF($AQ106="Yes",$AF106*Inputs!J$50,Data!$AF106*Inputs!J$51))</f>
        <v>30903.383699999998</v>
      </c>
      <c r="BB106" s="308">
        <f>ABS(IF($AQ106="Yes",$AF106*Inputs!K$50,Data!$AF106*Inputs!K$51))</f>
        <v>30903.383699999998</v>
      </c>
      <c r="BC106" s="308">
        <f>ABS(IF($AQ106="Yes",$AF106*Inputs!L$50,Data!$AF106*Inputs!L$51))</f>
        <v>30903.383699999998</v>
      </c>
      <c r="BE106" s="308">
        <f t="shared" si="56"/>
        <v>2913010</v>
      </c>
      <c r="BF106" s="308">
        <f t="shared" si="57"/>
        <v>2882106.6162999999</v>
      </c>
      <c r="BG106" s="308">
        <f t="shared" si="58"/>
        <v>2851203.2325999998</v>
      </c>
      <c r="BH106" s="308">
        <f t="shared" si="59"/>
        <v>2820299.8488999996</v>
      </c>
      <c r="BI106" s="308">
        <f t="shared" si="60"/>
        <v>2789396.4651999995</v>
      </c>
      <c r="BJ106" s="308">
        <f t="shared" si="61"/>
        <v>2758493.0814999994</v>
      </c>
      <c r="BK106" s="308">
        <f t="shared" si="62"/>
        <v>2727589.6977999993</v>
      </c>
      <c r="BL106" s="308">
        <f t="shared" si="63"/>
        <v>2742180</v>
      </c>
      <c r="BN106" s="308">
        <f t="shared" si="46"/>
        <v>2913010</v>
      </c>
      <c r="BO106" s="308">
        <f t="shared" si="47"/>
        <v>2882106.6162999999</v>
      </c>
      <c r="BP106" s="308">
        <f t="shared" si="48"/>
        <v>2851203.2325999998</v>
      </c>
      <c r="BQ106" s="308">
        <f t="shared" si="49"/>
        <v>2820299.8488999996</v>
      </c>
      <c r="BR106" s="308">
        <f t="shared" si="50"/>
        <v>2789396.4651999995</v>
      </c>
      <c r="BS106" s="308">
        <f t="shared" si="51"/>
        <v>2758493.0814999994</v>
      </c>
      <c r="BT106" s="308">
        <f t="shared" si="52"/>
        <v>2727589.6977999993</v>
      </c>
      <c r="BU106" s="308">
        <f t="shared" si="64"/>
        <v>2742180</v>
      </c>
    </row>
    <row r="107" spans="1:73" ht="15" x14ac:dyDescent="0.2">
      <c r="A107" s="62" t="s">
        <v>105</v>
      </c>
      <c r="B107" s="55" t="s">
        <v>24</v>
      </c>
      <c r="C107" s="55">
        <v>1</v>
      </c>
      <c r="D107" s="55">
        <v>1</v>
      </c>
      <c r="E107" s="55">
        <v>0</v>
      </c>
      <c r="F107" s="55">
        <v>1</v>
      </c>
      <c r="G107" s="48">
        <v>10</v>
      </c>
      <c r="H107" s="55">
        <v>93</v>
      </c>
      <c r="I107" s="55">
        <f>INDEX('FY 22 OFA Shell'!$K$27:$K$195,MATCH(Data!H107,'FY 22 OFA Shell'!$H$27:$H$195,0))</f>
        <v>18017.75</v>
      </c>
      <c r="J107" s="55">
        <f>INDEX('FY 22 OFA Shell'!$N$27:$N$195,MATCH(Data!H107,'FY 22 OFA Shell'!$H$27:$H$195,0))</f>
        <v>13306</v>
      </c>
      <c r="K107" s="64">
        <f>INDEX('FY 22 OFA Shell'!$S$27:$S$195,MATCH(Data!H107,'FY 22 OFA Shell'!$H$27:$H$195,0))</f>
        <v>3469</v>
      </c>
      <c r="L107" s="150">
        <f t="shared" si="53"/>
        <v>0.73849398509802833</v>
      </c>
      <c r="M107" s="149">
        <f>MAX(((L107-Inputs!$E$23)*Data!I107)*Inputs!$E$24,0)</f>
        <v>374.30250000000007</v>
      </c>
      <c r="N107" s="151">
        <f>INDEX('FY 22 OFA Shell'!$V$27:$V$195,MATCH(Data!H107,'FY 22 OFA Shell'!$H$27:$H$195,0))</f>
        <v>10367105845</v>
      </c>
      <c r="O107" s="63">
        <f>INDEX('FY 22 OFA Shell'!$W$27:$W$195,MATCH(Data!H107,'FY 22 OFA Shell'!$H$27:$H$195,0))</f>
        <v>130529</v>
      </c>
      <c r="P107" s="65">
        <f>INDEX('FY 22 OFA Shell'!$Z$27:$Z$195,MATCH(Data!H107,'FY 22 OFA Shell'!$H$27:$H$195,0))</f>
        <v>41142</v>
      </c>
      <c r="Q107" s="63">
        <f>INDEX('FY 22 OFA Shell'!$AF$27:$AF$195,MATCH(Data!H107,'FY 22 OFA Shell'!$H$27:$H$195,0))</f>
        <v>0</v>
      </c>
      <c r="R107" s="66">
        <f>INDEX('FY 22 OFA Shell'!$AG$27:$AG$195,MATCH(Data!H107,'FY 22 OFA Shell'!$H$27:$H$195,0))</f>
        <v>0</v>
      </c>
      <c r="S107" s="66">
        <f>INDEX('FY 22 OFA Shell'!$AJ$27:$AJ$195,MATCH(Data!H107,'FY 22 OFA Shell'!$H$27:$H$195,0))</f>
        <v>0</v>
      </c>
      <c r="T107" s="66">
        <f>INDEX('FY 22 OFA Shell'!$AK$27:$AK$195,MATCH(Data!H107,'FY 22 OFA Shell'!$H$27:$H$195,0))</f>
        <v>0</v>
      </c>
      <c r="U107" s="135">
        <v>154301977</v>
      </c>
      <c r="V107" s="67">
        <f>ROUND(J107*Inputs!$E$22, 2)</f>
        <v>3991.8</v>
      </c>
      <c r="W107" s="68">
        <f>I107+V107+K107*Inputs!$E$28+Data!M107</f>
        <v>23251.102500000001</v>
      </c>
      <c r="X107" s="69">
        <f t="shared" si="40"/>
        <v>79423.77</v>
      </c>
      <c r="Y107" s="70">
        <f>ROUND(X107/Inputs!$E$32, 6)</f>
        <v>0.41253400000000001</v>
      </c>
      <c r="Z107" s="70">
        <f>ROUND(P107/Inputs!$E$33, 6)</f>
        <v>0.34144400000000003</v>
      </c>
      <c r="AA107" s="59">
        <f>ROUND(1-((Y107*Inputs!$E$29)+Z107*Inputs!$E$27), 6)</f>
        <v>0.60879300000000003</v>
      </c>
      <c r="AB107" s="59">
        <v>389.18601706925409</v>
      </c>
      <c r="AC107" s="73">
        <f>INDEX('FY 22 OFA Shell'!$G$27:$G$195,MATCH(Data!H107,'FY 22 OFA Shell'!$H$27:$H$195,0))</f>
        <v>6</v>
      </c>
      <c r="AD107" s="73">
        <f t="shared" si="54"/>
        <v>2</v>
      </c>
      <c r="AE107" s="65">
        <v>154301977</v>
      </c>
      <c r="AF107" s="65">
        <f t="shared" si="41"/>
        <v>22234096</v>
      </c>
      <c r="AG107" s="65">
        <f t="shared" si="42"/>
        <v>22234096</v>
      </c>
      <c r="AH107" s="52">
        <v>154051977</v>
      </c>
      <c r="AI107" s="107">
        <v>155146662.69</v>
      </c>
      <c r="AJ107">
        <v>211</v>
      </c>
      <c r="AK107">
        <v>268494.95392716106</v>
      </c>
      <c r="AL107" s="165">
        <f>INDEX('FY 22 OFA Shell'!$AU$27:$AU$195,MATCH(Data!H107,'FY 22 OFA Shell'!$H$27:$H$195,0))</f>
        <v>160469961</v>
      </c>
      <c r="AM107" s="165">
        <f>Outputs!H112</f>
        <v>176536073</v>
      </c>
      <c r="AN107" s="165">
        <f>Outputs!G112+Outputs!D112+Outputs!F112</f>
        <v>176536073</v>
      </c>
      <c r="AO107" s="165">
        <v>158100479</v>
      </c>
      <c r="AP107" s="165">
        <f t="shared" si="43"/>
        <v>155415157.64392716</v>
      </c>
      <c r="AQ107" s="52" t="str">
        <f t="shared" si="44"/>
        <v>Yes</v>
      </c>
      <c r="AR107" s="308">
        <f>ABS(IF(AQ107="Yes",AF107*Inputs!$D$50,Data!AF107*Inputs!$D$51))</f>
        <v>2370154.6335999998</v>
      </c>
      <c r="AS107" s="308">
        <f t="shared" si="55"/>
        <v>162840115.6336</v>
      </c>
      <c r="AT107" s="308">
        <f t="shared" si="45"/>
        <v>162840115.6336</v>
      </c>
      <c r="AU107" s="308"/>
      <c r="AV107" s="308">
        <f>ABS(IF($AQ107="Yes",$AF107*Inputs!E$50,Data!$AF107*Inputs!E$51))</f>
        <v>2370154.6335999998</v>
      </c>
      <c r="AW107" s="308">
        <f>ABS(IF($AQ107="Yes",$AF107*Inputs!F$50,Data!$AF107*Inputs!F$51))</f>
        <v>2370154.6335999998</v>
      </c>
      <c r="AX107" s="308">
        <f>ABS(IF($AQ107="Yes",$AF107*Inputs!G$50,Data!$AF107*Inputs!G$51))</f>
        <v>2370154.6335999998</v>
      </c>
      <c r="AY107" s="308">
        <f>ABS(IF($AQ107="Yes",$AF107*Inputs!H$50,Data!$AF107*Inputs!H$51))</f>
        <v>2370154.6335999998</v>
      </c>
      <c r="AZ107" s="308">
        <f>ABS(IF($AQ107="Yes",$AF107*Inputs!I$50,Data!$AF107*Inputs!I$51))</f>
        <v>2370154.6335999998</v>
      </c>
      <c r="BA107" s="308">
        <f>ABS(IF($AQ107="Yes",$AF107*Inputs!J$50,Data!$AF107*Inputs!J$51))</f>
        <v>2370154.6335999998</v>
      </c>
      <c r="BB107" s="308">
        <f>ABS(IF($AQ107="Yes",$AF107*Inputs!K$50,Data!$AF107*Inputs!K$51))</f>
        <v>0</v>
      </c>
      <c r="BC107" s="308">
        <f>ABS(IF($AQ107="Yes",$AF107*Inputs!L$50,Data!$AF107*Inputs!L$51))</f>
        <v>0</v>
      </c>
      <c r="BE107" s="308">
        <f t="shared" si="56"/>
        <v>165210270.26719999</v>
      </c>
      <c r="BF107" s="308">
        <f t="shared" si="57"/>
        <v>167580424.90079999</v>
      </c>
      <c r="BG107" s="308">
        <f t="shared" si="58"/>
        <v>169950579.53439999</v>
      </c>
      <c r="BH107" s="308">
        <f t="shared" si="59"/>
        <v>172320734.16799998</v>
      </c>
      <c r="BI107" s="308">
        <f t="shared" si="60"/>
        <v>174690888.80159998</v>
      </c>
      <c r="BJ107" s="308">
        <f t="shared" si="61"/>
        <v>176536073</v>
      </c>
      <c r="BK107" s="308">
        <f t="shared" si="62"/>
        <v>176536073</v>
      </c>
      <c r="BL107" s="308">
        <f t="shared" si="63"/>
        <v>176536073</v>
      </c>
      <c r="BN107" s="308">
        <f t="shared" si="46"/>
        <v>165210270.26719999</v>
      </c>
      <c r="BO107" s="308">
        <f t="shared" si="47"/>
        <v>167580424.90079999</v>
      </c>
      <c r="BP107" s="308">
        <f t="shared" si="48"/>
        <v>169950579.53439999</v>
      </c>
      <c r="BQ107" s="308">
        <f t="shared" si="49"/>
        <v>172320734.16799998</v>
      </c>
      <c r="BR107" s="308">
        <f t="shared" si="50"/>
        <v>174690888.80159998</v>
      </c>
      <c r="BS107" s="308">
        <f t="shared" si="51"/>
        <v>176536073</v>
      </c>
      <c r="BT107" s="308">
        <f t="shared" si="52"/>
        <v>176536073</v>
      </c>
      <c r="BU107" s="308">
        <f t="shared" si="64"/>
        <v>176536073</v>
      </c>
    </row>
    <row r="108" spans="1:73" ht="15" x14ac:dyDescent="0.2">
      <c r="A108" s="62" t="s">
        <v>106</v>
      </c>
      <c r="B108" s="55" t="s">
        <v>14</v>
      </c>
      <c r="C108" s="55"/>
      <c r="D108" s="55"/>
      <c r="E108" s="55"/>
      <c r="F108" s="55"/>
      <c r="G108" s="48">
        <v>7</v>
      </c>
      <c r="H108" s="55">
        <v>94</v>
      </c>
      <c r="I108" s="55">
        <f>INDEX('FY 22 OFA Shell'!$K$27:$K$195,MATCH(Data!H108,'FY 22 OFA Shell'!$H$27:$H$195,0))</f>
        <v>4044.15</v>
      </c>
      <c r="J108" s="55">
        <f>INDEX('FY 22 OFA Shell'!$N$27:$N$195,MATCH(Data!H108,'FY 22 OFA Shell'!$H$27:$H$195,0))</f>
        <v>1303</v>
      </c>
      <c r="K108" s="64">
        <f>INDEX('FY 22 OFA Shell'!$S$27:$S$195,MATCH(Data!H108,'FY 22 OFA Shell'!$H$27:$H$195,0))</f>
        <v>267</v>
      </c>
      <c r="L108" s="150">
        <f t="shared" si="53"/>
        <v>0.32219378608607496</v>
      </c>
      <c r="M108" s="149">
        <f>MAX(((L108-Inputs!$E$23)*Data!I108)*Inputs!$E$24,0)</f>
        <v>0</v>
      </c>
      <c r="N108" s="151">
        <f>INDEX('FY 22 OFA Shell'!$V$27:$V$195,MATCH(Data!H108,'FY 22 OFA Shell'!$H$27:$H$195,0))</f>
        <v>4044186639.3299999</v>
      </c>
      <c r="O108" s="63">
        <f>INDEX('FY 22 OFA Shell'!$W$27:$W$195,MATCH(Data!H108,'FY 22 OFA Shell'!$H$27:$H$195,0))</f>
        <v>30323</v>
      </c>
      <c r="P108" s="65">
        <f>INDEX('FY 22 OFA Shell'!$Z$27:$Z$195,MATCH(Data!H108,'FY 22 OFA Shell'!$H$27:$H$195,0))</f>
        <v>80310</v>
      </c>
      <c r="Q108" s="63">
        <f>INDEX('FY 22 OFA Shell'!$AF$27:$AF$195,MATCH(Data!H108,'FY 22 OFA Shell'!$H$27:$H$195,0))</f>
        <v>0</v>
      </c>
      <c r="R108" s="66">
        <f>INDEX('FY 22 OFA Shell'!$AG$27:$AG$195,MATCH(Data!H108,'FY 22 OFA Shell'!$H$27:$H$195,0))</f>
        <v>0</v>
      </c>
      <c r="S108" s="66">
        <f>INDEX('FY 22 OFA Shell'!$AJ$27:$AJ$195,MATCH(Data!H108,'FY 22 OFA Shell'!$H$27:$H$195,0))</f>
        <v>0</v>
      </c>
      <c r="T108" s="66">
        <f>INDEX('FY 22 OFA Shell'!$AK$27:$AK$195,MATCH(Data!H108,'FY 22 OFA Shell'!$H$27:$H$195,0))</f>
        <v>0</v>
      </c>
      <c r="U108" s="135">
        <v>12983806</v>
      </c>
      <c r="V108" s="67">
        <f>ROUND(J108*Inputs!$E$22, 2)</f>
        <v>390.9</v>
      </c>
      <c r="W108" s="68">
        <f>I108+V108+K108*Inputs!$E$28+Data!M108</f>
        <v>4501.8</v>
      </c>
      <c r="X108" s="69">
        <f t="shared" si="40"/>
        <v>133370.26999999999</v>
      </c>
      <c r="Y108" s="70">
        <f>ROUND(X108/Inputs!$E$32, 6)</f>
        <v>0.69273600000000002</v>
      </c>
      <c r="Z108" s="70">
        <f>ROUND(P108/Inputs!$E$33, 6)</f>
        <v>0.66650500000000001</v>
      </c>
      <c r="AA108" s="59">
        <f>ROUND(1-((Y108*Inputs!$E$29)+Z108*Inputs!$E$27), 6)</f>
        <v>0.315133</v>
      </c>
      <c r="AB108" s="59">
        <v>249.09415480069222</v>
      </c>
      <c r="AC108" s="73">
        <f>INDEX('FY 22 OFA Shell'!$G$27:$G$195,MATCH(Data!H108,'FY 22 OFA Shell'!$H$27:$H$195,0))</f>
        <v>50</v>
      </c>
      <c r="AD108" s="73">
        <f t="shared" si="54"/>
        <v>5</v>
      </c>
      <c r="AE108" s="65">
        <v>12983806</v>
      </c>
      <c r="AF108" s="65">
        <f t="shared" si="41"/>
        <v>3366317</v>
      </c>
      <c r="AG108" s="65">
        <f t="shared" si="42"/>
        <v>3366317</v>
      </c>
      <c r="AH108" s="52">
        <v>11225932</v>
      </c>
      <c r="AI108" s="107">
        <v>13092669.569</v>
      </c>
      <c r="AJ108">
        <v>4</v>
      </c>
      <c r="AK108">
        <v>5089.9517332163232</v>
      </c>
      <c r="AL108" s="165">
        <f>INDEX('FY 22 OFA Shell'!$AU$27:$AU$195,MATCH(Data!H108,'FY 22 OFA Shell'!$H$27:$H$195,0))</f>
        <v>13772951</v>
      </c>
      <c r="AM108" s="165">
        <f>Outputs!H113</f>
        <v>16350123</v>
      </c>
      <c r="AN108" s="165">
        <f>Outputs!G113+Outputs!D113+Outputs!F113</f>
        <v>16350123</v>
      </c>
      <c r="AO108" s="165">
        <v>13434233</v>
      </c>
      <c r="AP108" s="165">
        <f t="shared" si="43"/>
        <v>13097759.520733217</v>
      </c>
      <c r="AQ108" s="52" t="str">
        <f t="shared" si="44"/>
        <v>Yes</v>
      </c>
      <c r="AR108" s="308">
        <f>ABS(IF(AQ108="Yes",AF108*Inputs!$D$50,Data!AF108*Inputs!$D$51))</f>
        <v>358849.3922</v>
      </c>
      <c r="AS108" s="308">
        <f t="shared" si="55"/>
        <v>14131800.392200001</v>
      </c>
      <c r="AT108" s="308">
        <f t="shared" si="45"/>
        <v>14131800.392200001</v>
      </c>
      <c r="AU108" s="308"/>
      <c r="AV108" s="308">
        <f>ABS(IF($AQ108="Yes",$AF108*Inputs!E$50,Data!$AF108*Inputs!E$51))</f>
        <v>358849.3922</v>
      </c>
      <c r="AW108" s="308">
        <f>ABS(IF($AQ108="Yes",$AF108*Inputs!F$50,Data!$AF108*Inputs!F$51))</f>
        <v>358849.3922</v>
      </c>
      <c r="AX108" s="308">
        <f>ABS(IF($AQ108="Yes",$AF108*Inputs!G$50,Data!$AF108*Inputs!G$51))</f>
        <v>358849.3922</v>
      </c>
      <c r="AY108" s="308">
        <f>ABS(IF($AQ108="Yes",$AF108*Inputs!H$50,Data!$AF108*Inputs!H$51))</f>
        <v>358849.3922</v>
      </c>
      <c r="AZ108" s="308">
        <f>ABS(IF($AQ108="Yes",$AF108*Inputs!I$50,Data!$AF108*Inputs!I$51))</f>
        <v>358849.3922</v>
      </c>
      <c r="BA108" s="308">
        <f>ABS(IF($AQ108="Yes",$AF108*Inputs!J$50,Data!$AF108*Inputs!J$51))</f>
        <v>358849.3922</v>
      </c>
      <c r="BB108" s="308">
        <f>ABS(IF($AQ108="Yes",$AF108*Inputs!K$50,Data!$AF108*Inputs!K$51))</f>
        <v>0</v>
      </c>
      <c r="BC108" s="308">
        <f>ABS(IF($AQ108="Yes",$AF108*Inputs!L$50,Data!$AF108*Inputs!L$51))</f>
        <v>0</v>
      </c>
      <c r="BE108" s="308">
        <f t="shared" si="56"/>
        <v>14490649.784400001</v>
      </c>
      <c r="BF108" s="308">
        <f t="shared" si="57"/>
        <v>14849499.176600002</v>
      </c>
      <c r="BG108" s="308">
        <f t="shared" si="58"/>
        <v>15208348.568800002</v>
      </c>
      <c r="BH108" s="308">
        <f t="shared" si="59"/>
        <v>15567197.961000003</v>
      </c>
      <c r="BI108" s="308">
        <f t="shared" si="60"/>
        <v>15926047.353200004</v>
      </c>
      <c r="BJ108" s="308">
        <f t="shared" si="61"/>
        <v>16350123</v>
      </c>
      <c r="BK108" s="308">
        <f t="shared" si="62"/>
        <v>16350123</v>
      </c>
      <c r="BL108" s="308">
        <f t="shared" si="63"/>
        <v>16350123</v>
      </c>
      <c r="BN108" s="308">
        <f t="shared" si="46"/>
        <v>14490649.784400001</v>
      </c>
      <c r="BO108" s="308">
        <f t="shared" si="47"/>
        <v>14849499.176600002</v>
      </c>
      <c r="BP108" s="308">
        <f t="shared" si="48"/>
        <v>15208348.568800002</v>
      </c>
      <c r="BQ108" s="308">
        <f t="shared" si="49"/>
        <v>15567197.961000003</v>
      </c>
      <c r="BR108" s="308">
        <f t="shared" si="50"/>
        <v>15926047.353200004</v>
      </c>
      <c r="BS108" s="308">
        <f t="shared" si="51"/>
        <v>16350123</v>
      </c>
      <c r="BT108" s="308">
        <f t="shared" si="52"/>
        <v>16350123</v>
      </c>
      <c r="BU108" s="308">
        <f t="shared" si="64"/>
        <v>16350123</v>
      </c>
    </row>
    <row r="109" spans="1:73" ht="15" x14ac:dyDescent="0.2">
      <c r="A109" s="62" t="s">
        <v>107</v>
      </c>
      <c r="B109" s="55" t="s">
        <v>24</v>
      </c>
      <c r="C109" s="55">
        <v>1</v>
      </c>
      <c r="D109" s="55">
        <v>1</v>
      </c>
      <c r="E109" s="55">
        <v>0</v>
      </c>
      <c r="F109" s="55">
        <v>1</v>
      </c>
      <c r="G109" s="48">
        <v>10</v>
      </c>
      <c r="H109" s="55">
        <v>95</v>
      </c>
      <c r="I109" s="55">
        <f>INDEX('FY 22 OFA Shell'!$K$27:$K$195,MATCH(Data!H109,'FY 22 OFA Shell'!$H$27:$H$195,0))</f>
        <v>3324.92</v>
      </c>
      <c r="J109" s="55">
        <f>INDEX('FY 22 OFA Shell'!$N$27:$N$195,MATCH(Data!H109,'FY 22 OFA Shell'!$H$27:$H$195,0))</f>
        <v>2810</v>
      </c>
      <c r="K109" s="64">
        <f>INDEX('FY 22 OFA Shell'!$S$27:$S$195,MATCH(Data!H109,'FY 22 OFA Shell'!$H$27:$H$195,0))</f>
        <v>842</v>
      </c>
      <c r="L109" s="150">
        <f t="shared" si="53"/>
        <v>0.8451331159847455</v>
      </c>
      <c r="M109" s="149">
        <f>MAX(((L109-Inputs!$E$23)*Data!I109)*Inputs!$E$24,0)</f>
        <v>122.25720000000001</v>
      </c>
      <c r="N109" s="151">
        <f>INDEX('FY 22 OFA Shell'!$V$27:$V$195,MATCH(Data!H109,'FY 22 OFA Shell'!$H$27:$H$195,0))</f>
        <v>1978320860.3299999</v>
      </c>
      <c r="O109" s="63">
        <f>INDEX('FY 22 OFA Shell'!$W$27:$W$195,MATCH(Data!H109,'FY 22 OFA Shell'!$H$27:$H$195,0))</f>
        <v>27032</v>
      </c>
      <c r="P109" s="65">
        <f>INDEX('FY 22 OFA Shell'!$Z$27:$Z$195,MATCH(Data!H109,'FY 22 OFA Shell'!$H$27:$H$195,0))</f>
        <v>39675</v>
      </c>
      <c r="Q109" s="63">
        <f>INDEX('FY 22 OFA Shell'!$AF$27:$AF$195,MATCH(Data!H109,'FY 22 OFA Shell'!$H$27:$H$195,0))</f>
        <v>0</v>
      </c>
      <c r="R109" s="66">
        <f>INDEX('FY 22 OFA Shell'!$AG$27:$AG$195,MATCH(Data!H109,'FY 22 OFA Shell'!$H$27:$H$195,0))</f>
        <v>0</v>
      </c>
      <c r="S109" s="66">
        <f>INDEX('FY 22 OFA Shell'!$AJ$27:$AJ$195,MATCH(Data!H109,'FY 22 OFA Shell'!$H$27:$H$195,0))</f>
        <v>0</v>
      </c>
      <c r="T109" s="66">
        <f>INDEX('FY 22 OFA Shell'!$AK$27:$AK$195,MATCH(Data!H109,'FY 22 OFA Shell'!$H$27:$H$195,0))</f>
        <v>0</v>
      </c>
      <c r="U109" s="135">
        <v>25806077</v>
      </c>
      <c r="V109" s="67">
        <f>ROUND(J109*Inputs!$E$22, 2)</f>
        <v>843</v>
      </c>
      <c r="W109" s="68">
        <f>I109+V109+K109*Inputs!$E$28+Data!M109</f>
        <v>4500.6772000000001</v>
      </c>
      <c r="X109" s="69">
        <f t="shared" si="40"/>
        <v>73184.41</v>
      </c>
      <c r="Y109" s="70">
        <f>ROUND(X109/Inputs!$E$32, 6)</f>
        <v>0.38012600000000002</v>
      </c>
      <c r="Z109" s="70">
        <f>ROUND(P109/Inputs!$E$33, 6)</f>
        <v>0.32926899999999998</v>
      </c>
      <c r="AA109" s="59">
        <f>ROUND(1-((Y109*Inputs!$E$29)+Z109*Inputs!$E$27), 6)</f>
        <v>0.635131</v>
      </c>
      <c r="AB109" s="59">
        <v>360.60655129961924</v>
      </c>
      <c r="AC109" s="73">
        <f>INDEX('FY 22 OFA Shell'!$G$27:$G$195,MATCH(Data!H109,'FY 22 OFA Shell'!$H$27:$H$195,0))</f>
        <v>4</v>
      </c>
      <c r="AD109" s="73">
        <f t="shared" si="54"/>
        <v>1</v>
      </c>
      <c r="AE109" s="65">
        <v>25806077</v>
      </c>
      <c r="AF109" s="65">
        <f t="shared" si="41"/>
        <v>10250580</v>
      </c>
      <c r="AG109" s="65">
        <f t="shared" si="42"/>
        <v>10250580</v>
      </c>
      <c r="AH109" s="52">
        <v>25619983</v>
      </c>
      <c r="AI109" s="107">
        <v>26298574.289000001</v>
      </c>
      <c r="AJ109">
        <v>64</v>
      </c>
      <c r="AK109">
        <v>81439.227731461171</v>
      </c>
      <c r="AL109" s="165">
        <f>INDEX('FY 22 OFA Shell'!$AU$27:$AU$195,MATCH(Data!H109,'FY 22 OFA Shell'!$H$27:$H$195,0))</f>
        <v>28628974</v>
      </c>
      <c r="AM109" s="165">
        <f>Outputs!H114</f>
        <v>36056657</v>
      </c>
      <c r="AN109" s="165">
        <f>Outputs!G114+Outputs!D114+Outputs!F114</f>
        <v>36056657</v>
      </c>
      <c r="AO109" s="165">
        <v>27533840</v>
      </c>
      <c r="AP109" s="165">
        <f t="shared" si="43"/>
        <v>26380013.516731463</v>
      </c>
      <c r="AQ109" s="52" t="str">
        <f t="shared" si="44"/>
        <v>Yes</v>
      </c>
      <c r="AR109" s="308">
        <f>ABS(IF(AQ109="Yes",AF109*Inputs!$D$50,Data!AF109*Inputs!$D$51))</f>
        <v>1092711.828</v>
      </c>
      <c r="AS109" s="308">
        <f t="shared" si="55"/>
        <v>29721685.828000002</v>
      </c>
      <c r="AT109" s="308">
        <f t="shared" si="45"/>
        <v>29721685.828000002</v>
      </c>
      <c r="AU109" s="308"/>
      <c r="AV109" s="308">
        <f>ABS(IF($AQ109="Yes",$AF109*Inputs!E$50,Data!$AF109*Inputs!E$51))</f>
        <v>1092711.828</v>
      </c>
      <c r="AW109" s="308">
        <f>ABS(IF($AQ109="Yes",$AF109*Inputs!F$50,Data!$AF109*Inputs!F$51))</f>
        <v>1092711.828</v>
      </c>
      <c r="AX109" s="308">
        <f>ABS(IF($AQ109="Yes",$AF109*Inputs!G$50,Data!$AF109*Inputs!G$51))</f>
        <v>1092711.828</v>
      </c>
      <c r="AY109" s="308">
        <f>ABS(IF($AQ109="Yes",$AF109*Inputs!H$50,Data!$AF109*Inputs!H$51))</f>
        <v>1092711.828</v>
      </c>
      <c r="AZ109" s="308">
        <f>ABS(IF($AQ109="Yes",$AF109*Inputs!I$50,Data!$AF109*Inputs!I$51))</f>
        <v>1092711.828</v>
      </c>
      <c r="BA109" s="308">
        <f>ABS(IF($AQ109="Yes",$AF109*Inputs!J$50,Data!$AF109*Inputs!J$51))</f>
        <v>1092711.828</v>
      </c>
      <c r="BB109" s="308">
        <f>ABS(IF($AQ109="Yes",$AF109*Inputs!K$50,Data!$AF109*Inputs!K$51))</f>
        <v>0</v>
      </c>
      <c r="BC109" s="308">
        <f>ABS(IF($AQ109="Yes",$AF109*Inputs!L$50,Data!$AF109*Inputs!L$51))</f>
        <v>0</v>
      </c>
      <c r="BE109" s="308">
        <f t="shared" si="56"/>
        <v>30814397.656000003</v>
      </c>
      <c r="BF109" s="308">
        <f t="shared" si="57"/>
        <v>31907109.484000005</v>
      </c>
      <c r="BG109" s="308">
        <f t="shared" si="58"/>
        <v>32999821.312000006</v>
      </c>
      <c r="BH109" s="308">
        <f t="shared" si="59"/>
        <v>34092533.140000008</v>
      </c>
      <c r="BI109" s="308">
        <f t="shared" si="60"/>
        <v>35185244.96800001</v>
      </c>
      <c r="BJ109" s="308">
        <f t="shared" si="61"/>
        <v>36056657</v>
      </c>
      <c r="BK109" s="308">
        <f t="shared" si="62"/>
        <v>36056657</v>
      </c>
      <c r="BL109" s="308">
        <f t="shared" si="63"/>
        <v>36056657</v>
      </c>
      <c r="BN109" s="308">
        <f t="shared" si="46"/>
        <v>30814397.656000003</v>
      </c>
      <c r="BO109" s="308">
        <f t="shared" si="47"/>
        <v>31907109.484000005</v>
      </c>
      <c r="BP109" s="308">
        <f t="shared" si="48"/>
        <v>32999821.312000006</v>
      </c>
      <c r="BQ109" s="308">
        <f t="shared" si="49"/>
        <v>34092533.140000008</v>
      </c>
      <c r="BR109" s="308">
        <f t="shared" si="50"/>
        <v>35185244.96800001</v>
      </c>
      <c r="BS109" s="308">
        <f t="shared" si="51"/>
        <v>36056657</v>
      </c>
      <c r="BT109" s="308">
        <f t="shared" si="52"/>
        <v>36056657</v>
      </c>
      <c r="BU109" s="308">
        <f t="shared" si="64"/>
        <v>36056657</v>
      </c>
    </row>
    <row r="110" spans="1:73" ht="15" x14ac:dyDescent="0.2">
      <c r="A110" s="62" t="s">
        <v>108</v>
      </c>
      <c r="B110" s="55" t="s">
        <v>14</v>
      </c>
      <c r="C110" s="55"/>
      <c r="D110" s="55"/>
      <c r="E110" s="55"/>
      <c r="F110" s="55"/>
      <c r="G110" s="48">
        <v>5</v>
      </c>
      <c r="H110" s="55">
        <v>96</v>
      </c>
      <c r="I110" s="55">
        <f>INDEX('FY 22 OFA Shell'!$K$27:$K$195,MATCH(Data!H110,'FY 22 OFA Shell'!$H$27:$H$195,0))</f>
        <v>3665.1</v>
      </c>
      <c r="J110" s="55">
        <f>INDEX('FY 22 OFA Shell'!$N$27:$N$195,MATCH(Data!H110,'FY 22 OFA Shell'!$H$27:$H$195,0))</f>
        <v>1374</v>
      </c>
      <c r="K110" s="64">
        <f>INDEX('FY 22 OFA Shell'!$S$27:$S$195,MATCH(Data!H110,'FY 22 OFA Shell'!$H$27:$H$195,0))</f>
        <v>177</v>
      </c>
      <c r="L110" s="150">
        <f t="shared" si="53"/>
        <v>0.37488745191127121</v>
      </c>
      <c r="M110" s="149">
        <f>MAX(((L110-Inputs!$E$23)*Data!I110)*Inputs!$E$24,0)</f>
        <v>0</v>
      </c>
      <c r="N110" s="151">
        <f>INDEX('FY 22 OFA Shell'!$V$27:$V$195,MATCH(Data!H110,'FY 22 OFA Shell'!$H$27:$H$195,0))</f>
        <v>4349146162.6700001</v>
      </c>
      <c r="O110" s="63">
        <f>INDEX('FY 22 OFA Shell'!$W$27:$W$195,MATCH(Data!H110,'FY 22 OFA Shell'!$H$27:$H$195,0))</f>
        <v>27196</v>
      </c>
      <c r="P110" s="65">
        <f>INDEX('FY 22 OFA Shell'!$Z$27:$Z$195,MATCH(Data!H110,'FY 22 OFA Shell'!$H$27:$H$195,0))</f>
        <v>87188</v>
      </c>
      <c r="Q110" s="63">
        <f>INDEX('FY 22 OFA Shell'!$AF$27:$AF$195,MATCH(Data!H110,'FY 22 OFA Shell'!$H$27:$H$195,0))</f>
        <v>0</v>
      </c>
      <c r="R110" s="66">
        <f>INDEX('FY 22 OFA Shell'!$AG$27:$AG$195,MATCH(Data!H110,'FY 22 OFA Shell'!$H$27:$H$195,0))</f>
        <v>0</v>
      </c>
      <c r="S110" s="66">
        <f>INDEX('FY 22 OFA Shell'!$AJ$27:$AJ$195,MATCH(Data!H110,'FY 22 OFA Shell'!$H$27:$H$195,0))</f>
        <v>0</v>
      </c>
      <c r="T110" s="66">
        <f>INDEX('FY 22 OFA Shell'!$AK$27:$AK$195,MATCH(Data!H110,'FY 22 OFA Shell'!$H$27:$H$195,0))</f>
        <v>0</v>
      </c>
      <c r="U110" s="135">
        <v>11832806</v>
      </c>
      <c r="V110" s="67">
        <f>ROUND(J110*Inputs!$E$22, 2)</f>
        <v>412.2</v>
      </c>
      <c r="W110" s="68">
        <f>I110+V110+K110*Inputs!$E$28+Data!M110</f>
        <v>4121.5499999999993</v>
      </c>
      <c r="X110" s="69">
        <f t="shared" si="40"/>
        <v>159918.6</v>
      </c>
      <c r="Y110" s="70">
        <f>ROUND(X110/Inputs!$E$32, 6)</f>
        <v>0.83062999999999998</v>
      </c>
      <c r="Z110" s="70">
        <f>ROUND(P110/Inputs!$E$33, 6)</f>
        <v>0.72358599999999995</v>
      </c>
      <c r="AA110" s="59">
        <f>ROUND(1-((Y110*Inputs!$E$29)+Z110*Inputs!$E$27), 6)</f>
        <v>0.201483</v>
      </c>
      <c r="AB110" s="59">
        <v>222.63946199414619</v>
      </c>
      <c r="AC110" s="73">
        <f>INDEX('FY 22 OFA Shell'!$G$27:$G$195,MATCH(Data!H110,'FY 22 OFA Shell'!$H$27:$H$195,0))</f>
        <v>71</v>
      </c>
      <c r="AD110" s="73">
        <f t="shared" si="54"/>
        <v>5</v>
      </c>
      <c r="AE110" s="65">
        <v>11832806</v>
      </c>
      <c r="AF110" s="65">
        <f t="shared" si="41"/>
        <v>-2262189</v>
      </c>
      <c r="AG110" s="65">
        <f t="shared" si="42"/>
        <v>-2262189</v>
      </c>
      <c r="AH110" s="52">
        <v>10243544</v>
      </c>
      <c r="AI110" s="107">
        <v>11425015</v>
      </c>
      <c r="AJ110">
        <v>2</v>
      </c>
      <c r="AK110">
        <v>2544.9758666081616</v>
      </c>
      <c r="AL110" s="165">
        <f>INDEX('FY 22 OFA Shell'!$AU$27:$AU$195,MATCH(Data!H110,'FY 22 OFA Shell'!$H$27:$H$195,0))</f>
        <v>11124188</v>
      </c>
      <c r="AM110" s="165">
        <f>Outputs!H115</f>
        <v>9570617</v>
      </c>
      <c r="AN110" s="165">
        <f>Outputs!G115+Outputs!D115+Outputs!F115</f>
        <v>9570617</v>
      </c>
      <c r="AO110" s="165">
        <v>11278123</v>
      </c>
      <c r="AP110" s="165">
        <f t="shared" si="43"/>
        <v>11427559.975866608</v>
      </c>
      <c r="AQ110" s="52" t="str">
        <f t="shared" si="44"/>
        <v>No</v>
      </c>
      <c r="AR110" s="308">
        <f>ABS(IF(AQ110="Yes",AF110*Inputs!$D$50,Data!AF110*Inputs!$D$51))</f>
        <v>0</v>
      </c>
      <c r="AS110" s="308">
        <f t="shared" si="55"/>
        <v>11124188</v>
      </c>
      <c r="AT110" s="308">
        <f t="shared" si="45"/>
        <v>11124188</v>
      </c>
      <c r="AU110" s="308"/>
      <c r="AV110" s="308">
        <f>ABS(IF($AQ110="Yes",$AF110*Inputs!E$50,Data!$AF110*Inputs!E$51))</f>
        <v>0</v>
      </c>
      <c r="AW110" s="308">
        <f>ABS(IF($AQ110="Yes",$AF110*Inputs!F$50,Data!$AF110*Inputs!F$51))</f>
        <v>188440.3437</v>
      </c>
      <c r="AX110" s="308">
        <f>ABS(IF($AQ110="Yes",$AF110*Inputs!G$50,Data!$AF110*Inputs!G$51))</f>
        <v>188440.3437</v>
      </c>
      <c r="AY110" s="308">
        <f>ABS(IF($AQ110="Yes",$AF110*Inputs!H$50,Data!$AF110*Inputs!H$51))</f>
        <v>188440.3437</v>
      </c>
      <c r="AZ110" s="308">
        <f>ABS(IF($AQ110="Yes",$AF110*Inputs!I$50,Data!$AF110*Inputs!I$51))</f>
        <v>188440.3437</v>
      </c>
      <c r="BA110" s="308">
        <f>ABS(IF($AQ110="Yes",$AF110*Inputs!J$50,Data!$AF110*Inputs!J$51))</f>
        <v>188440.3437</v>
      </c>
      <c r="BB110" s="308">
        <f>ABS(IF($AQ110="Yes",$AF110*Inputs!K$50,Data!$AF110*Inputs!K$51))</f>
        <v>188440.3437</v>
      </c>
      <c r="BC110" s="308">
        <f>ABS(IF($AQ110="Yes",$AF110*Inputs!L$50,Data!$AF110*Inputs!L$51))</f>
        <v>188440.3437</v>
      </c>
      <c r="BE110" s="308">
        <f t="shared" si="56"/>
        <v>11124188</v>
      </c>
      <c r="BF110" s="308">
        <f t="shared" si="57"/>
        <v>10935747.656300001</v>
      </c>
      <c r="BG110" s="308">
        <f t="shared" si="58"/>
        <v>10747307.312600002</v>
      </c>
      <c r="BH110" s="308">
        <f t="shared" si="59"/>
        <v>10558866.968900003</v>
      </c>
      <c r="BI110" s="308">
        <f t="shared" si="60"/>
        <v>10370426.625200003</v>
      </c>
      <c r="BJ110" s="308">
        <f t="shared" si="61"/>
        <v>10181986.281500004</v>
      </c>
      <c r="BK110" s="308">
        <f t="shared" si="62"/>
        <v>9993545.9378000051</v>
      </c>
      <c r="BL110" s="308">
        <f t="shared" si="63"/>
        <v>9570617</v>
      </c>
      <c r="BN110" s="308">
        <f t="shared" si="46"/>
        <v>11124188</v>
      </c>
      <c r="BO110" s="308">
        <f t="shared" si="47"/>
        <v>10935747.656300001</v>
      </c>
      <c r="BP110" s="308">
        <f t="shared" si="48"/>
        <v>10747307.312600002</v>
      </c>
      <c r="BQ110" s="308">
        <f t="shared" si="49"/>
        <v>10558866.968900003</v>
      </c>
      <c r="BR110" s="308">
        <f t="shared" si="50"/>
        <v>10370426.625200003</v>
      </c>
      <c r="BS110" s="308">
        <f t="shared" si="51"/>
        <v>10181986.281500004</v>
      </c>
      <c r="BT110" s="308">
        <f t="shared" si="52"/>
        <v>9993545.9378000051</v>
      </c>
      <c r="BU110" s="308">
        <f t="shared" si="64"/>
        <v>9570617</v>
      </c>
    </row>
    <row r="111" spans="1:73" ht="15" x14ac:dyDescent="0.2">
      <c r="A111" s="62" t="s">
        <v>109</v>
      </c>
      <c r="B111" s="55" t="s">
        <v>10</v>
      </c>
      <c r="C111" s="55"/>
      <c r="D111" s="55"/>
      <c r="E111" s="55"/>
      <c r="F111" s="55"/>
      <c r="G111" s="48">
        <v>3</v>
      </c>
      <c r="H111" s="55">
        <v>97</v>
      </c>
      <c r="I111" s="55">
        <f>INDEX('FY 22 OFA Shell'!$K$27:$K$195,MATCH(Data!H111,'FY 22 OFA Shell'!$H$27:$H$195,0))</f>
        <v>4034.62</v>
      </c>
      <c r="J111" s="55">
        <f>INDEX('FY 22 OFA Shell'!$N$27:$N$195,MATCH(Data!H111,'FY 22 OFA Shell'!$H$27:$H$195,0))</f>
        <v>582</v>
      </c>
      <c r="K111" s="64">
        <f>INDEX('FY 22 OFA Shell'!$S$27:$S$195,MATCH(Data!H111,'FY 22 OFA Shell'!$H$27:$H$195,0))</f>
        <v>21</v>
      </c>
      <c r="L111" s="150">
        <f t="shared" si="53"/>
        <v>0.14425150323946245</v>
      </c>
      <c r="M111" s="149">
        <f>MAX(((L111-Inputs!$E$23)*Data!I111)*Inputs!$E$24,0)</f>
        <v>0</v>
      </c>
      <c r="N111" s="151">
        <f>INDEX('FY 22 OFA Shell'!$V$27:$V$195,MATCH(Data!H111,'FY 22 OFA Shell'!$H$27:$H$195,0))</f>
        <v>4637865782</v>
      </c>
      <c r="O111" s="63">
        <f>INDEX('FY 22 OFA Shell'!$W$27:$W$195,MATCH(Data!H111,'FY 22 OFA Shell'!$H$27:$H$195,0))</f>
        <v>27853</v>
      </c>
      <c r="P111" s="65">
        <f>INDEX('FY 22 OFA Shell'!$Z$27:$Z$195,MATCH(Data!H111,'FY 22 OFA Shell'!$H$27:$H$195,0))</f>
        <v>123974</v>
      </c>
      <c r="Q111" s="63">
        <f>INDEX('FY 22 OFA Shell'!$AF$27:$AF$195,MATCH(Data!H111,'FY 22 OFA Shell'!$H$27:$H$195,0))</f>
        <v>0</v>
      </c>
      <c r="R111" s="66">
        <f>INDEX('FY 22 OFA Shell'!$AG$27:$AG$195,MATCH(Data!H111,'FY 22 OFA Shell'!$H$27:$H$195,0))</f>
        <v>0</v>
      </c>
      <c r="S111" s="66">
        <f>INDEX('FY 22 OFA Shell'!$AJ$27:$AJ$195,MATCH(Data!H111,'FY 22 OFA Shell'!$H$27:$H$195,0))</f>
        <v>0</v>
      </c>
      <c r="T111" s="66">
        <f>INDEX('FY 22 OFA Shell'!$AK$27:$AK$195,MATCH(Data!H111,'FY 22 OFA Shell'!$H$27:$H$195,0))</f>
        <v>0</v>
      </c>
      <c r="U111" s="135">
        <v>4893944</v>
      </c>
      <c r="V111" s="67">
        <f>ROUND(J111*Inputs!$E$22, 2)</f>
        <v>174.6</v>
      </c>
      <c r="W111" s="68">
        <f>I111+V111+K111*Inputs!$E$28+Data!M111</f>
        <v>4214.47</v>
      </c>
      <c r="X111" s="69">
        <f t="shared" ref="X111:X142" si="65">ROUND(N111/O111,2)</f>
        <v>166512.25</v>
      </c>
      <c r="Y111" s="70">
        <f>ROUND(X111/Inputs!$E$32, 6)</f>
        <v>0.86487800000000004</v>
      </c>
      <c r="Z111" s="70">
        <f>ROUND(P111/Inputs!$E$33, 6)</f>
        <v>1.0288790000000001</v>
      </c>
      <c r="AA111" s="59">
        <f>ROUND(1-((Y111*Inputs!$E$29)+Z111*Inputs!$E$27), 6)</f>
        <v>8.5921999999999998E-2</v>
      </c>
      <c r="AB111" s="59">
        <v>218.40424684914387</v>
      </c>
      <c r="AC111" s="73">
        <f>INDEX('FY 22 OFA Shell'!$G$27:$G$195,MATCH(Data!H111,'FY 22 OFA Shell'!$H$27:$H$195,0))</f>
        <v>121</v>
      </c>
      <c r="AD111" s="73">
        <f t="shared" si="54"/>
        <v>5</v>
      </c>
      <c r="AE111" s="65">
        <v>4893944</v>
      </c>
      <c r="AF111" s="65">
        <f t="shared" ref="AF111:AF142" si="66">AN111-AE111</f>
        <v>-720561</v>
      </c>
      <c r="AG111" s="65">
        <f t="shared" ref="AG111:AG142" si="67">AM111-AE111</f>
        <v>-720561</v>
      </c>
      <c r="AH111" s="52">
        <v>4243596</v>
      </c>
      <c r="AI111" s="107">
        <v>4565640.5</v>
      </c>
      <c r="AJ111">
        <v>2</v>
      </c>
      <c r="AK111">
        <v>2544.9758666081616</v>
      </c>
      <c r="AL111" s="165">
        <f>INDEX('FY 22 OFA Shell'!$AU$27:$AU$195,MATCH(Data!H111,'FY 22 OFA Shell'!$H$27:$H$195,0))</f>
        <v>4495691</v>
      </c>
      <c r="AM111" s="165">
        <f>Outputs!H116</f>
        <v>4173383</v>
      </c>
      <c r="AN111" s="165">
        <f>Outputs!G116+Outputs!D116+Outputs!F116</f>
        <v>4173383</v>
      </c>
      <c r="AO111" s="165">
        <v>4516621</v>
      </c>
      <c r="AP111" s="165">
        <f t="shared" ref="AP111:AP143" si="68">AI111+AK111</f>
        <v>4568185.4758666083</v>
      </c>
      <c r="AQ111" s="52" t="str">
        <f t="shared" ref="AQ111:AQ142" si="69">IF(AN111&gt;AE111,"Yes","No")</f>
        <v>No</v>
      </c>
      <c r="AR111" s="308">
        <f>ABS(IF(AQ111="Yes",AF111*Inputs!$D$50,Data!AF111*Inputs!$D$51))</f>
        <v>0</v>
      </c>
      <c r="AS111" s="308">
        <f t="shared" si="55"/>
        <v>4495691</v>
      </c>
      <c r="AT111" s="308">
        <f t="shared" ref="AT111:AT142" si="70">IF(D111=1,MAX(AS111,AE111),AS111)</f>
        <v>4495691</v>
      </c>
      <c r="AU111" s="308"/>
      <c r="AV111" s="308">
        <f>ABS(IF($AQ111="Yes",$AF111*Inputs!E$50,Data!$AF111*Inputs!E$51))</f>
        <v>0</v>
      </c>
      <c r="AW111" s="308">
        <f>ABS(IF($AQ111="Yes",$AF111*Inputs!F$50,Data!$AF111*Inputs!F$51))</f>
        <v>60022.731299999999</v>
      </c>
      <c r="AX111" s="308">
        <f>ABS(IF($AQ111="Yes",$AF111*Inputs!G$50,Data!$AF111*Inputs!G$51))</f>
        <v>60022.731299999999</v>
      </c>
      <c r="AY111" s="308">
        <f>ABS(IF($AQ111="Yes",$AF111*Inputs!H$50,Data!$AF111*Inputs!H$51))</f>
        <v>60022.731299999999</v>
      </c>
      <c r="AZ111" s="308">
        <f>ABS(IF($AQ111="Yes",$AF111*Inputs!I$50,Data!$AF111*Inputs!I$51))</f>
        <v>60022.731299999999</v>
      </c>
      <c r="BA111" s="308">
        <f>ABS(IF($AQ111="Yes",$AF111*Inputs!J$50,Data!$AF111*Inputs!J$51))</f>
        <v>60022.731299999999</v>
      </c>
      <c r="BB111" s="308">
        <f>ABS(IF($AQ111="Yes",$AF111*Inputs!K$50,Data!$AF111*Inputs!K$51))</f>
        <v>60022.731299999999</v>
      </c>
      <c r="BC111" s="308">
        <f>ABS(IF($AQ111="Yes",$AF111*Inputs!L$50,Data!$AF111*Inputs!L$51))</f>
        <v>60022.731299999999</v>
      </c>
      <c r="BE111" s="308">
        <f t="shared" si="56"/>
        <v>4495691</v>
      </c>
      <c r="BF111" s="308">
        <f t="shared" si="57"/>
        <v>4435668.2686999999</v>
      </c>
      <c r="BG111" s="308">
        <f t="shared" si="58"/>
        <v>4375645.5373999998</v>
      </c>
      <c r="BH111" s="308">
        <f t="shared" si="59"/>
        <v>4315622.8060999997</v>
      </c>
      <c r="BI111" s="308">
        <f t="shared" si="60"/>
        <v>4255600.0747999996</v>
      </c>
      <c r="BJ111" s="308">
        <f t="shared" si="61"/>
        <v>4195577.3434999995</v>
      </c>
      <c r="BK111" s="308">
        <f t="shared" si="62"/>
        <v>4135554.6121999994</v>
      </c>
      <c r="BL111" s="308">
        <f t="shared" si="63"/>
        <v>4173383</v>
      </c>
      <c r="BN111" s="308">
        <f t="shared" ref="BN111:BN142" si="71">IF($D111=1,MAX(BE111,$AE111),BE111)</f>
        <v>4495691</v>
      </c>
      <c r="BO111" s="308">
        <f t="shared" ref="BO111:BO142" si="72">IF($D111=1,MAX(BF111,$AE111),BF111)</f>
        <v>4435668.2686999999</v>
      </c>
      <c r="BP111" s="308">
        <f t="shared" ref="BP111:BP142" si="73">IF($D111=1,MAX(BG111,$AE111),BG111)</f>
        <v>4375645.5373999998</v>
      </c>
      <c r="BQ111" s="308">
        <f t="shared" ref="BQ111:BQ142" si="74">IF($D111=1,MAX(BH111,$AE111),BH111)</f>
        <v>4315622.8060999997</v>
      </c>
      <c r="BR111" s="308">
        <f t="shared" ref="BR111:BR142" si="75">IF($D111=1,MAX(BI111,$AE111),BI111)</f>
        <v>4255600.0747999996</v>
      </c>
      <c r="BS111" s="308">
        <f t="shared" ref="BS111:BS142" si="76">IF($D111=1,MAX(BJ111,$AE111),BJ111)</f>
        <v>4195577.3434999995</v>
      </c>
      <c r="BT111" s="308">
        <f t="shared" ref="BT111:BT142" si="77">IF($D111=1,MAX(BK111,$AE111),BK111)</f>
        <v>4135554.6121999994</v>
      </c>
      <c r="BU111" s="308">
        <f t="shared" si="64"/>
        <v>4173383</v>
      </c>
    </row>
    <row r="112" spans="1:73" ht="15" x14ac:dyDescent="0.2">
      <c r="A112" s="62" t="s">
        <v>110</v>
      </c>
      <c r="B112" s="55" t="s">
        <v>8</v>
      </c>
      <c r="C112" s="55"/>
      <c r="D112" s="55"/>
      <c r="E112" s="55"/>
      <c r="F112" s="55"/>
      <c r="G112" s="48">
        <v>2</v>
      </c>
      <c r="H112" s="55">
        <v>98</v>
      </c>
      <c r="I112" s="55">
        <f>INDEX('FY 22 OFA Shell'!$K$27:$K$195,MATCH(Data!H112,'FY 22 OFA Shell'!$H$27:$H$195,0))</f>
        <v>152.94999999999999</v>
      </c>
      <c r="J112" s="55">
        <f>INDEX('FY 22 OFA Shell'!$N$27:$N$195,MATCH(Data!H112,'FY 22 OFA Shell'!$H$27:$H$195,0))</f>
        <v>51</v>
      </c>
      <c r="K112" s="64">
        <f>INDEX('FY 22 OFA Shell'!$S$27:$S$195,MATCH(Data!H112,'FY 22 OFA Shell'!$H$27:$H$195,0))</f>
        <v>2</v>
      </c>
      <c r="L112" s="150">
        <f t="shared" si="53"/>
        <v>0.33344230140568815</v>
      </c>
      <c r="M112" s="149">
        <f>MAX(((L112-Inputs!$E$23)*Data!I112)*Inputs!$E$24,0)</f>
        <v>0</v>
      </c>
      <c r="N112" s="151">
        <f>INDEX('FY 22 OFA Shell'!$V$27:$V$195,MATCH(Data!H112,'FY 22 OFA Shell'!$H$27:$H$195,0))</f>
        <v>383304826.67000002</v>
      </c>
      <c r="O112" s="63">
        <f>INDEX('FY 22 OFA Shell'!$W$27:$W$195,MATCH(Data!H112,'FY 22 OFA Shell'!$H$27:$H$195,0))</f>
        <v>1503</v>
      </c>
      <c r="P112" s="65">
        <f>INDEX('FY 22 OFA Shell'!$Z$27:$Z$195,MATCH(Data!H112,'FY 22 OFA Shell'!$H$27:$H$195,0))</f>
        <v>75547</v>
      </c>
      <c r="Q112" s="63">
        <f>INDEX('FY 22 OFA Shell'!$AF$27:$AF$195,MATCH(Data!H112,'FY 22 OFA Shell'!$H$27:$H$195,0))</f>
        <v>72</v>
      </c>
      <c r="R112" s="66">
        <f>INDEX('FY 22 OFA Shell'!$AG$27:$AG$195,MATCH(Data!H112,'FY 22 OFA Shell'!$H$27:$H$195,0))</f>
        <v>6</v>
      </c>
      <c r="S112" s="66">
        <f>INDEX('FY 22 OFA Shell'!$AJ$27:$AJ$195,MATCH(Data!H112,'FY 22 OFA Shell'!$H$27:$H$195,0))</f>
        <v>0</v>
      </c>
      <c r="T112" s="66">
        <f>INDEX('FY 22 OFA Shell'!$AK$27:$AK$195,MATCH(Data!H112,'FY 22 OFA Shell'!$H$27:$H$195,0))</f>
        <v>0</v>
      </c>
      <c r="U112" s="135">
        <v>25815</v>
      </c>
      <c r="V112" s="67">
        <f>ROUND(J112*Inputs!$E$22, 2)</f>
        <v>15.3</v>
      </c>
      <c r="W112" s="68">
        <f>I112+V112+K112*Inputs!$E$28+Data!M112</f>
        <v>168.75</v>
      </c>
      <c r="X112" s="69">
        <f t="shared" si="65"/>
        <v>255026.5</v>
      </c>
      <c r="Y112" s="70">
        <f>ROUND(X112/Inputs!$E$32, 6)</f>
        <v>1.3246290000000001</v>
      </c>
      <c r="Z112" s="70">
        <f>ROUND(P112/Inputs!$E$33, 6)</f>
        <v>0.62697599999999998</v>
      </c>
      <c r="AA112" s="59">
        <f>ROUND(1-((Y112*Inputs!$E$29)+Z112*Inputs!$E$27), 6)</f>
        <v>-0.115333</v>
      </c>
      <c r="AB112" s="59">
        <v>210.30373638173828</v>
      </c>
      <c r="AC112" s="73">
        <f>INDEX('FY 22 OFA Shell'!$G$27:$G$195,MATCH(Data!H112,'FY 22 OFA Shell'!$H$27:$H$195,0))</f>
        <v>136</v>
      </c>
      <c r="AD112" s="73">
        <f t="shared" si="54"/>
        <v>5</v>
      </c>
      <c r="AE112" s="65">
        <v>25815</v>
      </c>
      <c r="AF112" s="65">
        <f t="shared" si="66"/>
        <v>36833</v>
      </c>
      <c r="AG112" s="65">
        <f t="shared" si="67"/>
        <v>36833</v>
      </c>
      <c r="AH112" s="52">
        <v>18194</v>
      </c>
      <c r="AI112" s="107">
        <v>25862.600999999999</v>
      </c>
      <c r="AJ112"/>
      <c r="AK112">
        <v>0</v>
      </c>
      <c r="AL112" s="165">
        <f>INDEX('FY 22 OFA Shell'!$AU$27:$AU$195,MATCH(Data!H112,'FY 22 OFA Shell'!$H$27:$H$195,0))</f>
        <v>25940</v>
      </c>
      <c r="AM112" s="165">
        <f>Outputs!H117</f>
        <v>62648</v>
      </c>
      <c r="AN112" s="165">
        <f>Outputs!G117+Outputs!D117+Outputs!F117</f>
        <v>62648</v>
      </c>
      <c r="AO112" s="165">
        <v>26148</v>
      </c>
      <c r="AP112" s="165">
        <f t="shared" si="68"/>
        <v>25862.600999999999</v>
      </c>
      <c r="AQ112" s="52" t="str">
        <f t="shared" si="69"/>
        <v>Yes</v>
      </c>
      <c r="AR112" s="308">
        <f>ABS(IF(AQ112="Yes",AF112*Inputs!$D$50,Data!AF112*Inputs!$D$51))</f>
        <v>3926.3978000000002</v>
      </c>
      <c r="AS112" s="308">
        <f t="shared" si="55"/>
        <v>29866.397799999999</v>
      </c>
      <c r="AT112" s="308">
        <f t="shared" si="70"/>
        <v>29866.397799999999</v>
      </c>
      <c r="AU112" s="308"/>
      <c r="AV112" s="308">
        <f>ABS(IF($AQ112="Yes",$AF112*Inputs!E$50,Data!$AF112*Inputs!E$51))</f>
        <v>3926.3978000000002</v>
      </c>
      <c r="AW112" s="308">
        <f>ABS(IF($AQ112="Yes",$AF112*Inputs!F$50,Data!$AF112*Inputs!F$51))</f>
        <v>3926.3978000000002</v>
      </c>
      <c r="AX112" s="308">
        <f>ABS(IF($AQ112="Yes",$AF112*Inputs!G$50,Data!$AF112*Inputs!G$51))</f>
        <v>3926.3978000000002</v>
      </c>
      <c r="AY112" s="308">
        <f>ABS(IF($AQ112="Yes",$AF112*Inputs!H$50,Data!$AF112*Inputs!H$51))</f>
        <v>3926.3978000000002</v>
      </c>
      <c r="AZ112" s="308">
        <f>ABS(IF($AQ112="Yes",$AF112*Inputs!I$50,Data!$AF112*Inputs!I$51))</f>
        <v>3926.3978000000002</v>
      </c>
      <c r="BA112" s="308">
        <f>ABS(IF($AQ112="Yes",$AF112*Inputs!J$50,Data!$AF112*Inputs!J$51))</f>
        <v>3926.3978000000002</v>
      </c>
      <c r="BB112" s="308">
        <f>ABS(IF($AQ112="Yes",$AF112*Inputs!K$50,Data!$AF112*Inputs!K$51))</f>
        <v>0</v>
      </c>
      <c r="BC112" s="308">
        <f>ABS(IF($AQ112="Yes",$AF112*Inputs!L$50,Data!$AF112*Inputs!L$51))</f>
        <v>0</v>
      </c>
      <c r="BE112" s="308">
        <f t="shared" si="56"/>
        <v>33792.795599999998</v>
      </c>
      <c r="BF112" s="308">
        <f t="shared" si="57"/>
        <v>37719.193399999996</v>
      </c>
      <c r="BG112" s="308">
        <f t="shared" si="58"/>
        <v>41645.591199999995</v>
      </c>
      <c r="BH112" s="308">
        <f t="shared" si="59"/>
        <v>45571.988999999994</v>
      </c>
      <c r="BI112" s="308">
        <f t="shared" si="60"/>
        <v>49498.386799999993</v>
      </c>
      <c r="BJ112" s="308">
        <f t="shared" si="61"/>
        <v>62648</v>
      </c>
      <c r="BK112" s="308">
        <f t="shared" si="62"/>
        <v>62648</v>
      </c>
      <c r="BL112" s="308">
        <f t="shared" si="63"/>
        <v>62648</v>
      </c>
      <c r="BN112" s="308">
        <f t="shared" si="71"/>
        <v>33792.795599999998</v>
      </c>
      <c r="BO112" s="308">
        <f t="shared" si="72"/>
        <v>37719.193399999996</v>
      </c>
      <c r="BP112" s="308">
        <f t="shared" si="73"/>
        <v>41645.591199999995</v>
      </c>
      <c r="BQ112" s="308">
        <f t="shared" si="74"/>
        <v>45571.988999999994</v>
      </c>
      <c r="BR112" s="308">
        <f t="shared" si="75"/>
        <v>49498.386799999993</v>
      </c>
      <c r="BS112" s="308">
        <f t="shared" si="76"/>
        <v>62648</v>
      </c>
      <c r="BT112" s="308">
        <f t="shared" si="77"/>
        <v>62648</v>
      </c>
      <c r="BU112" s="308">
        <f t="shared" si="64"/>
        <v>62648</v>
      </c>
    </row>
    <row r="113" spans="1:73" ht="15" x14ac:dyDescent="0.2">
      <c r="A113" s="62" t="s">
        <v>111</v>
      </c>
      <c r="B113" s="55" t="s">
        <v>8</v>
      </c>
      <c r="C113" s="55"/>
      <c r="D113" s="55"/>
      <c r="E113" s="55"/>
      <c r="F113" s="55"/>
      <c r="G113" s="48">
        <v>6</v>
      </c>
      <c r="H113" s="55">
        <v>99</v>
      </c>
      <c r="I113" s="55">
        <f>INDEX('FY 22 OFA Shell'!$K$27:$K$195,MATCH(Data!H113,'FY 22 OFA Shell'!$H$27:$H$195,0))</f>
        <v>1665.65</v>
      </c>
      <c r="J113" s="55">
        <f>INDEX('FY 22 OFA Shell'!$N$27:$N$195,MATCH(Data!H113,'FY 22 OFA Shell'!$H$27:$H$195,0))</f>
        <v>392</v>
      </c>
      <c r="K113" s="64">
        <f>INDEX('FY 22 OFA Shell'!$S$27:$S$195,MATCH(Data!H113,'FY 22 OFA Shell'!$H$27:$H$195,0))</f>
        <v>17</v>
      </c>
      <c r="L113" s="150">
        <f t="shared" si="53"/>
        <v>0.23534355957133851</v>
      </c>
      <c r="M113" s="149">
        <f>MAX(((L113-Inputs!$E$23)*Data!I113)*Inputs!$E$24,0)</f>
        <v>0</v>
      </c>
      <c r="N113" s="151">
        <f>INDEX('FY 22 OFA Shell'!$V$27:$V$195,MATCH(Data!H113,'FY 22 OFA Shell'!$H$27:$H$195,0))</f>
        <v>1854366817</v>
      </c>
      <c r="O113" s="63">
        <f>INDEX('FY 22 OFA Shell'!$W$27:$W$195,MATCH(Data!H113,'FY 22 OFA Shell'!$H$27:$H$195,0))</f>
        <v>14208</v>
      </c>
      <c r="P113" s="65">
        <f>INDEX('FY 22 OFA Shell'!$Z$27:$Z$195,MATCH(Data!H113,'FY 22 OFA Shell'!$H$27:$H$195,0))</f>
        <v>86087</v>
      </c>
      <c r="Q113" s="63">
        <f>INDEX('FY 22 OFA Shell'!$AF$27:$AF$195,MATCH(Data!H113,'FY 22 OFA Shell'!$H$27:$H$195,0))</f>
        <v>0</v>
      </c>
      <c r="R113" s="66">
        <f>INDEX('FY 22 OFA Shell'!$AG$27:$AG$195,MATCH(Data!H113,'FY 22 OFA Shell'!$H$27:$H$195,0))</f>
        <v>0</v>
      </c>
      <c r="S113" s="66">
        <f>INDEX('FY 22 OFA Shell'!$AJ$27:$AJ$195,MATCH(Data!H113,'FY 22 OFA Shell'!$H$27:$H$195,0))</f>
        <v>0</v>
      </c>
      <c r="T113" s="66">
        <f>INDEX('FY 22 OFA Shell'!$AK$27:$AK$195,MATCH(Data!H113,'FY 22 OFA Shell'!$H$27:$H$195,0))</f>
        <v>0</v>
      </c>
      <c r="U113" s="135">
        <v>8076776</v>
      </c>
      <c r="V113" s="67">
        <f>ROUND(J113*Inputs!$E$22, 2)</f>
        <v>117.6</v>
      </c>
      <c r="W113" s="68">
        <f>I113+V113+K113*Inputs!$E$28+Data!M113</f>
        <v>1787.5</v>
      </c>
      <c r="X113" s="69">
        <f t="shared" si="65"/>
        <v>130515.68</v>
      </c>
      <c r="Y113" s="70">
        <f>ROUND(X113/Inputs!$E$32, 6)</f>
        <v>0.67790899999999998</v>
      </c>
      <c r="Z113" s="70">
        <f>ROUND(P113/Inputs!$E$33, 6)</f>
        <v>0.714449</v>
      </c>
      <c r="AA113" s="59">
        <f>ROUND(1-((Y113*Inputs!$E$29)+Z113*Inputs!$E$27), 6)</f>
        <v>0.31112899999999999</v>
      </c>
      <c r="AB113" s="59">
        <v>232.49086186134491</v>
      </c>
      <c r="AC113" s="73">
        <f>INDEX('FY 22 OFA Shell'!$G$27:$G$195,MATCH(Data!H113,'FY 22 OFA Shell'!$H$27:$H$195,0))</f>
        <v>74</v>
      </c>
      <c r="AD113" s="73">
        <f t="shared" si="54"/>
        <v>5</v>
      </c>
      <c r="AE113" s="65">
        <v>8076776</v>
      </c>
      <c r="AF113" s="65">
        <f t="shared" si="66"/>
        <v>-1667227</v>
      </c>
      <c r="AG113" s="65">
        <f t="shared" si="67"/>
        <v>-1667227</v>
      </c>
      <c r="AH113" s="52">
        <v>7011730</v>
      </c>
      <c r="AI113" s="107">
        <v>7605127</v>
      </c>
      <c r="AJ113"/>
      <c r="AK113">
        <v>0</v>
      </c>
      <c r="AL113" s="165">
        <f>INDEX('FY 22 OFA Shell'!$AU$27:$AU$195,MATCH(Data!H113,'FY 22 OFA Shell'!$H$27:$H$195,0))</f>
        <v>7331325</v>
      </c>
      <c r="AM113" s="165">
        <f>Outputs!H118</f>
        <v>6409549</v>
      </c>
      <c r="AN113" s="165">
        <f>Outputs!G118+Outputs!D118+Outputs!F118</f>
        <v>6409549</v>
      </c>
      <c r="AO113" s="165">
        <v>7453844</v>
      </c>
      <c r="AP113" s="165">
        <f t="shared" si="68"/>
        <v>7605127</v>
      </c>
      <c r="AQ113" s="52" t="str">
        <f t="shared" si="69"/>
        <v>No</v>
      </c>
      <c r="AR113" s="308">
        <f>ABS(IF(AQ113="Yes",AF113*Inputs!$D$50,Data!AF113*Inputs!$D$51))</f>
        <v>0</v>
      </c>
      <c r="AS113" s="308">
        <f t="shared" si="55"/>
        <v>7331325</v>
      </c>
      <c r="AT113" s="308">
        <f t="shared" si="70"/>
        <v>7331325</v>
      </c>
      <c r="AU113" s="308"/>
      <c r="AV113" s="308">
        <f>ABS(IF($AQ113="Yes",$AF113*Inputs!E$50,Data!$AF113*Inputs!E$51))</f>
        <v>0</v>
      </c>
      <c r="AW113" s="308">
        <f>ABS(IF($AQ113="Yes",$AF113*Inputs!F$50,Data!$AF113*Inputs!F$51))</f>
        <v>138880.0091</v>
      </c>
      <c r="AX113" s="308">
        <f>ABS(IF($AQ113="Yes",$AF113*Inputs!G$50,Data!$AF113*Inputs!G$51))</f>
        <v>138880.0091</v>
      </c>
      <c r="AY113" s="308">
        <f>ABS(IF($AQ113="Yes",$AF113*Inputs!H$50,Data!$AF113*Inputs!H$51))</f>
        <v>138880.0091</v>
      </c>
      <c r="AZ113" s="308">
        <f>ABS(IF($AQ113="Yes",$AF113*Inputs!I$50,Data!$AF113*Inputs!I$51))</f>
        <v>138880.0091</v>
      </c>
      <c r="BA113" s="308">
        <f>ABS(IF($AQ113="Yes",$AF113*Inputs!J$50,Data!$AF113*Inputs!J$51))</f>
        <v>138880.0091</v>
      </c>
      <c r="BB113" s="308">
        <f>ABS(IF($AQ113="Yes",$AF113*Inputs!K$50,Data!$AF113*Inputs!K$51))</f>
        <v>138880.0091</v>
      </c>
      <c r="BC113" s="308">
        <f>ABS(IF($AQ113="Yes",$AF113*Inputs!L$50,Data!$AF113*Inputs!L$51))</f>
        <v>138880.0091</v>
      </c>
      <c r="BE113" s="308">
        <f t="shared" si="56"/>
        <v>7331325</v>
      </c>
      <c r="BF113" s="308">
        <f t="shared" si="57"/>
        <v>7192444.9908999996</v>
      </c>
      <c r="BG113" s="308">
        <f t="shared" si="58"/>
        <v>7053564.9817999993</v>
      </c>
      <c r="BH113" s="308">
        <f t="shared" si="59"/>
        <v>6914684.9726999989</v>
      </c>
      <c r="BI113" s="308">
        <f t="shared" si="60"/>
        <v>6775804.9635999985</v>
      </c>
      <c r="BJ113" s="308">
        <f t="shared" si="61"/>
        <v>6636924.9544999981</v>
      </c>
      <c r="BK113" s="308">
        <f t="shared" si="62"/>
        <v>6498044.9453999978</v>
      </c>
      <c r="BL113" s="308">
        <f t="shared" si="63"/>
        <v>6409549</v>
      </c>
      <c r="BN113" s="308">
        <f t="shared" si="71"/>
        <v>7331325</v>
      </c>
      <c r="BO113" s="308">
        <f t="shared" si="72"/>
        <v>7192444.9908999996</v>
      </c>
      <c r="BP113" s="308">
        <f t="shared" si="73"/>
        <v>7053564.9817999993</v>
      </c>
      <c r="BQ113" s="308">
        <f t="shared" si="74"/>
        <v>6914684.9726999989</v>
      </c>
      <c r="BR113" s="308">
        <f t="shared" si="75"/>
        <v>6775804.9635999985</v>
      </c>
      <c r="BS113" s="308">
        <f t="shared" si="76"/>
        <v>6636924.9544999981</v>
      </c>
      <c r="BT113" s="308">
        <f t="shared" si="77"/>
        <v>6498044.9453999978</v>
      </c>
      <c r="BU113" s="308">
        <f t="shared" si="64"/>
        <v>6409549</v>
      </c>
    </row>
    <row r="114" spans="1:73" ht="15" x14ac:dyDescent="0.2">
      <c r="A114" s="62" t="s">
        <v>112</v>
      </c>
      <c r="B114" s="55" t="s">
        <v>32</v>
      </c>
      <c r="C114" s="55"/>
      <c r="D114" s="55"/>
      <c r="E114" s="55"/>
      <c r="F114" s="55"/>
      <c r="G114" s="48">
        <v>8</v>
      </c>
      <c r="H114" s="55">
        <v>100</v>
      </c>
      <c r="I114" s="55">
        <f>INDEX('FY 22 OFA Shell'!$K$27:$K$195,MATCH(Data!H114,'FY 22 OFA Shell'!$H$27:$H$195,0))</f>
        <v>352.41</v>
      </c>
      <c r="J114" s="55">
        <f>INDEX('FY 22 OFA Shell'!$N$27:$N$195,MATCH(Data!H114,'FY 22 OFA Shell'!$H$27:$H$195,0))</f>
        <v>176</v>
      </c>
      <c r="K114" s="64">
        <f>INDEX('FY 22 OFA Shell'!$S$27:$S$195,MATCH(Data!H114,'FY 22 OFA Shell'!$H$27:$H$195,0))</f>
        <v>12</v>
      </c>
      <c r="L114" s="150">
        <f t="shared" si="53"/>
        <v>0.49941829119491499</v>
      </c>
      <c r="M114" s="149">
        <f>MAX(((L114-Inputs!$E$23)*Data!I114)*Inputs!$E$24,0)</f>
        <v>0</v>
      </c>
      <c r="N114" s="151">
        <f>INDEX('FY 22 OFA Shell'!$V$27:$V$195,MATCH(Data!H114,'FY 22 OFA Shell'!$H$27:$H$195,0))</f>
        <v>433160796.32999998</v>
      </c>
      <c r="O114" s="63">
        <f>INDEX('FY 22 OFA Shell'!$W$27:$W$195,MATCH(Data!H114,'FY 22 OFA Shell'!$H$27:$H$195,0))</f>
        <v>3302</v>
      </c>
      <c r="P114" s="65">
        <f>INDEX('FY 22 OFA Shell'!$Z$27:$Z$195,MATCH(Data!H114,'FY 22 OFA Shell'!$H$27:$H$195,0))</f>
        <v>68438</v>
      </c>
      <c r="Q114" s="63">
        <f>INDEX('FY 22 OFA Shell'!$AF$27:$AF$195,MATCH(Data!H114,'FY 22 OFA Shell'!$H$27:$H$195,0))</f>
        <v>106</v>
      </c>
      <c r="R114" s="66">
        <f>INDEX('FY 22 OFA Shell'!$AG$27:$AG$195,MATCH(Data!H114,'FY 22 OFA Shell'!$H$27:$H$195,0))</f>
        <v>4</v>
      </c>
      <c r="S114" s="66">
        <f>INDEX('FY 22 OFA Shell'!$AJ$27:$AJ$195,MATCH(Data!H114,'FY 22 OFA Shell'!$H$27:$H$195,0))</f>
        <v>0</v>
      </c>
      <c r="T114" s="66">
        <f>INDEX('FY 22 OFA Shell'!$AK$27:$AK$195,MATCH(Data!H114,'FY 22 OFA Shell'!$H$27:$H$195,0))</f>
        <v>0</v>
      </c>
      <c r="U114" s="135">
        <v>2044243</v>
      </c>
      <c r="V114" s="67">
        <f>ROUND(J114*Inputs!$E$22, 2)</f>
        <v>52.8</v>
      </c>
      <c r="W114" s="68">
        <f>I114+V114+K114*Inputs!$E$28+Data!M114</f>
        <v>408.21000000000004</v>
      </c>
      <c r="X114" s="69">
        <f t="shared" si="65"/>
        <v>131181.34</v>
      </c>
      <c r="Y114" s="70">
        <f>ROUND(X114/Inputs!$E$32, 6)</f>
        <v>0.68136699999999994</v>
      </c>
      <c r="Z114" s="70">
        <f>ROUND(P114/Inputs!$E$33, 6)</f>
        <v>0.56797699999999995</v>
      </c>
      <c r="AA114" s="59">
        <f>ROUND(1-((Y114*Inputs!$E$29)+Z114*Inputs!$E$27), 6)</f>
        <v>0.35265000000000002</v>
      </c>
      <c r="AB114" s="59">
        <v>239.53318066556434</v>
      </c>
      <c r="AC114" s="73">
        <f>INDEX('FY 22 OFA Shell'!$G$27:$G$195,MATCH(Data!H114,'FY 22 OFA Shell'!$H$27:$H$195,0))</f>
        <v>67</v>
      </c>
      <c r="AD114" s="73">
        <f t="shared" si="54"/>
        <v>5</v>
      </c>
      <c r="AE114" s="65">
        <v>2044243</v>
      </c>
      <c r="AF114" s="65">
        <f t="shared" si="66"/>
        <v>-342759</v>
      </c>
      <c r="AG114" s="65">
        <f t="shared" si="67"/>
        <v>-342759</v>
      </c>
      <c r="AH114" s="52">
        <v>1757777</v>
      </c>
      <c r="AI114" s="107">
        <v>1892849.25</v>
      </c>
      <c r="AJ114"/>
      <c r="AK114">
        <v>0</v>
      </c>
      <c r="AL114" s="165">
        <f>INDEX('FY 22 OFA Shell'!$AU$27:$AU$195,MATCH(Data!H114,'FY 22 OFA Shell'!$H$27:$H$195,0))</f>
        <v>1781954</v>
      </c>
      <c r="AM114" s="165">
        <f>Outputs!H119</f>
        <v>1701484</v>
      </c>
      <c r="AN114" s="165">
        <f>Outputs!G119+Outputs!D119+Outputs!F119</f>
        <v>1701484</v>
      </c>
      <c r="AO114" s="165">
        <v>1835733</v>
      </c>
      <c r="AP114" s="165">
        <f t="shared" si="68"/>
        <v>1892849.25</v>
      </c>
      <c r="AQ114" s="52" t="str">
        <f t="shared" si="69"/>
        <v>No</v>
      </c>
      <c r="AR114" s="308">
        <f>ABS(IF(AQ114="Yes",AF114*Inputs!$D$50,Data!AF114*Inputs!$D$51))</f>
        <v>0</v>
      </c>
      <c r="AS114" s="308">
        <f t="shared" si="55"/>
        <v>1781954</v>
      </c>
      <c r="AT114" s="308">
        <f t="shared" si="70"/>
        <v>1781954</v>
      </c>
      <c r="AU114" s="308"/>
      <c r="AV114" s="308">
        <f>ABS(IF($AQ114="Yes",$AF114*Inputs!E$50,Data!$AF114*Inputs!E$51))</f>
        <v>0</v>
      </c>
      <c r="AW114" s="308">
        <f>ABS(IF($AQ114="Yes",$AF114*Inputs!F$50,Data!$AF114*Inputs!F$51))</f>
        <v>28551.824700000001</v>
      </c>
      <c r="AX114" s="308">
        <f>ABS(IF($AQ114="Yes",$AF114*Inputs!G$50,Data!$AF114*Inputs!G$51))</f>
        <v>28551.824700000001</v>
      </c>
      <c r="AY114" s="308">
        <f>ABS(IF($AQ114="Yes",$AF114*Inputs!H$50,Data!$AF114*Inputs!H$51))</f>
        <v>28551.824700000001</v>
      </c>
      <c r="AZ114" s="308">
        <f>ABS(IF($AQ114="Yes",$AF114*Inputs!I$50,Data!$AF114*Inputs!I$51))</f>
        <v>28551.824700000001</v>
      </c>
      <c r="BA114" s="308">
        <f>ABS(IF($AQ114="Yes",$AF114*Inputs!J$50,Data!$AF114*Inputs!J$51))</f>
        <v>28551.824700000001</v>
      </c>
      <c r="BB114" s="308">
        <f>ABS(IF($AQ114="Yes",$AF114*Inputs!K$50,Data!$AF114*Inputs!K$51))</f>
        <v>28551.824700000001</v>
      </c>
      <c r="BC114" s="308">
        <f>ABS(IF($AQ114="Yes",$AF114*Inputs!L$50,Data!$AF114*Inputs!L$51))</f>
        <v>28551.824700000001</v>
      </c>
      <c r="BE114" s="308">
        <f t="shared" si="56"/>
        <v>1781954</v>
      </c>
      <c r="BF114" s="308">
        <f t="shared" si="57"/>
        <v>1753402.1753</v>
      </c>
      <c r="BG114" s="308">
        <f t="shared" si="58"/>
        <v>1724850.3506</v>
      </c>
      <c r="BH114" s="308">
        <f t="shared" si="59"/>
        <v>1696298.5259</v>
      </c>
      <c r="BI114" s="308">
        <f t="shared" si="60"/>
        <v>1667746.7012</v>
      </c>
      <c r="BJ114" s="308">
        <f t="shared" si="61"/>
        <v>1639194.8765</v>
      </c>
      <c r="BK114" s="308">
        <f t="shared" si="62"/>
        <v>1610643.0518</v>
      </c>
      <c r="BL114" s="308">
        <f t="shared" si="63"/>
        <v>1701484</v>
      </c>
      <c r="BN114" s="308">
        <f t="shared" si="71"/>
        <v>1781954</v>
      </c>
      <c r="BO114" s="308">
        <f t="shared" si="72"/>
        <v>1753402.1753</v>
      </c>
      <c r="BP114" s="308">
        <f t="shared" si="73"/>
        <v>1724850.3506</v>
      </c>
      <c r="BQ114" s="308">
        <f t="shared" si="74"/>
        <v>1696298.5259</v>
      </c>
      <c r="BR114" s="308">
        <f t="shared" si="75"/>
        <v>1667746.7012</v>
      </c>
      <c r="BS114" s="308">
        <f t="shared" si="76"/>
        <v>1639194.8765</v>
      </c>
      <c r="BT114" s="308">
        <f t="shared" si="77"/>
        <v>1610643.0518</v>
      </c>
      <c r="BU114" s="308">
        <f t="shared" si="64"/>
        <v>1701484</v>
      </c>
    </row>
    <row r="115" spans="1:73" ht="15" x14ac:dyDescent="0.2">
      <c r="A115" s="62" t="s">
        <v>113</v>
      </c>
      <c r="B115" s="55" t="s">
        <v>14</v>
      </c>
      <c r="C115" s="55"/>
      <c r="D115" s="55"/>
      <c r="E115" s="55"/>
      <c r="F115" s="55"/>
      <c r="G115" s="48">
        <v>4</v>
      </c>
      <c r="H115" s="55">
        <v>101</v>
      </c>
      <c r="I115" s="55">
        <f>INDEX('FY 22 OFA Shell'!$K$27:$K$195,MATCH(Data!H115,'FY 22 OFA Shell'!$H$27:$H$195,0))</f>
        <v>3126.45</v>
      </c>
      <c r="J115" s="55">
        <f>INDEX('FY 22 OFA Shell'!$N$27:$N$195,MATCH(Data!H115,'FY 22 OFA Shell'!$H$27:$H$195,0))</f>
        <v>639</v>
      </c>
      <c r="K115" s="64">
        <f>INDEX('FY 22 OFA Shell'!$S$27:$S$195,MATCH(Data!H115,'FY 22 OFA Shell'!$H$27:$H$195,0))</f>
        <v>105</v>
      </c>
      <c r="L115" s="150">
        <f t="shared" si="53"/>
        <v>0.20438516528330855</v>
      </c>
      <c r="M115" s="149">
        <f>MAX(((L115-Inputs!$E$23)*Data!I115)*Inputs!$E$24,0)</f>
        <v>0</v>
      </c>
      <c r="N115" s="151">
        <f>INDEX('FY 22 OFA Shell'!$V$27:$V$195,MATCH(Data!H115,'FY 22 OFA Shell'!$H$27:$H$195,0))</f>
        <v>4261260702.6700001</v>
      </c>
      <c r="O115" s="63">
        <f>INDEX('FY 22 OFA Shell'!$W$27:$W$195,MATCH(Data!H115,'FY 22 OFA Shell'!$H$27:$H$195,0))</f>
        <v>23786</v>
      </c>
      <c r="P115" s="65">
        <f>INDEX('FY 22 OFA Shell'!$Z$27:$Z$195,MATCH(Data!H115,'FY 22 OFA Shell'!$H$27:$H$195,0))</f>
        <v>99094</v>
      </c>
      <c r="Q115" s="63">
        <f>INDEX('FY 22 OFA Shell'!$AF$27:$AF$195,MATCH(Data!H115,'FY 22 OFA Shell'!$H$27:$H$195,0))</f>
        <v>0</v>
      </c>
      <c r="R115" s="66">
        <f>INDEX('FY 22 OFA Shell'!$AG$27:$AG$195,MATCH(Data!H115,'FY 22 OFA Shell'!$H$27:$H$195,0))</f>
        <v>0</v>
      </c>
      <c r="S115" s="66">
        <f>INDEX('FY 22 OFA Shell'!$AJ$27:$AJ$195,MATCH(Data!H115,'FY 22 OFA Shell'!$H$27:$H$195,0))</f>
        <v>0</v>
      </c>
      <c r="T115" s="66">
        <f>INDEX('FY 22 OFA Shell'!$AK$27:$AK$195,MATCH(Data!H115,'FY 22 OFA Shell'!$H$27:$H$195,0))</f>
        <v>0</v>
      </c>
      <c r="U115" s="135">
        <v>3842088</v>
      </c>
      <c r="V115" s="67">
        <f>ROUND(J115*Inputs!$E$22, 2)</f>
        <v>191.7</v>
      </c>
      <c r="W115" s="68">
        <f>I115+V115+K115*Inputs!$E$28+Data!M115</f>
        <v>3344.3999999999996</v>
      </c>
      <c r="X115" s="69">
        <f t="shared" si="65"/>
        <v>179149.95</v>
      </c>
      <c r="Y115" s="70">
        <f>ROUND(X115/Inputs!$E$32, 6)</f>
        <v>0.93052000000000001</v>
      </c>
      <c r="Z115" s="70">
        <f>ROUND(P115/Inputs!$E$33, 6)</f>
        <v>0.82239600000000002</v>
      </c>
      <c r="AA115" s="59">
        <f>ROUND(1-((Y115*Inputs!$E$29)+Z115*Inputs!$E$27), 6)</f>
        <v>0.10191699999999999</v>
      </c>
      <c r="AB115" s="59">
        <v>231.76041677914839</v>
      </c>
      <c r="AC115" s="73">
        <f>INDEX('FY 22 OFA Shell'!$G$27:$G$195,MATCH(Data!H115,'FY 22 OFA Shell'!$H$27:$H$195,0))</f>
        <v>93</v>
      </c>
      <c r="AD115" s="73">
        <f t="shared" si="54"/>
        <v>5</v>
      </c>
      <c r="AE115" s="65">
        <v>3842088</v>
      </c>
      <c r="AF115" s="65">
        <f t="shared" si="66"/>
        <v>86222</v>
      </c>
      <c r="AG115" s="65">
        <f t="shared" si="67"/>
        <v>86222</v>
      </c>
      <c r="AH115" s="52">
        <v>3285464</v>
      </c>
      <c r="AI115" s="107">
        <v>3868905.1159999999</v>
      </c>
      <c r="AJ115">
        <v>2</v>
      </c>
      <c r="AK115">
        <v>2544.9758666081616</v>
      </c>
      <c r="AL115" s="165">
        <f>INDEX('FY 22 OFA Shell'!$AU$27:$AU$195,MATCH(Data!H115,'FY 22 OFA Shell'!$H$27:$H$195,0))</f>
        <v>3851360</v>
      </c>
      <c r="AM115" s="165">
        <f>Outputs!H120</f>
        <v>3928310</v>
      </c>
      <c r="AN115" s="165">
        <f>Outputs!G120+Outputs!D120+Outputs!F120</f>
        <v>3928310</v>
      </c>
      <c r="AO115" s="165">
        <v>3861392</v>
      </c>
      <c r="AP115" s="165">
        <f t="shared" si="68"/>
        <v>3871450.0918666082</v>
      </c>
      <c r="AQ115" s="52" t="str">
        <f t="shared" si="69"/>
        <v>Yes</v>
      </c>
      <c r="AR115" s="308">
        <f>ABS(IF(AQ115="Yes",AF115*Inputs!$D$50,Data!AF115*Inputs!$D$51))</f>
        <v>9191.2651999999998</v>
      </c>
      <c r="AS115" s="308">
        <f t="shared" si="55"/>
        <v>3860551.2651999998</v>
      </c>
      <c r="AT115" s="308">
        <f t="shared" si="70"/>
        <v>3860551.2651999998</v>
      </c>
      <c r="AU115" s="308"/>
      <c r="AV115" s="308">
        <f>ABS(IF($AQ115="Yes",$AF115*Inputs!E$50,Data!$AF115*Inputs!E$51))</f>
        <v>9191.2651999999998</v>
      </c>
      <c r="AW115" s="308">
        <f>ABS(IF($AQ115="Yes",$AF115*Inputs!F$50,Data!$AF115*Inputs!F$51))</f>
        <v>9191.2651999999998</v>
      </c>
      <c r="AX115" s="308">
        <f>ABS(IF($AQ115="Yes",$AF115*Inputs!G$50,Data!$AF115*Inputs!G$51))</f>
        <v>9191.2651999999998</v>
      </c>
      <c r="AY115" s="308">
        <f>ABS(IF($AQ115="Yes",$AF115*Inputs!H$50,Data!$AF115*Inputs!H$51))</f>
        <v>9191.2651999999998</v>
      </c>
      <c r="AZ115" s="308">
        <f>ABS(IF($AQ115="Yes",$AF115*Inputs!I$50,Data!$AF115*Inputs!I$51))</f>
        <v>9191.2651999999998</v>
      </c>
      <c r="BA115" s="308">
        <f>ABS(IF($AQ115="Yes",$AF115*Inputs!J$50,Data!$AF115*Inputs!J$51))</f>
        <v>9191.2651999999998</v>
      </c>
      <c r="BB115" s="308">
        <f>ABS(IF($AQ115="Yes",$AF115*Inputs!K$50,Data!$AF115*Inputs!K$51))</f>
        <v>0</v>
      </c>
      <c r="BC115" s="308">
        <f>ABS(IF($AQ115="Yes",$AF115*Inputs!L$50,Data!$AF115*Inputs!L$51))</f>
        <v>0</v>
      </c>
      <c r="BE115" s="308">
        <f t="shared" si="56"/>
        <v>3869742.5303999996</v>
      </c>
      <c r="BF115" s="308">
        <f t="shared" si="57"/>
        <v>3878933.7955999994</v>
      </c>
      <c r="BG115" s="308">
        <f t="shared" si="58"/>
        <v>3888125.0607999992</v>
      </c>
      <c r="BH115" s="308">
        <f t="shared" si="59"/>
        <v>3897316.325999999</v>
      </c>
      <c r="BI115" s="308">
        <f t="shared" si="60"/>
        <v>3906507.5911999987</v>
      </c>
      <c r="BJ115" s="308">
        <f t="shared" si="61"/>
        <v>3928310</v>
      </c>
      <c r="BK115" s="308">
        <f t="shared" si="62"/>
        <v>3928310</v>
      </c>
      <c r="BL115" s="308">
        <f t="shared" si="63"/>
        <v>3928310</v>
      </c>
      <c r="BN115" s="308">
        <f t="shared" si="71"/>
        <v>3869742.5303999996</v>
      </c>
      <c r="BO115" s="308">
        <f t="shared" si="72"/>
        <v>3878933.7955999994</v>
      </c>
      <c r="BP115" s="308">
        <f t="shared" si="73"/>
        <v>3888125.0607999992</v>
      </c>
      <c r="BQ115" s="308">
        <f t="shared" si="74"/>
        <v>3897316.325999999</v>
      </c>
      <c r="BR115" s="308">
        <f t="shared" si="75"/>
        <v>3906507.5911999987</v>
      </c>
      <c r="BS115" s="308">
        <f t="shared" si="76"/>
        <v>3928310</v>
      </c>
      <c r="BT115" s="308">
        <f t="shared" si="77"/>
        <v>3928310</v>
      </c>
      <c r="BU115" s="308">
        <f t="shared" si="64"/>
        <v>3928310</v>
      </c>
    </row>
    <row r="116" spans="1:73" ht="15" x14ac:dyDescent="0.2">
      <c r="A116" s="62" t="s">
        <v>114</v>
      </c>
      <c r="B116" s="55" t="s">
        <v>8</v>
      </c>
      <c r="C116" s="55"/>
      <c r="D116" s="55"/>
      <c r="E116" s="55"/>
      <c r="F116" s="55"/>
      <c r="G116" s="48">
        <v>4</v>
      </c>
      <c r="H116" s="55">
        <v>102</v>
      </c>
      <c r="I116" s="55">
        <f>INDEX('FY 22 OFA Shell'!$K$27:$K$195,MATCH(Data!H116,'FY 22 OFA Shell'!$H$27:$H$195,0))</f>
        <v>709.57</v>
      </c>
      <c r="J116" s="55">
        <f>INDEX('FY 22 OFA Shell'!$N$27:$N$195,MATCH(Data!H116,'FY 22 OFA Shell'!$H$27:$H$195,0))</f>
        <v>156</v>
      </c>
      <c r="K116" s="64">
        <f>INDEX('FY 22 OFA Shell'!$S$27:$S$195,MATCH(Data!H116,'FY 22 OFA Shell'!$H$27:$H$195,0))</f>
        <v>0</v>
      </c>
      <c r="L116" s="150">
        <f t="shared" si="53"/>
        <v>0.21985145933452652</v>
      </c>
      <c r="M116" s="149">
        <f>MAX(((L116-Inputs!$E$23)*Data!I116)*Inputs!$E$24,0)</f>
        <v>0</v>
      </c>
      <c r="N116" s="151">
        <f>INDEX('FY 22 OFA Shell'!$V$27:$V$195,MATCH(Data!H116,'FY 22 OFA Shell'!$H$27:$H$195,0))</f>
        <v>829466418.33000004</v>
      </c>
      <c r="O116" s="63">
        <f>INDEX('FY 22 OFA Shell'!$W$27:$W$195,MATCH(Data!H116,'FY 22 OFA Shell'!$H$27:$H$195,0))</f>
        <v>5242</v>
      </c>
      <c r="P116" s="65">
        <f>INDEX('FY 22 OFA Shell'!$Z$27:$Z$195,MATCH(Data!H116,'FY 22 OFA Shell'!$H$27:$H$195,0))</f>
        <v>76985</v>
      </c>
      <c r="Q116" s="63">
        <f>INDEX('FY 22 OFA Shell'!$AF$27:$AF$195,MATCH(Data!H116,'FY 22 OFA Shell'!$H$27:$H$195,0))</f>
        <v>0</v>
      </c>
      <c r="R116" s="66">
        <f>INDEX('FY 22 OFA Shell'!$AG$27:$AG$195,MATCH(Data!H116,'FY 22 OFA Shell'!$H$27:$H$195,0))</f>
        <v>0</v>
      </c>
      <c r="S116" s="66">
        <f>INDEX('FY 22 OFA Shell'!$AJ$27:$AJ$195,MATCH(Data!H116,'FY 22 OFA Shell'!$H$27:$H$195,0))</f>
        <v>0</v>
      </c>
      <c r="T116" s="66">
        <f>INDEX('FY 22 OFA Shell'!$AK$27:$AK$195,MATCH(Data!H116,'FY 22 OFA Shell'!$H$27:$H$195,0))</f>
        <v>0</v>
      </c>
      <c r="U116" s="135">
        <v>2834470</v>
      </c>
      <c r="V116" s="67">
        <f>ROUND(J116*Inputs!$E$22, 2)</f>
        <v>46.8</v>
      </c>
      <c r="W116" s="68">
        <f>I116+V116+K116*Inputs!$E$28+Data!M116</f>
        <v>756.37</v>
      </c>
      <c r="X116" s="69">
        <f t="shared" si="65"/>
        <v>158234.72</v>
      </c>
      <c r="Y116" s="70">
        <f>ROUND(X116/Inputs!$E$32, 6)</f>
        <v>0.82188399999999995</v>
      </c>
      <c r="Z116" s="70">
        <f>ROUND(P116/Inputs!$E$33, 6)</f>
        <v>0.63890999999999998</v>
      </c>
      <c r="AA116" s="59">
        <f>ROUND(1-((Y116*Inputs!$E$29)+Z116*Inputs!$E$27), 6)</f>
        <v>0.23300799999999999</v>
      </c>
      <c r="AB116" s="59">
        <v>220.32526207757792</v>
      </c>
      <c r="AC116" s="73">
        <f>INDEX('FY 22 OFA Shell'!$G$27:$G$195,MATCH(Data!H116,'FY 22 OFA Shell'!$H$27:$H$195,0))</f>
        <v>81</v>
      </c>
      <c r="AD116" s="73">
        <f t="shared" si="54"/>
        <v>5</v>
      </c>
      <c r="AE116" s="65">
        <v>2834470</v>
      </c>
      <c r="AF116" s="65">
        <f t="shared" si="66"/>
        <v>-803301</v>
      </c>
      <c r="AG116" s="65">
        <f t="shared" si="67"/>
        <v>-803301</v>
      </c>
      <c r="AH116" s="52">
        <v>2463810</v>
      </c>
      <c r="AI116" s="107">
        <v>2708663.5</v>
      </c>
      <c r="AJ116"/>
      <c r="AK116">
        <v>0</v>
      </c>
      <c r="AL116" s="165">
        <f>INDEX('FY 22 OFA Shell'!$AU$27:$AU$195,MATCH(Data!H116,'FY 22 OFA Shell'!$H$27:$H$195,0))</f>
        <v>2584204</v>
      </c>
      <c r="AM116" s="165">
        <f>Outputs!H121</f>
        <v>2031169</v>
      </c>
      <c r="AN116" s="165">
        <f>Outputs!G121+Outputs!D121+Outputs!F121</f>
        <v>2031169</v>
      </c>
      <c r="AO116" s="165">
        <v>2657840</v>
      </c>
      <c r="AP116" s="165">
        <f t="shared" si="68"/>
        <v>2708663.5</v>
      </c>
      <c r="AQ116" s="52" t="str">
        <f t="shared" si="69"/>
        <v>No</v>
      </c>
      <c r="AR116" s="308">
        <f>ABS(IF(AQ116="Yes",AF116*Inputs!$D$50,Data!AF116*Inputs!$D$51))</f>
        <v>0</v>
      </c>
      <c r="AS116" s="308">
        <f t="shared" si="55"/>
        <v>2584204</v>
      </c>
      <c r="AT116" s="308">
        <f t="shared" si="70"/>
        <v>2584204</v>
      </c>
      <c r="AU116" s="308"/>
      <c r="AV116" s="308">
        <f>ABS(IF($AQ116="Yes",$AF116*Inputs!E$50,Data!$AF116*Inputs!E$51))</f>
        <v>0</v>
      </c>
      <c r="AW116" s="308">
        <f>ABS(IF($AQ116="Yes",$AF116*Inputs!F$50,Data!$AF116*Inputs!F$51))</f>
        <v>66914.973299999998</v>
      </c>
      <c r="AX116" s="308">
        <f>ABS(IF($AQ116="Yes",$AF116*Inputs!G$50,Data!$AF116*Inputs!G$51))</f>
        <v>66914.973299999998</v>
      </c>
      <c r="AY116" s="308">
        <f>ABS(IF($AQ116="Yes",$AF116*Inputs!H$50,Data!$AF116*Inputs!H$51))</f>
        <v>66914.973299999998</v>
      </c>
      <c r="AZ116" s="308">
        <f>ABS(IF($AQ116="Yes",$AF116*Inputs!I$50,Data!$AF116*Inputs!I$51))</f>
        <v>66914.973299999998</v>
      </c>
      <c r="BA116" s="308">
        <f>ABS(IF($AQ116="Yes",$AF116*Inputs!J$50,Data!$AF116*Inputs!J$51))</f>
        <v>66914.973299999998</v>
      </c>
      <c r="BB116" s="308">
        <f>ABS(IF($AQ116="Yes",$AF116*Inputs!K$50,Data!$AF116*Inputs!K$51))</f>
        <v>66914.973299999998</v>
      </c>
      <c r="BC116" s="308">
        <f>ABS(IF($AQ116="Yes",$AF116*Inputs!L$50,Data!$AF116*Inputs!L$51))</f>
        <v>66914.973299999998</v>
      </c>
      <c r="BE116" s="308">
        <f t="shared" si="56"/>
        <v>2584204</v>
      </c>
      <c r="BF116" s="308">
        <f t="shared" si="57"/>
        <v>2517289.0266999998</v>
      </c>
      <c r="BG116" s="308">
        <f t="shared" si="58"/>
        <v>2450374.0533999996</v>
      </c>
      <c r="BH116" s="308">
        <f t="shared" si="59"/>
        <v>2383459.0800999994</v>
      </c>
      <c r="BI116" s="308">
        <f t="shared" si="60"/>
        <v>2316544.1067999993</v>
      </c>
      <c r="BJ116" s="308">
        <f t="shared" si="61"/>
        <v>2249629.1334999991</v>
      </c>
      <c r="BK116" s="308">
        <f t="shared" si="62"/>
        <v>2182714.1601999989</v>
      </c>
      <c r="BL116" s="308">
        <f t="shared" si="63"/>
        <v>2031169</v>
      </c>
      <c r="BN116" s="308">
        <f t="shared" si="71"/>
        <v>2584204</v>
      </c>
      <c r="BO116" s="308">
        <f t="shared" si="72"/>
        <v>2517289.0266999998</v>
      </c>
      <c r="BP116" s="308">
        <f t="shared" si="73"/>
        <v>2450374.0533999996</v>
      </c>
      <c r="BQ116" s="308">
        <f t="shared" si="74"/>
        <v>2383459.0800999994</v>
      </c>
      <c r="BR116" s="308">
        <f t="shared" si="75"/>
        <v>2316544.1067999993</v>
      </c>
      <c r="BS116" s="308">
        <f t="shared" si="76"/>
        <v>2249629.1334999991</v>
      </c>
      <c r="BT116" s="308">
        <f t="shared" si="77"/>
        <v>2182714.1601999989</v>
      </c>
      <c r="BU116" s="308">
        <f t="shared" si="64"/>
        <v>2031169</v>
      </c>
    </row>
    <row r="117" spans="1:73" ht="15" x14ac:dyDescent="0.2">
      <c r="A117" s="62" t="s">
        <v>115</v>
      </c>
      <c r="B117" s="55" t="s">
        <v>6</v>
      </c>
      <c r="C117" s="55">
        <v>1</v>
      </c>
      <c r="D117" s="55">
        <v>1</v>
      </c>
      <c r="E117" s="55">
        <v>1</v>
      </c>
      <c r="F117" s="55"/>
      <c r="G117" s="48">
        <v>3</v>
      </c>
      <c r="H117" s="55">
        <v>103</v>
      </c>
      <c r="I117" s="55">
        <f>INDEX('FY 22 OFA Shell'!$K$27:$K$195,MATCH(Data!H117,'FY 22 OFA Shell'!$H$27:$H$195,0))</f>
        <v>11932.34</v>
      </c>
      <c r="J117" s="55">
        <f>INDEX('FY 22 OFA Shell'!$N$27:$N$195,MATCH(Data!H117,'FY 22 OFA Shell'!$H$27:$H$195,0))</f>
        <v>7064</v>
      </c>
      <c r="K117" s="64">
        <f>INDEX('FY 22 OFA Shell'!$S$27:$S$195,MATCH(Data!H117,'FY 22 OFA Shell'!$H$27:$H$195,0))</f>
        <v>1972</v>
      </c>
      <c r="L117" s="150">
        <f t="shared" si="53"/>
        <v>0.59200458585658811</v>
      </c>
      <c r="M117" s="149">
        <f>MAX(((L117-Inputs!$E$23)*Data!I117)*Inputs!$E$24,0)</f>
        <v>0</v>
      </c>
      <c r="N117" s="151">
        <f>INDEX('FY 22 OFA Shell'!$V$27:$V$195,MATCH(Data!H117,'FY 22 OFA Shell'!$H$27:$H$195,0))</f>
        <v>19622013158.669998</v>
      </c>
      <c r="O117" s="63">
        <f>INDEX('FY 22 OFA Shell'!$W$27:$W$195,MATCH(Data!H117,'FY 22 OFA Shell'!$H$27:$H$195,0))</f>
        <v>88436</v>
      </c>
      <c r="P117" s="65">
        <f>INDEX('FY 22 OFA Shell'!$Z$27:$Z$195,MATCH(Data!H117,'FY 22 OFA Shell'!$H$27:$H$195,0))</f>
        <v>82474</v>
      </c>
      <c r="Q117" s="63">
        <f>INDEX('FY 22 OFA Shell'!$AF$27:$AF$195,MATCH(Data!H117,'FY 22 OFA Shell'!$H$27:$H$195,0))</f>
        <v>0</v>
      </c>
      <c r="R117" s="66">
        <f>INDEX('FY 22 OFA Shell'!$AG$27:$AG$195,MATCH(Data!H117,'FY 22 OFA Shell'!$H$27:$H$195,0))</f>
        <v>0</v>
      </c>
      <c r="S117" s="66">
        <f>INDEX('FY 22 OFA Shell'!$AJ$27:$AJ$195,MATCH(Data!H117,'FY 22 OFA Shell'!$H$27:$H$195,0))</f>
        <v>0</v>
      </c>
      <c r="T117" s="66">
        <f>INDEX('FY 22 OFA Shell'!$AK$27:$AK$195,MATCH(Data!H117,'FY 22 OFA Shell'!$H$27:$H$195,0))</f>
        <v>0</v>
      </c>
      <c r="U117" s="135">
        <v>11243340</v>
      </c>
      <c r="V117" s="67">
        <f>ROUND(J117*Inputs!$E$22, 2)</f>
        <v>2119.1999999999998</v>
      </c>
      <c r="W117" s="68">
        <f>I117+V117+K117*Inputs!$E$28+Data!M117</f>
        <v>14544.54</v>
      </c>
      <c r="X117" s="69">
        <f t="shared" si="65"/>
        <v>221878.12</v>
      </c>
      <c r="Y117" s="70">
        <f>ROUND(X117/Inputs!$E$32, 6)</f>
        <v>1.1524529999999999</v>
      </c>
      <c r="Z117" s="70">
        <f>ROUND(P117/Inputs!$E$33, 6)</f>
        <v>0.68446399999999996</v>
      </c>
      <c r="AA117" s="59">
        <f>ROUND(1-((Y117*Inputs!$E$29)+Z117*Inputs!$E$27), 6)</f>
        <v>-1.2056000000000001E-2</v>
      </c>
      <c r="AB117" s="59">
        <v>216.86953070095581</v>
      </c>
      <c r="AC117" s="73">
        <f>INDEX('FY 22 OFA Shell'!$G$27:$G$195,MATCH(Data!H117,'FY 22 OFA Shell'!$H$27:$H$195,0))</f>
        <v>96</v>
      </c>
      <c r="AD117" s="73">
        <f t="shared" si="54"/>
        <v>5</v>
      </c>
      <c r="AE117" s="65">
        <v>11243340</v>
      </c>
      <c r="AF117" s="65">
        <f t="shared" si="66"/>
        <v>5519242</v>
      </c>
      <c r="AG117" s="65">
        <f t="shared" si="67"/>
        <v>5519242</v>
      </c>
      <c r="AH117" s="52">
        <v>11050993</v>
      </c>
      <c r="AI117" s="107">
        <v>11439364.649</v>
      </c>
      <c r="AJ117">
        <v>11</v>
      </c>
      <c r="AK117">
        <v>13997.367266344889</v>
      </c>
      <c r="AL117" s="165">
        <f>INDEX('FY 22 OFA Shell'!$AU$27:$AU$195,MATCH(Data!H117,'FY 22 OFA Shell'!$H$27:$H$195,0))</f>
        <v>12590479</v>
      </c>
      <c r="AM117" s="165">
        <f>Outputs!H122</f>
        <v>16762582</v>
      </c>
      <c r="AN117" s="165">
        <f>Outputs!G122+Outputs!D122+Outputs!F122</f>
        <v>16762582</v>
      </c>
      <c r="AO117" s="165">
        <v>11982529</v>
      </c>
      <c r="AP117" s="165">
        <f t="shared" si="68"/>
        <v>11453362.016266346</v>
      </c>
      <c r="AQ117" s="52" t="str">
        <f t="shared" si="69"/>
        <v>Yes</v>
      </c>
      <c r="AR117" s="308">
        <f>ABS(IF(AQ117="Yes",AF117*Inputs!$D$50,Data!AF117*Inputs!$D$51))</f>
        <v>588351.19720000005</v>
      </c>
      <c r="AS117" s="308">
        <f t="shared" si="55"/>
        <v>13178830.1972</v>
      </c>
      <c r="AT117" s="308">
        <f t="shared" si="70"/>
        <v>13178830.1972</v>
      </c>
      <c r="AU117" s="308"/>
      <c r="AV117" s="308">
        <f>ABS(IF($AQ117="Yes",$AF117*Inputs!E$50,Data!$AF117*Inputs!E$51))</f>
        <v>588351.19720000005</v>
      </c>
      <c r="AW117" s="308">
        <f>ABS(IF($AQ117="Yes",$AF117*Inputs!F$50,Data!$AF117*Inputs!F$51))</f>
        <v>588351.19720000005</v>
      </c>
      <c r="AX117" s="308">
        <f>ABS(IF($AQ117="Yes",$AF117*Inputs!G$50,Data!$AF117*Inputs!G$51))</f>
        <v>588351.19720000005</v>
      </c>
      <c r="AY117" s="308">
        <f>ABS(IF($AQ117="Yes",$AF117*Inputs!H$50,Data!$AF117*Inputs!H$51))</f>
        <v>588351.19720000005</v>
      </c>
      <c r="AZ117" s="308">
        <f>ABS(IF($AQ117="Yes",$AF117*Inputs!I$50,Data!$AF117*Inputs!I$51))</f>
        <v>588351.19720000005</v>
      </c>
      <c r="BA117" s="308">
        <f>ABS(IF($AQ117="Yes",$AF117*Inputs!J$50,Data!$AF117*Inputs!J$51))</f>
        <v>588351.19720000005</v>
      </c>
      <c r="BB117" s="308">
        <f>ABS(IF($AQ117="Yes",$AF117*Inputs!K$50,Data!$AF117*Inputs!K$51))</f>
        <v>0</v>
      </c>
      <c r="BC117" s="308">
        <f>ABS(IF($AQ117="Yes",$AF117*Inputs!L$50,Data!$AF117*Inputs!L$51))</f>
        <v>0</v>
      </c>
      <c r="BE117" s="308">
        <f t="shared" si="56"/>
        <v>13767181.394400001</v>
      </c>
      <c r="BF117" s="308">
        <f t="shared" si="57"/>
        <v>14355532.591600001</v>
      </c>
      <c r="BG117" s="308">
        <f t="shared" si="58"/>
        <v>14943883.788800001</v>
      </c>
      <c r="BH117" s="308">
        <f t="shared" si="59"/>
        <v>15532234.986000001</v>
      </c>
      <c r="BI117" s="308">
        <f t="shared" si="60"/>
        <v>16120586.183200002</v>
      </c>
      <c r="BJ117" s="308">
        <f t="shared" si="61"/>
        <v>16762582</v>
      </c>
      <c r="BK117" s="308">
        <f t="shared" si="62"/>
        <v>16762582</v>
      </c>
      <c r="BL117" s="308">
        <f t="shared" si="63"/>
        <v>16762582</v>
      </c>
      <c r="BN117" s="308">
        <f t="shared" si="71"/>
        <v>13767181.394400001</v>
      </c>
      <c r="BO117" s="308">
        <f t="shared" si="72"/>
        <v>14355532.591600001</v>
      </c>
      <c r="BP117" s="308">
        <f t="shared" si="73"/>
        <v>14943883.788800001</v>
      </c>
      <c r="BQ117" s="308">
        <f t="shared" si="74"/>
        <v>15532234.986000001</v>
      </c>
      <c r="BR117" s="308">
        <f t="shared" si="75"/>
        <v>16120586.183200002</v>
      </c>
      <c r="BS117" s="308">
        <f t="shared" si="76"/>
        <v>16762582</v>
      </c>
      <c r="BT117" s="308">
        <f t="shared" si="77"/>
        <v>16762582</v>
      </c>
      <c r="BU117" s="308">
        <f t="shared" si="64"/>
        <v>16762582</v>
      </c>
    </row>
    <row r="118" spans="1:73" ht="15" x14ac:dyDescent="0.2">
      <c r="A118" s="62" t="s">
        <v>116</v>
      </c>
      <c r="B118" s="55" t="s">
        <v>6</v>
      </c>
      <c r="C118" s="55">
        <v>1</v>
      </c>
      <c r="D118" s="55">
        <v>1</v>
      </c>
      <c r="E118" s="55">
        <v>0</v>
      </c>
      <c r="F118" s="55">
        <v>1</v>
      </c>
      <c r="G118" s="48">
        <v>10</v>
      </c>
      <c r="H118" s="55">
        <v>104</v>
      </c>
      <c r="I118" s="55">
        <f>INDEX('FY 22 OFA Shell'!$K$27:$K$195,MATCH(Data!H118,'FY 22 OFA Shell'!$H$27:$H$195,0))</f>
        <v>5078.3100000000004</v>
      </c>
      <c r="J118" s="55">
        <f>INDEX('FY 22 OFA Shell'!$N$27:$N$195,MATCH(Data!H118,'FY 22 OFA Shell'!$H$27:$H$195,0))</f>
        <v>3373</v>
      </c>
      <c r="K118" s="64">
        <f>INDEX('FY 22 OFA Shell'!$S$27:$S$195,MATCH(Data!H118,'FY 22 OFA Shell'!$H$27:$H$195,0))</f>
        <v>815</v>
      </c>
      <c r="L118" s="150">
        <f t="shared" si="53"/>
        <v>0.664197341241476</v>
      </c>
      <c r="M118" s="149">
        <f>MAX(((L118-Inputs!$E$23)*Data!I118)*Inputs!$E$24,0)</f>
        <v>48.902100000000019</v>
      </c>
      <c r="N118" s="151">
        <f>INDEX('FY 22 OFA Shell'!$V$27:$V$195,MATCH(Data!H118,'FY 22 OFA Shell'!$H$27:$H$195,0))</f>
        <v>2784442113.6700001</v>
      </c>
      <c r="O118" s="63">
        <f>INDEX('FY 22 OFA Shell'!$W$27:$W$195,MATCH(Data!H118,'FY 22 OFA Shell'!$H$27:$H$195,0))</f>
        <v>39567</v>
      </c>
      <c r="P118" s="65">
        <f>INDEX('FY 22 OFA Shell'!$Z$27:$Z$195,MATCH(Data!H118,'FY 22 OFA Shell'!$H$27:$H$195,0))</f>
        <v>55391</v>
      </c>
      <c r="Q118" s="63">
        <f>INDEX('FY 22 OFA Shell'!$AF$27:$AF$195,MATCH(Data!H118,'FY 22 OFA Shell'!$H$27:$H$195,0))</f>
        <v>0</v>
      </c>
      <c r="R118" s="66">
        <f>INDEX('FY 22 OFA Shell'!$AG$27:$AG$195,MATCH(Data!H118,'FY 22 OFA Shell'!$H$27:$H$195,0))</f>
        <v>0</v>
      </c>
      <c r="S118" s="66">
        <f>INDEX('FY 22 OFA Shell'!$AJ$27:$AJ$195,MATCH(Data!H118,'FY 22 OFA Shell'!$H$27:$H$195,0))</f>
        <v>1462</v>
      </c>
      <c r="T118" s="66">
        <f>INDEX('FY 22 OFA Shell'!$AK$27:$AK$195,MATCH(Data!H118,'FY 22 OFA Shell'!$H$27:$H$195,0))</f>
        <v>4</v>
      </c>
      <c r="U118" s="135">
        <v>36209664</v>
      </c>
      <c r="V118" s="67">
        <f>ROUND(J118*Inputs!$E$22, 2)</f>
        <v>1011.9</v>
      </c>
      <c r="W118" s="68">
        <f>I118+V118+K118*Inputs!$E$28+Data!M118</f>
        <v>6342.8621000000003</v>
      </c>
      <c r="X118" s="69">
        <f t="shared" si="65"/>
        <v>70372.84</v>
      </c>
      <c r="Y118" s="70">
        <f>ROUND(X118/Inputs!$E$32, 6)</f>
        <v>0.36552200000000001</v>
      </c>
      <c r="Z118" s="70">
        <f>ROUND(P118/Inputs!$E$33, 6)</f>
        <v>0.459698</v>
      </c>
      <c r="AA118" s="59">
        <f>ROUND(1-((Y118*Inputs!$E$29)+Z118*Inputs!$E$27), 6)</f>
        <v>0.60622500000000001</v>
      </c>
      <c r="AB118" s="59">
        <v>326.89782761852621</v>
      </c>
      <c r="AC118" s="73">
        <f>INDEX('FY 22 OFA Shell'!$G$27:$G$195,MATCH(Data!H118,'FY 22 OFA Shell'!$H$27:$H$195,0))</f>
        <v>7</v>
      </c>
      <c r="AD118" s="73">
        <f t="shared" si="54"/>
        <v>2</v>
      </c>
      <c r="AE118" s="65">
        <v>36209664</v>
      </c>
      <c r="AF118" s="65">
        <f t="shared" si="66"/>
        <v>12346158</v>
      </c>
      <c r="AG118" s="65">
        <f t="shared" si="67"/>
        <v>12346158</v>
      </c>
      <c r="AH118" s="52">
        <v>35959664</v>
      </c>
      <c r="AI118" s="107">
        <v>36719420.608000003</v>
      </c>
      <c r="AJ118">
        <v>46</v>
      </c>
      <c r="AK118">
        <v>58534.444931987717</v>
      </c>
      <c r="AL118" s="165">
        <f>INDEX('FY 22 OFA Shell'!$AU$27:$AU$195,MATCH(Data!H118,'FY 22 OFA Shell'!$H$27:$H$195,0))</f>
        <v>39228238</v>
      </c>
      <c r="AM118" s="165">
        <f>Outputs!H123</f>
        <v>48555822</v>
      </c>
      <c r="AN118" s="165">
        <f>Outputs!G123+Outputs!D123+Outputs!F123</f>
        <v>48555822</v>
      </c>
      <c r="AO118" s="165">
        <v>37983728</v>
      </c>
      <c r="AP118" s="165">
        <f t="shared" si="68"/>
        <v>36777955.052931994</v>
      </c>
      <c r="AQ118" s="52" t="str">
        <f t="shared" si="69"/>
        <v>Yes</v>
      </c>
      <c r="AR118" s="308">
        <f>ABS(IF(AQ118="Yes",AF118*Inputs!$D$50,Data!AF118*Inputs!$D$51))</f>
        <v>1316100.4428000001</v>
      </c>
      <c r="AS118" s="308">
        <f t="shared" si="55"/>
        <v>40544338.4428</v>
      </c>
      <c r="AT118" s="308">
        <f t="shared" si="70"/>
        <v>40544338.4428</v>
      </c>
      <c r="AU118" s="308"/>
      <c r="AV118" s="308">
        <f>ABS(IF($AQ118="Yes",$AF118*Inputs!E$50,Data!$AF118*Inputs!E$51))</f>
        <v>1316100.4428000001</v>
      </c>
      <c r="AW118" s="308">
        <f>ABS(IF($AQ118="Yes",$AF118*Inputs!F$50,Data!$AF118*Inputs!F$51))</f>
        <v>1316100.4428000001</v>
      </c>
      <c r="AX118" s="308">
        <f>ABS(IF($AQ118="Yes",$AF118*Inputs!G$50,Data!$AF118*Inputs!G$51))</f>
        <v>1316100.4428000001</v>
      </c>
      <c r="AY118" s="308">
        <f>ABS(IF($AQ118="Yes",$AF118*Inputs!H$50,Data!$AF118*Inputs!H$51))</f>
        <v>1316100.4428000001</v>
      </c>
      <c r="AZ118" s="308">
        <f>ABS(IF($AQ118="Yes",$AF118*Inputs!I$50,Data!$AF118*Inputs!I$51))</f>
        <v>1316100.4428000001</v>
      </c>
      <c r="BA118" s="308">
        <f>ABS(IF($AQ118="Yes",$AF118*Inputs!J$50,Data!$AF118*Inputs!J$51))</f>
        <v>1316100.4428000001</v>
      </c>
      <c r="BB118" s="308">
        <f>ABS(IF($AQ118="Yes",$AF118*Inputs!K$50,Data!$AF118*Inputs!K$51))</f>
        <v>0</v>
      </c>
      <c r="BC118" s="308">
        <f>ABS(IF($AQ118="Yes",$AF118*Inputs!L$50,Data!$AF118*Inputs!L$51))</f>
        <v>0</v>
      </c>
      <c r="BE118" s="308">
        <f t="shared" si="56"/>
        <v>41860438.885600001</v>
      </c>
      <c r="BF118" s="308">
        <f t="shared" si="57"/>
        <v>43176539.328400001</v>
      </c>
      <c r="BG118" s="308">
        <f t="shared" si="58"/>
        <v>44492639.771200001</v>
      </c>
      <c r="BH118" s="308">
        <f t="shared" si="59"/>
        <v>45808740.214000002</v>
      </c>
      <c r="BI118" s="308">
        <f t="shared" si="60"/>
        <v>47124840.656800002</v>
      </c>
      <c r="BJ118" s="308">
        <f t="shared" si="61"/>
        <v>48555822</v>
      </c>
      <c r="BK118" s="308">
        <f t="shared" si="62"/>
        <v>48555822</v>
      </c>
      <c r="BL118" s="308">
        <f t="shared" si="63"/>
        <v>48555822</v>
      </c>
      <c r="BN118" s="308">
        <f t="shared" si="71"/>
        <v>41860438.885600001</v>
      </c>
      <c r="BO118" s="308">
        <f t="shared" si="72"/>
        <v>43176539.328400001</v>
      </c>
      <c r="BP118" s="308">
        <f t="shared" si="73"/>
        <v>44492639.771200001</v>
      </c>
      <c r="BQ118" s="308">
        <f t="shared" si="74"/>
        <v>45808740.214000002</v>
      </c>
      <c r="BR118" s="308">
        <f t="shared" si="75"/>
        <v>47124840.656800002</v>
      </c>
      <c r="BS118" s="308">
        <f t="shared" si="76"/>
        <v>48555822</v>
      </c>
      <c r="BT118" s="308">
        <f t="shared" si="77"/>
        <v>48555822</v>
      </c>
      <c r="BU118" s="308">
        <f t="shared" si="64"/>
        <v>48555822</v>
      </c>
    </row>
    <row r="119" spans="1:73" ht="15" x14ac:dyDescent="0.2">
      <c r="A119" s="62" t="s">
        <v>117</v>
      </c>
      <c r="B119" s="55" t="s">
        <v>4</v>
      </c>
      <c r="C119" s="55"/>
      <c r="D119" s="55"/>
      <c r="E119" s="55"/>
      <c r="F119" s="55"/>
      <c r="G119" s="48">
        <v>2</v>
      </c>
      <c r="H119" s="55">
        <v>105</v>
      </c>
      <c r="I119" s="55">
        <f>INDEX('FY 22 OFA Shell'!$K$27:$K$195,MATCH(Data!H119,'FY 22 OFA Shell'!$H$27:$H$195,0))</f>
        <v>1045.92</v>
      </c>
      <c r="J119" s="55">
        <f>INDEX('FY 22 OFA Shell'!$N$27:$N$195,MATCH(Data!H119,'FY 22 OFA Shell'!$H$27:$H$195,0))</f>
        <v>197</v>
      </c>
      <c r="K119" s="64">
        <f>INDEX('FY 22 OFA Shell'!$S$27:$S$195,MATCH(Data!H119,'FY 22 OFA Shell'!$H$27:$H$195,0))</f>
        <v>24</v>
      </c>
      <c r="L119" s="150">
        <f t="shared" si="53"/>
        <v>0.18835092550099433</v>
      </c>
      <c r="M119" s="149">
        <f>MAX(((L119-Inputs!$E$23)*Data!I119)*Inputs!$E$24,0)</f>
        <v>0</v>
      </c>
      <c r="N119" s="151">
        <f>INDEX('FY 22 OFA Shell'!$V$27:$V$195,MATCH(Data!H119,'FY 22 OFA Shell'!$H$27:$H$195,0))</f>
        <v>2305620831.6700001</v>
      </c>
      <c r="O119" s="63">
        <f>INDEX('FY 22 OFA Shell'!$W$27:$W$195,MATCH(Data!H119,'FY 22 OFA Shell'!$H$27:$H$195,0))</f>
        <v>7431</v>
      </c>
      <c r="P119" s="65">
        <f>INDEX('FY 22 OFA Shell'!$Z$27:$Z$195,MATCH(Data!H119,'FY 22 OFA Shell'!$H$27:$H$195,0))</f>
        <v>92383</v>
      </c>
      <c r="Q119" s="63">
        <f>INDEX('FY 22 OFA Shell'!$AF$27:$AF$195,MATCH(Data!H119,'FY 22 OFA Shell'!$H$27:$H$195,0))</f>
        <v>1044</v>
      </c>
      <c r="R119" s="66">
        <f>INDEX('FY 22 OFA Shell'!$AG$27:$AG$195,MATCH(Data!H119,'FY 22 OFA Shell'!$H$27:$H$195,0))</f>
        <v>13</v>
      </c>
      <c r="S119" s="66">
        <f>INDEX('FY 22 OFA Shell'!$AJ$27:$AJ$195,MATCH(Data!H119,'FY 22 OFA Shell'!$H$27:$H$195,0))</f>
        <v>0</v>
      </c>
      <c r="T119" s="66">
        <f>INDEX('FY 22 OFA Shell'!$AK$27:$AK$195,MATCH(Data!H119,'FY 22 OFA Shell'!$H$27:$H$195,0))</f>
        <v>0</v>
      </c>
      <c r="U119" s="135">
        <v>247462</v>
      </c>
      <c r="V119" s="67">
        <f>ROUND(J119*Inputs!$E$22, 2)</f>
        <v>59.1</v>
      </c>
      <c r="W119" s="68">
        <f>I119+V119+K119*Inputs!$E$28+Data!M119</f>
        <v>1111.02</v>
      </c>
      <c r="X119" s="69">
        <f t="shared" si="65"/>
        <v>310270.59999999998</v>
      </c>
      <c r="Y119" s="70">
        <f>ROUND(X119/Inputs!$E$32, 6)</f>
        <v>1.6115710000000001</v>
      </c>
      <c r="Z119" s="70">
        <f>ROUND(P119/Inputs!$E$33, 6)</f>
        <v>0.76670000000000005</v>
      </c>
      <c r="AA119" s="59">
        <f>ROUND(1-((Y119*Inputs!$E$29)+Z119*Inputs!$E$27), 6)</f>
        <v>-0.35810999999999998</v>
      </c>
      <c r="AB119" s="59">
        <v>175.62480793298397</v>
      </c>
      <c r="AC119" s="73">
        <f>INDEX('FY 22 OFA Shell'!$G$27:$G$195,MATCH(Data!H119,'FY 22 OFA Shell'!$H$27:$H$195,0))</f>
        <v>144</v>
      </c>
      <c r="AD119" s="73">
        <f t="shared" si="54"/>
        <v>5</v>
      </c>
      <c r="AE119" s="65">
        <v>247462</v>
      </c>
      <c r="AF119" s="65">
        <f t="shared" si="66"/>
        <v>1237783</v>
      </c>
      <c r="AG119" s="65">
        <f t="shared" si="67"/>
        <v>1237783</v>
      </c>
      <c r="AH119" s="52">
        <v>205447</v>
      </c>
      <c r="AI119" s="107">
        <v>241512</v>
      </c>
      <c r="AJ119">
        <v>1</v>
      </c>
      <c r="AK119">
        <v>1272.4879333040808</v>
      </c>
      <c r="AL119" s="165">
        <f>INDEX('FY 22 OFA Shell'!$AU$27:$AU$195,MATCH(Data!H119,'FY 22 OFA Shell'!$H$27:$H$195,0))</f>
        <v>238583</v>
      </c>
      <c r="AM119" s="165">
        <f>Outputs!H124</f>
        <v>1485245</v>
      </c>
      <c r="AN119" s="165">
        <f>Outputs!G124+Outputs!D124+Outputs!F124</f>
        <v>1485245</v>
      </c>
      <c r="AO119" s="165">
        <v>239884</v>
      </c>
      <c r="AP119" s="165">
        <f t="shared" si="68"/>
        <v>242784.48793330407</v>
      </c>
      <c r="AQ119" s="52" t="str">
        <f t="shared" si="69"/>
        <v>Yes</v>
      </c>
      <c r="AR119" s="308">
        <f>ABS(IF(AQ119="Yes",AF119*Inputs!$D$50,Data!AF119*Inputs!$D$51))</f>
        <v>131947.6678</v>
      </c>
      <c r="AS119" s="308">
        <f t="shared" si="55"/>
        <v>370530.6678</v>
      </c>
      <c r="AT119" s="308">
        <f t="shared" si="70"/>
        <v>370530.6678</v>
      </c>
      <c r="AU119" s="308"/>
      <c r="AV119" s="308">
        <f>ABS(IF($AQ119="Yes",$AF119*Inputs!E$50,Data!$AF119*Inputs!E$51))</f>
        <v>131947.6678</v>
      </c>
      <c r="AW119" s="308">
        <f>ABS(IF($AQ119="Yes",$AF119*Inputs!F$50,Data!$AF119*Inputs!F$51))</f>
        <v>131947.6678</v>
      </c>
      <c r="AX119" s="308">
        <f>ABS(IF($AQ119="Yes",$AF119*Inputs!G$50,Data!$AF119*Inputs!G$51))</f>
        <v>131947.6678</v>
      </c>
      <c r="AY119" s="308">
        <f>ABS(IF($AQ119="Yes",$AF119*Inputs!H$50,Data!$AF119*Inputs!H$51))</f>
        <v>131947.6678</v>
      </c>
      <c r="AZ119" s="308">
        <f>ABS(IF($AQ119="Yes",$AF119*Inputs!I$50,Data!$AF119*Inputs!I$51))</f>
        <v>131947.6678</v>
      </c>
      <c r="BA119" s="308">
        <f>ABS(IF($AQ119="Yes",$AF119*Inputs!J$50,Data!$AF119*Inputs!J$51))</f>
        <v>131947.6678</v>
      </c>
      <c r="BB119" s="308">
        <f>ABS(IF($AQ119="Yes",$AF119*Inputs!K$50,Data!$AF119*Inputs!K$51))</f>
        <v>0</v>
      </c>
      <c r="BC119" s="308">
        <f>ABS(IF($AQ119="Yes",$AF119*Inputs!L$50,Data!$AF119*Inputs!L$51))</f>
        <v>0</v>
      </c>
      <c r="BE119" s="308">
        <f t="shared" si="56"/>
        <v>502478.33559999999</v>
      </c>
      <c r="BF119" s="308">
        <f t="shared" si="57"/>
        <v>634426.00340000005</v>
      </c>
      <c r="BG119" s="308">
        <f t="shared" si="58"/>
        <v>766373.67119999998</v>
      </c>
      <c r="BH119" s="308">
        <f t="shared" si="59"/>
        <v>898321.33899999992</v>
      </c>
      <c r="BI119" s="308">
        <f t="shared" si="60"/>
        <v>1030269.0067999999</v>
      </c>
      <c r="BJ119" s="308">
        <f t="shared" si="61"/>
        <v>1485245</v>
      </c>
      <c r="BK119" s="308">
        <f t="shared" si="62"/>
        <v>1485245</v>
      </c>
      <c r="BL119" s="308">
        <f t="shared" si="63"/>
        <v>1485245</v>
      </c>
      <c r="BN119" s="308">
        <f t="shared" si="71"/>
        <v>502478.33559999999</v>
      </c>
      <c r="BO119" s="308">
        <f t="shared" si="72"/>
        <v>634426.00340000005</v>
      </c>
      <c r="BP119" s="308">
        <f t="shared" si="73"/>
        <v>766373.67119999998</v>
      </c>
      <c r="BQ119" s="308">
        <f t="shared" si="74"/>
        <v>898321.33899999992</v>
      </c>
      <c r="BR119" s="308">
        <f t="shared" si="75"/>
        <v>1030269.0067999999</v>
      </c>
      <c r="BS119" s="308">
        <f t="shared" si="76"/>
        <v>1485245</v>
      </c>
      <c r="BT119" s="308">
        <f t="shared" si="77"/>
        <v>1485245</v>
      </c>
      <c r="BU119" s="308">
        <f t="shared" si="64"/>
        <v>1485245</v>
      </c>
    </row>
    <row r="120" spans="1:73" ht="15" x14ac:dyDescent="0.2">
      <c r="A120" s="62" t="s">
        <v>118</v>
      </c>
      <c r="B120" s="55" t="s">
        <v>14</v>
      </c>
      <c r="C120" s="55"/>
      <c r="D120" s="55"/>
      <c r="E120" s="55"/>
      <c r="F120" s="55"/>
      <c r="G120" s="48">
        <v>2</v>
      </c>
      <c r="H120" s="55">
        <v>106</v>
      </c>
      <c r="I120" s="55">
        <f>INDEX('FY 22 OFA Shell'!$K$27:$K$195,MATCH(Data!H120,'FY 22 OFA Shell'!$H$27:$H$195,0))</f>
        <v>1052.2</v>
      </c>
      <c r="J120" s="55">
        <f>INDEX('FY 22 OFA Shell'!$N$27:$N$195,MATCH(Data!H120,'FY 22 OFA Shell'!$H$27:$H$195,0))</f>
        <v>280</v>
      </c>
      <c r="K120" s="64">
        <f>INDEX('FY 22 OFA Shell'!$S$27:$S$195,MATCH(Data!H120,'FY 22 OFA Shell'!$H$27:$H$195,0))</f>
        <v>69</v>
      </c>
      <c r="L120" s="150">
        <f t="shared" si="53"/>
        <v>0.26610910473294047</v>
      </c>
      <c r="M120" s="149">
        <f>MAX(((L120-Inputs!$E$23)*Data!I120)*Inputs!$E$24,0)</f>
        <v>0</v>
      </c>
      <c r="N120" s="151">
        <f>INDEX('FY 22 OFA Shell'!$V$27:$V$195,MATCH(Data!H120,'FY 22 OFA Shell'!$H$27:$H$195,0))</f>
        <v>3245522279</v>
      </c>
      <c r="O120" s="63">
        <f>INDEX('FY 22 OFA Shell'!$W$27:$W$195,MATCH(Data!H120,'FY 22 OFA Shell'!$H$27:$H$195,0))</f>
        <v>10118</v>
      </c>
      <c r="P120" s="65">
        <f>INDEX('FY 22 OFA Shell'!$Z$27:$Z$195,MATCH(Data!H120,'FY 22 OFA Shell'!$H$27:$H$195,0))</f>
        <v>81411</v>
      </c>
      <c r="Q120" s="63">
        <f>INDEX('FY 22 OFA Shell'!$AF$27:$AF$195,MATCH(Data!H120,'FY 22 OFA Shell'!$H$27:$H$195,0))</f>
        <v>0</v>
      </c>
      <c r="R120" s="66">
        <f>INDEX('FY 22 OFA Shell'!$AG$27:$AG$195,MATCH(Data!H120,'FY 22 OFA Shell'!$H$27:$H$195,0))</f>
        <v>0</v>
      </c>
      <c r="S120" s="66">
        <f>INDEX('FY 22 OFA Shell'!$AJ$27:$AJ$195,MATCH(Data!H120,'FY 22 OFA Shell'!$H$27:$H$195,0))</f>
        <v>0</v>
      </c>
      <c r="T120" s="66">
        <f>INDEX('FY 22 OFA Shell'!$AK$27:$AK$195,MATCH(Data!H120,'FY 22 OFA Shell'!$H$27:$H$195,0))</f>
        <v>0</v>
      </c>
      <c r="U120" s="135">
        <v>122907</v>
      </c>
      <c r="V120" s="67">
        <f>ROUND(J120*Inputs!$E$22, 2)</f>
        <v>84</v>
      </c>
      <c r="W120" s="68">
        <f>I120+V120+K120*Inputs!$E$28+Data!M120</f>
        <v>1153.45</v>
      </c>
      <c r="X120" s="69">
        <f t="shared" si="65"/>
        <v>320767.18</v>
      </c>
      <c r="Y120" s="70">
        <f>ROUND(X120/Inputs!$E$32, 6)</f>
        <v>1.666091</v>
      </c>
      <c r="Z120" s="70">
        <f>ROUND(P120/Inputs!$E$33, 6)</f>
        <v>0.67564199999999996</v>
      </c>
      <c r="AA120" s="59">
        <f>ROUND(1-((Y120*Inputs!$E$29)+Z120*Inputs!$E$27), 6)</f>
        <v>-0.36895600000000001</v>
      </c>
      <c r="AB120" s="59">
        <v>187.09752729331314</v>
      </c>
      <c r="AC120" s="73">
        <f>INDEX('FY 22 OFA Shell'!$G$27:$G$195,MATCH(Data!H120,'FY 22 OFA Shell'!$H$27:$H$195,0))</f>
        <v>139</v>
      </c>
      <c r="AD120" s="73">
        <f t="shared" si="54"/>
        <v>5</v>
      </c>
      <c r="AE120" s="65">
        <v>122907</v>
      </c>
      <c r="AF120" s="65">
        <f t="shared" si="66"/>
        <v>10028</v>
      </c>
      <c r="AG120" s="65">
        <f t="shared" si="67"/>
        <v>10028</v>
      </c>
      <c r="AH120" s="52">
        <v>98302</v>
      </c>
      <c r="AI120" s="107">
        <v>124074.065</v>
      </c>
      <c r="AJ120">
        <v>1</v>
      </c>
      <c r="AK120">
        <v>1272.4879333040808</v>
      </c>
      <c r="AL120" s="165">
        <f>INDEX('FY 22 OFA Shell'!$AU$27:$AU$195,MATCH(Data!H120,'FY 22 OFA Shell'!$H$27:$H$195,0))</f>
        <v>129714</v>
      </c>
      <c r="AM120" s="165">
        <f>Outputs!H125</f>
        <v>132935</v>
      </c>
      <c r="AN120" s="165">
        <f>Outputs!G125+Outputs!D125+Outputs!F125</f>
        <v>132935</v>
      </c>
      <c r="AO120" s="165">
        <v>127089</v>
      </c>
      <c r="AP120" s="165">
        <f t="shared" si="68"/>
        <v>125346.55293330408</v>
      </c>
      <c r="AQ120" s="52" t="str">
        <f t="shared" si="69"/>
        <v>Yes</v>
      </c>
      <c r="AR120" s="308">
        <f>ABS(IF(AQ120="Yes",AF120*Inputs!$D$50,Data!AF120*Inputs!$D$51))</f>
        <v>1068.9848</v>
      </c>
      <c r="AS120" s="308">
        <f t="shared" si="55"/>
        <v>130782.98480000001</v>
      </c>
      <c r="AT120" s="308">
        <f t="shared" si="70"/>
        <v>130782.98480000001</v>
      </c>
      <c r="AU120" s="308"/>
      <c r="AV120" s="308">
        <f>ABS(IF($AQ120="Yes",$AF120*Inputs!E$50,Data!$AF120*Inputs!E$51))</f>
        <v>1068.9848</v>
      </c>
      <c r="AW120" s="308">
        <f>ABS(IF($AQ120="Yes",$AF120*Inputs!F$50,Data!$AF120*Inputs!F$51))</f>
        <v>1068.9848</v>
      </c>
      <c r="AX120" s="308">
        <f>ABS(IF($AQ120="Yes",$AF120*Inputs!G$50,Data!$AF120*Inputs!G$51))</f>
        <v>1068.9848</v>
      </c>
      <c r="AY120" s="308">
        <f>ABS(IF($AQ120="Yes",$AF120*Inputs!H$50,Data!$AF120*Inputs!H$51))</f>
        <v>1068.9848</v>
      </c>
      <c r="AZ120" s="308">
        <f>ABS(IF($AQ120="Yes",$AF120*Inputs!I$50,Data!$AF120*Inputs!I$51))</f>
        <v>1068.9848</v>
      </c>
      <c r="BA120" s="308">
        <f>ABS(IF($AQ120="Yes",$AF120*Inputs!J$50,Data!$AF120*Inputs!J$51))</f>
        <v>1068.9848</v>
      </c>
      <c r="BB120" s="308">
        <f>ABS(IF($AQ120="Yes",$AF120*Inputs!K$50,Data!$AF120*Inputs!K$51))</f>
        <v>0</v>
      </c>
      <c r="BC120" s="308">
        <f>ABS(IF($AQ120="Yes",$AF120*Inputs!L$50,Data!$AF120*Inputs!L$51))</f>
        <v>0</v>
      </c>
      <c r="BE120" s="308">
        <f t="shared" si="56"/>
        <v>131851.96960000001</v>
      </c>
      <c r="BF120" s="308">
        <f t="shared" si="57"/>
        <v>132920.95440000002</v>
      </c>
      <c r="BG120" s="308">
        <f t="shared" si="58"/>
        <v>133989.93920000002</v>
      </c>
      <c r="BH120" s="308">
        <f t="shared" si="59"/>
        <v>135058.92400000003</v>
      </c>
      <c r="BI120" s="308">
        <f t="shared" si="60"/>
        <v>136127.90880000003</v>
      </c>
      <c r="BJ120" s="308">
        <f t="shared" si="61"/>
        <v>132935</v>
      </c>
      <c r="BK120" s="308">
        <f t="shared" si="62"/>
        <v>132935</v>
      </c>
      <c r="BL120" s="308">
        <f t="shared" si="63"/>
        <v>132935</v>
      </c>
      <c r="BN120" s="308">
        <f t="shared" si="71"/>
        <v>131851.96960000001</v>
      </c>
      <c r="BO120" s="308">
        <f t="shared" si="72"/>
        <v>132920.95440000002</v>
      </c>
      <c r="BP120" s="308">
        <f t="shared" si="73"/>
        <v>133989.93920000002</v>
      </c>
      <c r="BQ120" s="308">
        <f t="shared" si="74"/>
        <v>135058.92400000003</v>
      </c>
      <c r="BR120" s="308">
        <f t="shared" si="75"/>
        <v>136127.90880000003</v>
      </c>
      <c r="BS120" s="308">
        <f t="shared" si="76"/>
        <v>132935</v>
      </c>
      <c r="BT120" s="308">
        <f t="shared" si="77"/>
        <v>132935</v>
      </c>
      <c r="BU120" s="308">
        <f t="shared" si="64"/>
        <v>132935</v>
      </c>
    </row>
    <row r="121" spans="1:73" ht="15" x14ac:dyDescent="0.2">
      <c r="A121" s="62" t="s">
        <v>119</v>
      </c>
      <c r="B121" s="55" t="s">
        <v>10</v>
      </c>
      <c r="C121" s="55"/>
      <c r="D121" s="55"/>
      <c r="E121" s="55"/>
      <c r="F121" s="55"/>
      <c r="G121" s="48">
        <v>3</v>
      </c>
      <c r="H121" s="55">
        <v>107</v>
      </c>
      <c r="I121" s="55">
        <f>INDEX('FY 22 OFA Shell'!$K$27:$K$195,MATCH(Data!H121,'FY 22 OFA Shell'!$H$27:$H$195,0))</f>
        <v>2310.44</v>
      </c>
      <c r="J121" s="55">
        <f>INDEX('FY 22 OFA Shell'!$N$27:$N$195,MATCH(Data!H121,'FY 22 OFA Shell'!$H$27:$H$195,0))</f>
        <v>316</v>
      </c>
      <c r="K121" s="64">
        <f>INDEX('FY 22 OFA Shell'!$S$27:$S$195,MATCH(Data!H121,'FY 22 OFA Shell'!$H$27:$H$195,0))</f>
        <v>72</v>
      </c>
      <c r="L121" s="150">
        <f t="shared" si="53"/>
        <v>0.13677048527553193</v>
      </c>
      <c r="M121" s="149">
        <f>MAX(((L121-Inputs!$E$23)*Data!I121)*Inputs!$E$24,0)</f>
        <v>0</v>
      </c>
      <c r="N121" s="151">
        <f>INDEX('FY 22 OFA Shell'!$V$27:$V$195,MATCH(Data!H121,'FY 22 OFA Shell'!$H$27:$H$195,0))</f>
        <v>3050518712</v>
      </c>
      <c r="O121" s="63">
        <f>INDEX('FY 22 OFA Shell'!$W$27:$W$195,MATCH(Data!H121,'FY 22 OFA Shell'!$H$27:$H$195,0))</f>
        <v>13937</v>
      </c>
      <c r="P121" s="65">
        <f>INDEX('FY 22 OFA Shell'!$Z$27:$Z$195,MATCH(Data!H121,'FY 22 OFA Shell'!$H$27:$H$195,0))</f>
        <v>117215</v>
      </c>
      <c r="Q121" s="63">
        <f>INDEX('FY 22 OFA Shell'!$AF$27:$AF$195,MATCH(Data!H121,'FY 22 OFA Shell'!$H$27:$H$195,0))</f>
        <v>1095</v>
      </c>
      <c r="R121" s="66">
        <f>INDEX('FY 22 OFA Shell'!$AG$27:$AG$195,MATCH(Data!H121,'FY 22 OFA Shell'!$H$27:$H$195,0))</f>
        <v>6</v>
      </c>
      <c r="S121" s="66">
        <f>INDEX('FY 22 OFA Shell'!$AJ$27:$AJ$195,MATCH(Data!H121,'FY 22 OFA Shell'!$H$27:$H$195,0))</f>
        <v>0</v>
      </c>
      <c r="T121" s="66">
        <f>INDEX('FY 22 OFA Shell'!$AK$27:$AK$195,MATCH(Data!H121,'FY 22 OFA Shell'!$H$27:$H$195,0))</f>
        <v>0</v>
      </c>
      <c r="U121" s="135">
        <v>1509226</v>
      </c>
      <c r="V121" s="67">
        <f>ROUND(J121*Inputs!$E$22, 2)</f>
        <v>94.8</v>
      </c>
      <c r="W121" s="68">
        <f>I121+V121+K121*Inputs!$E$28+Data!M121</f>
        <v>2423.2400000000002</v>
      </c>
      <c r="X121" s="69">
        <f t="shared" si="65"/>
        <v>218879.15</v>
      </c>
      <c r="Y121" s="70">
        <f>ROUND(X121/Inputs!$E$32, 6)</f>
        <v>1.136876</v>
      </c>
      <c r="Z121" s="70">
        <f>ROUND(P121/Inputs!$E$33, 6)</f>
        <v>0.97278500000000001</v>
      </c>
      <c r="AA121" s="59">
        <f>ROUND(1-((Y121*Inputs!$E$29)+Z121*Inputs!$E$27), 6)</f>
        <v>-8.7649000000000005E-2</v>
      </c>
      <c r="AB121" s="59">
        <v>209.56575932676759</v>
      </c>
      <c r="AC121" s="73">
        <f>INDEX('FY 22 OFA Shell'!$G$27:$G$195,MATCH(Data!H121,'FY 22 OFA Shell'!$H$27:$H$195,0))</f>
        <v>131</v>
      </c>
      <c r="AD121" s="73">
        <f t="shared" si="54"/>
        <v>5</v>
      </c>
      <c r="AE121" s="65">
        <v>1509226</v>
      </c>
      <c r="AF121" s="65">
        <f t="shared" si="66"/>
        <v>-572948</v>
      </c>
      <c r="AG121" s="65">
        <f t="shared" si="67"/>
        <v>-572948</v>
      </c>
      <c r="AH121" s="52">
        <v>1298813</v>
      </c>
      <c r="AI121" s="107">
        <v>1212214</v>
      </c>
      <c r="AJ121">
        <v>1</v>
      </c>
      <c r="AK121">
        <v>1272.4879333040808</v>
      </c>
      <c r="AL121" s="165">
        <f>INDEX('FY 22 OFA Shell'!$AU$27:$AU$195,MATCH(Data!H121,'FY 22 OFA Shell'!$H$27:$H$195,0))</f>
        <v>1015498</v>
      </c>
      <c r="AM121" s="165">
        <f>Outputs!H126</f>
        <v>936278</v>
      </c>
      <c r="AN121" s="165">
        <f>Outputs!G126+Outputs!D126+Outputs!F126</f>
        <v>936278</v>
      </c>
      <c r="AO121" s="165">
        <v>1113619</v>
      </c>
      <c r="AP121" s="165">
        <f t="shared" si="68"/>
        <v>1213486.4879333042</v>
      </c>
      <c r="AQ121" s="52" t="str">
        <f t="shared" si="69"/>
        <v>No</v>
      </c>
      <c r="AR121" s="308">
        <f>ABS(IF(AQ121="Yes",AF121*Inputs!$D$50,Data!AF121*Inputs!$D$51))</f>
        <v>0</v>
      </c>
      <c r="AS121" s="308">
        <f t="shared" si="55"/>
        <v>1015498</v>
      </c>
      <c r="AT121" s="308">
        <f t="shared" si="70"/>
        <v>1015498</v>
      </c>
      <c r="AU121" s="308"/>
      <c r="AV121" s="308">
        <f>ABS(IF($AQ121="Yes",$AF121*Inputs!E$50,Data!$AF121*Inputs!E$51))</f>
        <v>0</v>
      </c>
      <c r="AW121" s="308">
        <f>ABS(IF($AQ121="Yes",$AF121*Inputs!F$50,Data!$AF121*Inputs!F$51))</f>
        <v>47726.568399999996</v>
      </c>
      <c r="AX121" s="308">
        <f>ABS(IF($AQ121="Yes",$AF121*Inputs!G$50,Data!$AF121*Inputs!G$51))</f>
        <v>47726.568399999996</v>
      </c>
      <c r="AY121" s="308">
        <f>ABS(IF($AQ121="Yes",$AF121*Inputs!H$50,Data!$AF121*Inputs!H$51))</f>
        <v>47726.568399999996</v>
      </c>
      <c r="AZ121" s="308">
        <f>ABS(IF($AQ121="Yes",$AF121*Inputs!I$50,Data!$AF121*Inputs!I$51))</f>
        <v>47726.568399999996</v>
      </c>
      <c r="BA121" s="308">
        <f>ABS(IF($AQ121="Yes",$AF121*Inputs!J$50,Data!$AF121*Inputs!J$51))</f>
        <v>47726.568399999996</v>
      </c>
      <c r="BB121" s="308">
        <f>ABS(IF($AQ121="Yes",$AF121*Inputs!K$50,Data!$AF121*Inputs!K$51))</f>
        <v>47726.568399999996</v>
      </c>
      <c r="BC121" s="308">
        <f>ABS(IF($AQ121="Yes",$AF121*Inputs!L$50,Data!$AF121*Inputs!L$51))</f>
        <v>47726.568399999996</v>
      </c>
      <c r="BE121" s="308">
        <f t="shared" si="56"/>
        <v>1015498</v>
      </c>
      <c r="BF121" s="308">
        <f t="shared" si="57"/>
        <v>967771.43160000001</v>
      </c>
      <c r="BG121" s="308">
        <f t="shared" si="58"/>
        <v>920044.86320000002</v>
      </c>
      <c r="BH121" s="308">
        <f t="shared" si="59"/>
        <v>872318.29480000003</v>
      </c>
      <c r="BI121" s="308">
        <f t="shared" si="60"/>
        <v>824591.72640000004</v>
      </c>
      <c r="BJ121" s="308">
        <f t="shared" si="61"/>
        <v>776865.15800000005</v>
      </c>
      <c r="BK121" s="308">
        <f t="shared" si="62"/>
        <v>729138.58960000006</v>
      </c>
      <c r="BL121" s="308">
        <f t="shared" si="63"/>
        <v>936278</v>
      </c>
      <c r="BN121" s="308">
        <f t="shared" si="71"/>
        <v>1015498</v>
      </c>
      <c r="BO121" s="308">
        <f t="shared" si="72"/>
        <v>967771.43160000001</v>
      </c>
      <c r="BP121" s="308">
        <f t="shared" si="73"/>
        <v>920044.86320000002</v>
      </c>
      <c r="BQ121" s="308">
        <f t="shared" si="74"/>
        <v>872318.29480000003</v>
      </c>
      <c r="BR121" s="308">
        <f t="shared" si="75"/>
        <v>824591.72640000004</v>
      </c>
      <c r="BS121" s="308">
        <f t="shared" si="76"/>
        <v>776865.15800000005</v>
      </c>
      <c r="BT121" s="308">
        <f t="shared" si="77"/>
        <v>729138.58960000006</v>
      </c>
      <c r="BU121" s="308">
        <f t="shared" si="64"/>
        <v>936278</v>
      </c>
    </row>
    <row r="122" spans="1:73" ht="15" x14ac:dyDescent="0.2">
      <c r="A122" s="62" t="s">
        <v>120</v>
      </c>
      <c r="B122" s="55" t="s">
        <v>4</v>
      </c>
      <c r="C122" s="55"/>
      <c r="D122" s="55"/>
      <c r="E122" s="55"/>
      <c r="F122" s="55"/>
      <c r="G122" s="48">
        <v>3</v>
      </c>
      <c r="H122" s="55">
        <v>108</v>
      </c>
      <c r="I122" s="55">
        <f>INDEX('FY 22 OFA Shell'!$K$27:$K$195,MATCH(Data!H122,'FY 22 OFA Shell'!$H$27:$H$195,0))</f>
        <v>1681.03</v>
      </c>
      <c r="J122" s="55">
        <f>INDEX('FY 22 OFA Shell'!$N$27:$N$195,MATCH(Data!H122,'FY 22 OFA Shell'!$H$27:$H$195,0))</f>
        <v>224</v>
      </c>
      <c r="K122" s="64">
        <f>INDEX('FY 22 OFA Shell'!$S$27:$S$195,MATCH(Data!H122,'FY 22 OFA Shell'!$H$27:$H$195,0))</f>
        <v>39</v>
      </c>
      <c r="L122" s="150">
        <f t="shared" si="53"/>
        <v>0.13325163738898177</v>
      </c>
      <c r="M122" s="149">
        <f>MAX(((L122-Inputs!$E$23)*Data!I122)*Inputs!$E$24,0)</f>
        <v>0</v>
      </c>
      <c r="N122" s="151">
        <f>INDEX('FY 22 OFA Shell'!$V$27:$V$195,MATCH(Data!H122,'FY 22 OFA Shell'!$H$27:$H$195,0))</f>
        <v>2275743653.6700001</v>
      </c>
      <c r="O122" s="63">
        <f>INDEX('FY 22 OFA Shell'!$W$27:$W$195,MATCH(Data!H122,'FY 22 OFA Shell'!$H$27:$H$195,0))</f>
        <v>13022</v>
      </c>
      <c r="P122" s="65">
        <f>INDEX('FY 22 OFA Shell'!$Z$27:$Z$195,MATCH(Data!H122,'FY 22 OFA Shell'!$H$27:$H$195,0))</f>
        <v>106047</v>
      </c>
      <c r="Q122" s="63">
        <f>INDEX('FY 22 OFA Shell'!$AF$27:$AF$195,MATCH(Data!H122,'FY 22 OFA Shell'!$H$27:$H$195,0))</f>
        <v>0</v>
      </c>
      <c r="R122" s="66">
        <f>INDEX('FY 22 OFA Shell'!$AG$27:$AG$195,MATCH(Data!H122,'FY 22 OFA Shell'!$H$27:$H$195,0))</f>
        <v>0</v>
      </c>
      <c r="S122" s="66">
        <f>INDEX('FY 22 OFA Shell'!$AJ$27:$AJ$195,MATCH(Data!H122,'FY 22 OFA Shell'!$H$27:$H$195,0))</f>
        <v>0</v>
      </c>
      <c r="T122" s="66">
        <f>INDEX('FY 22 OFA Shell'!$AK$27:$AK$195,MATCH(Data!H122,'FY 22 OFA Shell'!$H$27:$H$195,0))</f>
        <v>0</v>
      </c>
      <c r="U122" s="135">
        <v>4528763</v>
      </c>
      <c r="V122" s="67">
        <f>ROUND(J122*Inputs!$E$22, 2)</f>
        <v>67.2</v>
      </c>
      <c r="W122" s="68">
        <f>I122+V122+K122*Inputs!$E$28+Data!M122</f>
        <v>1757.98</v>
      </c>
      <c r="X122" s="69">
        <f t="shared" si="65"/>
        <v>174761.45</v>
      </c>
      <c r="Y122" s="70">
        <f>ROUND(X122/Inputs!$E$32, 6)</f>
        <v>0.907725</v>
      </c>
      <c r="Z122" s="70">
        <f>ROUND(P122/Inputs!$E$33, 6)</f>
        <v>0.88009999999999999</v>
      </c>
      <c r="AA122" s="59">
        <f>ROUND(1-((Y122*Inputs!$E$29)+Z122*Inputs!$E$27), 6)</f>
        <v>0.100563</v>
      </c>
      <c r="AB122" s="59">
        <v>214.2460462924617</v>
      </c>
      <c r="AC122" s="73">
        <f>INDEX('FY 22 OFA Shell'!$G$27:$G$195,MATCH(Data!H122,'FY 22 OFA Shell'!$H$27:$H$195,0))</f>
        <v>126</v>
      </c>
      <c r="AD122" s="73">
        <f t="shared" si="54"/>
        <v>5</v>
      </c>
      <c r="AE122" s="65">
        <v>4528763</v>
      </c>
      <c r="AF122" s="65">
        <f t="shared" si="66"/>
        <v>-2491284</v>
      </c>
      <c r="AG122" s="65">
        <f t="shared" si="67"/>
        <v>-2491284</v>
      </c>
      <c r="AH122" s="52">
        <v>3937717</v>
      </c>
      <c r="AI122" s="107">
        <v>4049342.25</v>
      </c>
      <c r="AJ122"/>
      <c r="AK122">
        <v>0</v>
      </c>
      <c r="AL122" s="165">
        <f>INDEX('FY 22 OFA Shell'!$AU$27:$AU$195,MATCH(Data!H122,'FY 22 OFA Shell'!$H$27:$H$195,0))</f>
        <v>3677011</v>
      </c>
      <c r="AM122" s="165">
        <f>Outputs!H127</f>
        <v>2037479</v>
      </c>
      <c r="AN122" s="165">
        <f>Outputs!G127+Outputs!D127+Outputs!F127</f>
        <v>2037479</v>
      </c>
      <c r="AO122" s="165">
        <v>3874150</v>
      </c>
      <c r="AP122" s="165">
        <f t="shared" si="68"/>
        <v>4049342.25</v>
      </c>
      <c r="AQ122" s="52" t="str">
        <f t="shared" si="69"/>
        <v>No</v>
      </c>
      <c r="AR122" s="308">
        <f>ABS(IF(AQ122="Yes",AF122*Inputs!$D$50,Data!AF122*Inputs!$D$51))</f>
        <v>0</v>
      </c>
      <c r="AS122" s="308">
        <f t="shared" si="55"/>
        <v>3677011</v>
      </c>
      <c r="AT122" s="308">
        <f t="shared" si="70"/>
        <v>3677011</v>
      </c>
      <c r="AU122" s="308"/>
      <c r="AV122" s="308">
        <f>ABS(IF($AQ122="Yes",$AF122*Inputs!E$50,Data!$AF122*Inputs!E$51))</f>
        <v>0</v>
      </c>
      <c r="AW122" s="308">
        <f>ABS(IF($AQ122="Yes",$AF122*Inputs!F$50,Data!$AF122*Inputs!F$51))</f>
        <v>207523.9572</v>
      </c>
      <c r="AX122" s="308">
        <f>ABS(IF($AQ122="Yes",$AF122*Inputs!G$50,Data!$AF122*Inputs!G$51))</f>
        <v>207523.9572</v>
      </c>
      <c r="AY122" s="308">
        <f>ABS(IF($AQ122="Yes",$AF122*Inputs!H$50,Data!$AF122*Inputs!H$51))</f>
        <v>207523.9572</v>
      </c>
      <c r="AZ122" s="308">
        <f>ABS(IF($AQ122="Yes",$AF122*Inputs!I$50,Data!$AF122*Inputs!I$51))</f>
        <v>207523.9572</v>
      </c>
      <c r="BA122" s="308">
        <f>ABS(IF($AQ122="Yes",$AF122*Inputs!J$50,Data!$AF122*Inputs!J$51))</f>
        <v>207523.9572</v>
      </c>
      <c r="BB122" s="308">
        <f>ABS(IF($AQ122="Yes",$AF122*Inputs!K$50,Data!$AF122*Inputs!K$51))</f>
        <v>207523.9572</v>
      </c>
      <c r="BC122" s="308">
        <f>ABS(IF($AQ122="Yes",$AF122*Inputs!L$50,Data!$AF122*Inputs!L$51))</f>
        <v>207523.9572</v>
      </c>
      <c r="BE122" s="308">
        <f t="shared" si="56"/>
        <v>3677011</v>
      </c>
      <c r="BF122" s="308">
        <f t="shared" si="57"/>
        <v>3469487.0427999999</v>
      </c>
      <c r="BG122" s="308">
        <f t="shared" si="58"/>
        <v>3261963.0855999999</v>
      </c>
      <c r="BH122" s="308">
        <f t="shared" si="59"/>
        <v>3054439.1283999998</v>
      </c>
      <c r="BI122" s="308">
        <f t="shared" si="60"/>
        <v>2846915.1711999997</v>
      </c>
      <c r="BJ122" s="308">
        <f t="shared" si="61"/>
        <v>2639391.2139999997</v>
      </c>
      <c r="BK122" s="308">
        <f t="shared" si="62"/>
        <v>2431867.2567999996</v>
      </c>
      <c r="BL122" s="308">
        <f t="shared" si="63"/>
        <v>2037479</v>
      </c>
      <c r="BN122" s="308">
        <f t="shared" si="71"/>
        <v>3677011</v>
      </c>
      <c r="BO122" s="308">
        <f t="shared" si="72"/>
        <v>3469487.0427999999</v>
      </c>
      <c r="BP122" s="308">
        <f t="shared" si="73"/>
        <v>3261963.0855999999</v>
      </c>
      <c r="BQ122" s="308">
        <f t="shared" si="74"/>
        <v>3054439.1283999998</v>
      </c>
      <c r="BR122" s="308">
        <f t="shared" si="75"/>
        <v>2846915.1711999997</v>
      </c>
      <c r="BS122" s="308">
        <f t="shared" si="76"/>
        <v>2639391.2139999997</v>
      </c>
      <c r="BT122" s="308">
        <f t="shared" si="77"/>
        <v>2431867.2567999996</v>
      </c>
      <c r="BU122" s="308">
        <f t="shared" si="64"/>
        <v>2037479</v>
      </c>
    </row>
    <row r="123" spans="1:73" ht="15" x14ac:dyDescent="0.2">
      <c r="A123" s="62" t="s">
        <v>121</v>
      </c>
      <c r="B123" s="55" t="s">
        <v>19</v>
      </c>
      <c r="C123" s="55"/>
      <c r="D123" s="55"/>
      <c r="E123" s="55"/>
      <c r="F123" s="55"/>
      <c r="G123" s="48">
        <v>9</v>
      </c>
      <c r="H123" s="55">
        <v>109</v>
      </c>
      <c r="I123" s="55">
        <f>INDEX('FY 22 OFA Shell'!$K$27:$K$195,MATCH(Data!H123,'FY 22 OFA Shell'!$H$27:$H$195,0))</f>
        <v>2006</v>
      </c>
      <c r="J123" s="55">
        <f>INDEX('FY 22 OFA Shell'!$N$27:$N$195,MATCH(Data!H123,'FY 22 OFA Shell'!$H$27:$H$195,0))</f>
        <v>1148</v>
      </c>
      <c r="K123" s="64">
        <f>INDEX('FY 22 OFA Shell'!$S$27:$S$195,MATCH(Data!H123,'FY 22 OFA Shell'!$H$27:$H$195,0))</f>
        <v>37</v>
      </c>
      <c r="L123" s="150">
        <f t="shared" si="53"/>
        <v>0.57228315054835488</v>
      </c>
      <c r="M123" s="149">
        <f>MAX(((L123-Inputs!$E$23)*Data!I123)*Inputs!$E$24,0)</f>
        <v>0</v>
      </c>
      <c r="N123" s="151">
        <f>INDEX('FY 22 OFA Shell'!$V$27:$V$195,MATCH(Data!H123,'FY 22 OFA Shell'!$H$27:$H$195,0))</f>
        <v>1489193576.3299999</v>
      </c>
      <c r="O123" s="63">
        <f>INDEX('FY 22 OFA Shell'!$W$27:$W$195,MATCH(Data!H123,'FY 22 OFA Shell'!$H$27:$H$195,0))</f>
        <v>15114</v>
      </c>
      <c r="P123" s="65">
        <f>INDEX('FY 22 OFA Shell'!$Z$27:$Z$195,MATCH(Data!H123,'FY 22 OFA Shell'!$H$27:$H$195,0))</f>
        <v>67551</v>
      </c>
      <c r="Q123" s="63">
        <f>INDEX('FY 22 OFA Shell'!$AF$27:$AF$195,MATCH(Data!H123,'FY 22 OFA Shell'!$H$27:$H$195,0))</f>
        <v>0</v>
      </c>
      <c r="R123" s="66">
        <f>INDEX('FY 22 OFA Shell'!$AG$27:$AG$195,MATCH(Data!H123,'FY 22 OFA Shell'!$H$27:$H$195,0))</f>
        <v>0</v>
      </c>
      <c r="S123" s="66">
        <f>INDEX('FY 22 OFA Shell'!$AJ$27:$AJ$195,MATCH(Data!H123,'FY 22 OFA Shell'!$H$27:$H$195,0))</f>
        <v>0</v>
      </c>
      <c r="T123" s="66">
        <f>INDEX('FY 22 OFA Shell'!$AK$27:$AK$195,MATCH(Data!H123,'FY 22 OFA Shell'!$H$27:$H$195,0))</f>
        <v>0</v>
      </c>
      <c r="U123" s="135">
        <v>15364444</v>
      </c>
      <c r="V123" s="67">
        <f>ROUND(J123*Inputs!$E$22, 2)</f>
        <v>344.4</v>
      </c>
      <c r="W123" s="68">
        <f>I123+V123+K123*Inputs!$E$28+Data!M123</f>
        <v>2359.65</v>
      </c>
      <c r="X123" s="69">
        <f t="shared" si="65"/>
        <v>98530.74</v>
      </c>
      <c r="Y123" s="70">
        <f>ROUND(X123/Inputs!$E$32, 6)</f>
        <v>0.51177700000000004</v>
      </c>
      <c r="Z123" s="70">
        <f>ROUND(P123/Inputs!$E$33, 6)</f>
        <v>0.560616</v>
      </c>
      <c r="AA123" s="59">
        <f>ROUND(1-((Y123*Inputs!$E$29)+Z123*Inputs!$E$27), 6)</f>
        <v>0.47357100000000002</v>
      </c>
      <c r="AB123" s="59">
        <v>297.07958910896031</v>
      </c>
      <c r="AC123" s="73">
        <f>INDEX('FY 22 OFA Shell'!$G$27:$G$195,MATCH(Data!H123,'FY 22 OFA Shell'!$H$27:$H$195,0))</f>
        <v>23</v>
      </c>
      <c r="AD123" s="73">
        <f t="shared" si="54"/>
        <v>5</v>
      </c>
      <c r="AE123" s="65">
        <v>15364444</v>
      </c>
      <c r="AF123" s="65">
        <f t="shared" si="66"/>
        <v>-2485697</v>
      </c>
      <c r="AG123" s="65">
        <f t="shared" si="67"/>
        <v>-2485697</v>
      </c>
      <c r="AH123" s="52">
        <v>13331630</v>
      </c>
      <c r="AI123" s="107">
        <v>15163177</v>
      </c>
      <c r="AJ123"/>
      <c r="AK123">
        <v>0</v>
      </c>
      <c r="AL123" s="165">
        <f>INDEX('FY 22 OFA Shell'!$AU$27:$AU$195,MATCH(Data!H123,'FY 22 OFA Shell'!$H$27:$H$195,0))</f>
        <v>14990047</v>
      </c>
      <c r="AM123" s="165">
        <f>Outputs!H128</f>
        <v>12878747</v>
      </c>
      <c r="AN123" s="165">
        <f>Outputs!G128+Outputs!D128+Outputs!F128</f>
        <v>12878747</v>
      </c>
      <c r="AO123" s="165">
        <v>15049019</v>
      </c>
      <c r="AP123" s="165">
        <f t="shared" si="68"/>
        <v>15163177</v>
      </c>
      <c r="AQ123" s="52" t="str">
        <f t="shared" si="69"/>
        <v>No</v>
      </c>
      <c r="AR123" s="308">
        <f>ABS(IF(AQ123="Yes",AF123*Inputs!$D$50,Data!AF123*Inputs!$D$51))</f>
        <v>0</v>
      </c>
      <c r="AS123" s="308">
        <f t="shared" si="55"/>
        <v>14990047</v>
      </c>
      <c r="AT123" s="308">
        <f t="shared" si="70"/>
        <v>14990047</v>
      </c>
      <c r="AU123" s="308"/>
      <c r="AV123" s="308">
        <f>ABS(IF($AQ123="Yes",$AF123*Inputs!E$50,Data!$AF123*Inputs!E$51))</f>
        <v>0</v>
      </c>
      <c r="AW123" s="308">
        <f>ABS(IF($AQ123="Yes",$AF123*Inputs!F$50,Data!$AF123*Inputs!F$51))</f>
        <v>207058.5601</v>
      </c>
      <c r="AX123" s="308">
        <f>ABS(IF($AQ123="Yes",$AF123*Inputs!G$50,Data!$AF123*Inputs!G$51))</f>
        <v>207058.5601</v>
      </c>
      <c r="AY123" s="308">
        <f>ABS(IF($AQ123="Yes",$AF123*Inputs!H$50,Data!$AF123*Inputs!H$51))</f>
        <v>207058.5601</v>
      </c>
      <c r="AZ123" s="308">
        <f>ABS(IF($AQ123="Yes",$AF123*Inputs!I$50,Data!$AF123*Inputs!I$51))</f>
        <v>207058.5601</v>
      </c>
      <c r="BA123" s="308">
        <f>ABS(IF($AQ123="Yes",$AF123*Inputs!J$50,Data!$AF123*Inputs!J$51))</f>
        <v>207058.5601</v>
      </c>
      <c r="BB123" s="308">
        <f>ABS(IF($AQ123="Yes",$AF123*Inputs!K$50,Data!$AF123*Inputs!K$51))</f>
        <v>207058.5601</v>
      </c>
      <c r="BC123" s="308">
        <f>ABS(IF($AQ123="Yes",$AF123*Inputs!L$50,Data!$AF123*Inputs!L$51))</f>
        <v>207058.5601</v>
      </c>
      <c r="BE123" s="308">
        <f t="shared" si="56"/>
        <v>14990047</v>
      </c>
      <c r="BF123" s="308">
        <f t="shared" si="57"/>
        <v>14782988.4399</v>
      </c>
      <c r="BG123" s="308">
        <f t="shared" si="58"/>
        <v>14575929.879799999</v>
      </c>
      <c r="BH123" s="308">
        <f t="shared" si="59"/>
        <v>14368871.319699999</v>
      </c>
      <c r="BI123" s="308">
        <f t="shared" si="60"/>
        <v>14161812.759599999</v>
      </c>
      <c r="BJ123" s="308">
        <f t="shared" si="61"/>
        <v>13954754.199499998</v>
      </c>
      <c r="BK123" s="308">
        <f t="shared" si="62"/>
        <v>13747695.639399998</v>
      </c>
      <c r="BL123" s="308">
        <f t="shared" si="63"/>
        <v>12878747</v>
      </c>
      <c r="BN123" s="308">
        <f t="shared" si="71"/>
        <v>14990047</v>
      </c>
      <c r="BO123" s="308">
        <f t="shared" si="72"/>
        <v>14782988.4399</v>
      </c>
      <c r="BP123" s="308">
        <f t="shared" si="73"/>
        <v>14575929.879799999</v>
      </c>
      <c r="BQ123" s="308">
        <f t="shared" si="74"/>
        <v>14368871.319699999</v>
      </c>
      <c r="BR123" s="308">
        <f t="shared" si="75"/>
        <v>14161812.759599999</v>
      </c>
      <c r="BS123" s="308">
        <f t="shared" si="76"/>
        <v>13954754.199499998</v>
      </c>
      <c r="BT123" s="308">
        <f t="shared" si="77"/>
        <v>13747695.639399998</v>
      </c>
      <c r="BU123" s="308">
        <f t="shared" si="64"/>
        <v>12878747</v>
      </c>
    </row>
    <row r="124" spans="1:73" ht="15" x14ac:dyDescent="0.2">
      <c r="A124" s="62" t="s">
        <v>122</v>
      </c>
      <c r="B124" s="55" t="s">
        <v>32</v>
      </c>
      <c r="C124" s="55"/>
      <c r="D124" s="55"/>
      <c r="E124" s="55"/>
      <c r="F124" s="55"/>
      <c r="G124" s="48">
        <v>8</v>
      </c>
      <c r="H124" s="55">
        <v>110</v>
      </c>
      <c r="I124" s="55">
        <f>INDEX('FY 22 OFA Shell'!$K$27:$K$195,MATCH(Data!H124,'FY 22 OFA Shell'!$H$27:$H$195,0))</f>
        <v>2217.0300000000002</v>
      </c>
      <c r="J124" s="55">
        <f>INDEX('FY 22 OFA Shell'!$N$27:$N$195,MATCH(Data!H124,'FY 22 OFA Shell'!$H$27:$H$195,0))</f>
        <v>854</v>
      </c>
      <c r="K124" s="64">
        <f>INDEX('FY 22 OFA Shell'!$S$27:$S$195,MATCH(Data!H124,'FY 22 OFA Shell'!$H$27:$H$195,0))</f>
        <v>162</v>
      </c>
      <c r="L124" s="150">
        <f t="shared" si="53"/>
        <v>0.38520001984637103</v>
      </c>
      <c r="M124" s="149">
        <f>MAX(((L124-Inputs!$E$23)*Data!I124)*Inputs!$E$24,0)</f>
        <v>0</v>
      </c>
      <c r="N124" s="151">
        <f>INDEX('FY 22 OFA Shell'!$V$27:$V$195,MATCH(Data!H124,'FY 22 OFA Shell'!$H$27:$H$195,0))</f>
        <v>2046165809.3299999</v>
      </c>
      <c r="O124" s="63">
        <f>INDEX('FY 22 OFA Shell'!$W$27:$W$195,MATCH(Data!H124,'FY 22 OFA Shell'!$H$27:$H$195,0))</f>
        <v>17720</v>
      </c>
      <c r="P124" s="65">
        <f>INDEX('FY 22 OFA Shell'!$Z$27:$Z$195,MATCH(Data!H124,'FY 22 OFA Shell'!$H$27:$H$195,0))</f>
        <v>65553</v>
      </c>
      <c r="Q124" s="63">
        <f>INDEX('FY 22 OFA Shell'!$AF$27:$AF$195,MATCH(Data!H124,'FY 22 OFA Shell'!$H$27:$H$195,0))</f>
        <v>0</v>
      </c>
      <c r="R124" s="66">
        <f>INDEX('FY 22 OFA Shell'!$AG$27:$AG$195,MATCH(Data!H124,'FY 22 OFA Shell'!$H$27:$H$195,0))</f>
        <v>0</v>
      </c>
      <c r="S124" s="66">
        <f>INDEX('FY 22 OFA Shell'!$AJ$27:$AJ$195,MATCH(Data!H124,'FY 22 OFA Shell'!$H$27:$H$195,0))</f>
        <v>0</v>
      </c>
      <c r="T124" s="66">
        <f>INDEX('FY 22 OFA Shell'!$AK$27:$AK$195,MATCH(Data!H124,'FY 22 OFA Shell'!$H$27:$H$195,0))</f>
        <v>0</v>
      </c>
      <c r="U124" s="135">
        <v>10272197</v>
      </c>
      <c r="V124" s="67">
        <f>ROUND(J124*Inputs!$E$22, 2)</f>
        <v>256.2</v>
      </c>
      <c r="W124" s="68">
        <f>I124+V124+K124*Inputs!$E$28+Data!M124</f>
        <v>2513.73</v>
      </c>
      <c r="X124" s="69">
        <f t="shared" si="65"/>
        <v>115472.11</v>
      </c>
      <c r="Y124" s="70">
        <f>ROUND(X124/Inputs!$E$32, 6)</f>
        <v>0.59977199999999997</v>
      </c>
      <c r="Z124" s="70">
        <f>ROUND(P124/Inputs!$E$33, 6)</f>
        <v>0.54403400000000002</v>
      </c>
      <c r="AA124" s="59">
        <f>ROUND(1-((Y124*Inputs!$E$29)+Z124*Inputs!$E$27), 6)</f>
        <v>0.41694900000000001</v>
      </c>
      <c r="AB124" s="59">
        <v>263.26100444554379</v>
      </c>
      <c r="AC124" s="73">
        <f>INDEX('FY 22 OFA Shell'!$G$27:$G$195,MATCH(Data!H124,'FY 22 OFA Shell'!$H$27:$H$195,0))</f>
        <v>40</v>
      </c>
      <c r="AD124" s="73">
        <f t="shared" si="54"/>
        <v>5</v>
      </c>
      <c r="AE124" s="65">
        <v>10272197</v>
      </c>
      <c r="AF124" s="65">
        <f t="shared" si="66"/>
        <v>1807123</v>
      </c>
      <c r="AG124" s="65">
        <f t="shared" si="67"/>
        <v>1807123</v>
      </c>
      <c r="AH124" s="52">
        <v>8893762</v>
      </c>
      <c r="AI124" s="107">
        <v>10359330.856000001</v>
      </c>
      <c r="AJ124">
        <v>6</v>
      </c>
      <c r="AK124">
        <v>7634.9275998244848</v>
      </c>
      <c r="AL124" s="165">
        <f>INDEX('FY 22 OFA Shell'!$AU$27:$AU$195,MATCH(Data!H124,'FY 22 OFA Shell'!$H$27:$H$195,0))</f>
        <v>10812066</v>
      </c>
      <c r="AM124" s="165">
        <f>Outputs!H129</f>
        <v>12079320</v>
      </c>
      <c r="AN124" s="165">
        <f>Outputs!G129+Outputs!D129+Outputs!F129</f>
        <v>12079320</v>
      </c>
      <c r="AO124" s="165">
        <v>10577243</v>
      </c>
      <c r="AP124" s="165">
        <f t="shared" si="68"/>
        <v>10366965.783599826</v>
      </c>
      <c r="AQ124" s="52" t="str">
        <f t="shared" si="69"/>
        <v>Yes</v>
      </c>
      <c r="AR124" s="308">
        <f>ABS(IF(AQ124="Yes",AF124*Inputs!$D$50,Data!AF124*Inputs!$D$51))</f>
        <v>192639.3118</v>
      </c>
      <c r="AS124" s="308">
        <f t="shared" si="55"/>
        <v>11004705.311799999</v>
      </c>
      <c r="AT124" s="308">
        <f t="shared" si="70"/>
        <v>11004705.311799999</v>
      </c>
      <c r="AU124" s="308"/>
      <c r="AV124" s="308">
        <f>ABS(IF($AQ124="Yes",$AF124*Inputs!E$50,Data!$AF124*Inputs!E$51))</f>
        <v>192639.3118</v>
      </c>
      <c r="AW124" s="308">
        <f>ABS(IF($AQ124="Yes",$AF124*Inputs!F$50,Data!$AF124*Inputs!F$51))</f>
        <v>192639.3118</v>
      </c>
      <c r="AX124" s="308">
        <f>ABS(IF($AQ124="Yes",$AF124*Inputs!G$50,Data!$AF124*Inputs!G$51))</f>
        <v>192639.3118</v>
      </c>
      <c r="AY124" s="308">
        <f>ABS(IF($AQ124="Yes",$AF124*Inputs!H$50,Data!$AF124*Inputs!H$51))</f>
        <v>192639.3118</v>
      </c>
      <c r="AZ124" s="308">
        <f>ABS(IF($AQ124="Yes",$AF124*Inputs!I$50,Data!$AF124*Inputs!I$51))</f>
        <v>192639.3118</v>
      </c>
      <c r="BA124" s="308">
        <f>ABS(IF($AQ124="Yes",$AF124*Inputs!J$50,Data!$AF124*Inputs!J$51))</f>
        <v>192639.3118</v>
      </c>
      <c r="BB124" s="308">
        <f>ABS(IF($AQ124="Yes",$AF124*Inputs!K$50,Data!$AF124*Inputs!K$51))</f>
        <v>0</v>
      </c>
      <c r="BC124" s="308">
        <f>ABS(IF($AQ124="Yes",$AF124*Inputs!L$50,Data!$AF124*Inputs!L$51))</f>
        <v>0</v>
      </c>
      <c r="BE124" s="308">
        <f t="shared" si="56"/>
        <v>11197344.623599999</v>
      </c>
      <c r="BF124" s="308">
        <f t="shared" si="57"/>
        <v>11389983.935399998</v>
      </c>
      <c r="BG124" s="308">
        <f t="shared" si="58"/>
        <v>11582623.247199997</v>
      </c>
      <c r="BH124" s="308">
        <f t="shared" si="59"/>
        <v>11775262.558999997</v>
      </c>
      <c r="BI124" s="308">
        <f t="shared" si="60"/>
        <v>11967901.870799996</v>
      </c>
      <c r="BJ124" s="308">
        <f t="shared" si="61"/>
        <v>12079320</v>
      </c>
      <c r="BK124" s="308">
        <f t="shared" si="62"/>
        <v>12079320</v>
      </c>
      <c r="BL124" s="308">
        <f t="shared" si="63"/>
        <v>12079320</v>
      </c>
      <c r="BN124" s="308">
        <f t="shared" si="71"/>
        <v>11197344.623599999</v>
      </c>
      <c r="BO124" s="308">
        <f t="shared" si="72"/>
        <v>11389983.935399998</v>
      </c>
      <c r="BP124" s="308">
        <f t="shared" si="73"/>
        <v>11582623.247199997</v>
      </c>
      <c r="BQ124" s="308">
        <f t="shared" si="74"/>
        <v>11775262.558999997</v>
      </c>
      <c r="BR124" s="308">
        <f t="shared" si="75"/>
        <v>11967901.870799996</v>
      </c>
      <c r="BS124" s="308">
        <f t="shared" si="76"/>
        <v>12079320</v>
      </c>
      <c r="BT124" s="308">
        <f t="shared" si="77"/>
        <v>12079320</v>
      </c>
      <c r="BU124" s="308">
        <f t="shared" si="64"/>
        <v>12079320</v>
      </c>
    </row>
    <row r="125" spans="1:73" ht="15" x14ac:dyDescent="0.2">
      <c r="A125" s="62" t="s">
        <v>123</v>
      </c>
      <c r="B125" s="55" t="s">
        <v>32</v>
      </c>
      <c r="C125" s="55"/>
      <c r="D125" s="55"/>
      <c r="E125" s="55"/>
      <c r="F125" s="55"/>
      <c r="G125" s="48">
        <v>8</v>
      </c>
      <c r="H125" s="55">
        <v>111</v>
      </c>
      <c r="I125" s="55">
        <f>INDEX('FY 22 OFA Shell'!$K$27:$K$195,MATCH(Data!H125,'FY 22 OFA Shell'!$H$27:$H$195,0))</f>
        <v>1424.63</v>
      </c>
      <c r="J125" s="55">
        <f>INDEX('FY 22 OFA Shell'!$N$27:$N$195,MATCH(Data!H125,'FY 22 OFA Shell'!$H$27:$H$195,0))</f>
        <v>637</v>
      </c>
      <c r="K125" s="64">
        <f>INDEX('FY 22 OFA Shell'!$S$27:$S$195,MATCH(Data!H125,'FY 22 OFA Shell'!$H$27:$H$195,0))</f>
        <v>26</v>
      </c>
      <c r="L125" s="150">
        <f t="shared" si="53"/>
        <v>0.44713364171749853</v>
      </c>
      <c r="M125" s="149">
        <f>MAX(((L125-Inputs!$E$23)*Data!I125)*Inputs!$E$24,0)</f>
        <v>0</v>
      </c>
      <c r="N125" s="151">
        <f>INDEX('FY 22 OFA Shell'!$V$27:$V$195,MATCH(Data!H125,'FY 22 OFA Shell'!$H$27:$H$195,0))</f>
        <v>1120792865</v>
      </c>
      <c r="O125" s="63">
        <f>INDEX('FY 22 OFA Shell'!$W$27:$W$195,MATCH(Data!H125,'FY 22 OFA Shell'!$H$27:$H$195,0))</f>
        <v>11782</v>
      </c>
      <c r="P125" s="65">
        <f>INDEX('FY 22 OFA Shell'!$Z$27:$Z$195,MATCH(Data!H125,'FY 22 OFA Shell'!$H$27:$H$195,0))</f>
        <v>80750</v>
      </c>
      <c r="Q125" s="63">
        <f>INDEX('FY 22 OFA Shell'!$AF$27:$AF$195,MATCH(Data!H125,'FY 22 OFA Shell'!$H$27:$H$195,0))</f>
        <v>0</v>
      </c>
      <c r="R125" s="66">
        <f>INDEX('FY 22 OFA Shell'!$AG$27:$AG$195,MATCH(Data!H125,'FY 22 OFA Shell'!$H$27:$H$195,0))</f>
        <v>0</v>
      </c>
      <c r="S125" s="66">
        <f>INDEX('FY 22 OFA Shell'!$AJ$27:$AJ$195,MATCH(Data!H125,'FY 22 OFA Shell'!$H$27:$H$195,0))</f>
        <v>0</v>
      </c>
      <c r="T125" s="66">
        <f>INDEX('FY 22 OFA Shell'!$AK$27:$AK$195,MATCH(Data!H125,'FY 22 OFA Shell'!$H$27:$H$195,0))</f>
        <v>0</v>
      </c>
      <c r="U125" s="135">
        <v>9761632</v>
      </c>
      <c r="V125" s="67">
        <f>ROUND(J125*Inputs!$E$22, 2)</f>
        <v>191.1</v>
      </c>
      <c r="W125" s="68">
        <f>I125+V125+K125*Inputs!$E$28+Data!M125</f>
        <v>1622.23</v>
      </c>
      <c r="X125" s="69">
        <f t="shared" si="65"/>
        <v>95127.56</v>
      </c>
      <c r="Y125" s="70">
        <f>ROUND(X125/Inputs!$E$32, 6)</f>
        <v>0.49409999999999998</v>
      </c>
      <c r="Z125" s="70">
        <f>ROUND(P125/Inputs!$E$33, 6)</f>
        <v>0.67015599999999997</v>
      </c>
      <c r="AA125" s="59">
        <f>ROUND(1-((Y125*Inputs!$E$29)+Z125*Inputs!$E$27), 6)</f>
        <v>0.45308300000000001</v>
      </c>
      <c r="AB125" s="59">
        <v>300.85895325392619</v>
      </c>
      <c r="AC125" s="73">
        <f>INDEX('FY 22 OFA Shell'!$G$27:$G$195,MATCH(Data!H125,'FY 22 OFA Shell'!$H$27:$H$195,0))</f>
        <v>17</v>
      </c>
      <c r="AD125" s="73">
        <f t="shared" si="54"/>
        <v>4</v>
      </c>
      <c r="AE125" s="65">
        <v>9761632</v>
      </c>
      <c r="AF125" s="65">
        <f t="shared" si="66"/>
        <v>-729815</v>
      </c>
      <c r="AG125" s="65">
        <f t="shared" si="67"/>
        <v>-729815</v>
      </c>
      <c r="AH125" s="52">
        <v>8471430</v>
      </c>
      <c r="AI125" s="107">
        <v>9778620.7190000005</v>
      </c>
      <c r="AJ125"/>
      <c r="AK125">
        <v>0</v>
      </c>
      <c r="AL125" s="165">
        <f>INDEX('FY 22 OFA Shell'!$AU$27:$AU$195,MATCH(Data!H125,'FY 22 OFA Shell'!$H$27:$H$195,0))</f>
        <v>9802121</v>
      </c>
      <c r="AM125" s="165">
        <f>Outputs!H130</f>
        <v>9031817</v>
      </c>
      <c r="AN125" s="165">
        <f>Outputs!G130+Outputs!D130+Outputs!F130</f>
        <v>9031817</v>
      </c>
      <c r="AO125" s="165">
        <v>9829574</v>
      </c>
      <c r="AP125" s="165">
        <f t="shared" si="68"/>
        <v>9778620.7190000005</v>
      </c>
      <c r="AQ125" s="52" t="str">
        <f t="shared" si="69"/>
        <v>No</v>
      </c>
      <c r="AR125" s="308">
        <f>ABS(IF(AQ125="Yes",AF125*Inputs!$D$50,Data!AF125*Inputs!$D$51))</f>
        <v>0</v>
      </c>
      <c r="AS125" s="308">
        <f t="shared" si="55"/>
        <v>9802121</v>
      </c>
      <c r="AT125" s="308">
        <f t="shared" si="70"/>
        <v>9802121</v>
      </c>
      <c r="AU125" s="308"/>
      <c r="AV125" s="308">
        <f>ABS(IF($AQ125="Yes",$AF125*Inputs!E$50,Data!$AF125*Inputs!E$51))</f>
        <v>0</v>
      </c>
      <c r="AW125" s="308">
        <f>ABS(IF($AQ125="Yes",$AF125*Inputs!F$50,Data!$AF125*Inputs!F$51))</f>
        <v>60793.589500000002</v>
      </c>
      <c r="AX125" s="308">
        <f>ABS(IF($AQ125="Yes",$AF125*Inputs!G$50,Data!$AF125*Inputs!G$51))</f>
        <v>60793.589500000002</v>
      </c>
      <c r="AY125" s="308">
        <f>ABS(IF($AQ125="Yes",$AF125*Inputs!H$50,Data!$AF125*Inputs!H$51))</f>
        <v>60793.589500000002</v>
      </c>
      <c r="AZ125" s="308">
        <f>ABS(IF($AQ125="Yes",$AF125*Inputs!I$50,Data!$AF125*Inputs!I$51))</f>
        <v>60793.589500000002</v>
      </c>
      <c r="BA125" s="308">
        <f>ABS(IF($AQ125="Yes",$AF125*Inputs!J$50,Data!$AF125*Inputs!J$51))</f>
        <v>60793.589500000002</v>
      </c>
      <c r="BB125" s="308">
        <f>ABS(IF($AQ125="Yes",$AF125*Inputs!K$50,Data!$AF125*Inputs!K$51))</f>
        <v>60793.589500000002</v>
      </c>
      <c r="BC125" s="308">
        <f>ABS(IF($AQ125="Yes",$AF125*Inputs!L$50,Data!$AF125*Inputs!L$51))</f>
        <v>60793.589500000002</v>
      </c>
      <c r="BE125" s="308">
        <f t="shared" si="56"/>
        <v>9802121</v>
      </c>
      <c r="BF125" s="308">
        <f t="shared" si="57"/>
        <v>9741327.4104999993</v>
      </c>
      <c r="BG125" s="308">
        <f t="shared" si="58"/>
        <v>9680533.8209999986</v>
      </c>
      <c r="BH125" s="308">
        <f t="shared" si="59"/>
        <v>9619740.2314999979</v>
      </c>
      <c r="BI125" s="308">
        <f t="shared" si="60"/>
        <v>9558946.6419999972</v>
      </c>
      <c r="BJ125" s="308">
        <f t="shared" si="61"/>
        <v>9498153.0524999965</v>
      </c>
      <c r="BK125" s="308">
        <f t="shared" si="62"/>
        <v>9437359.4629999958</v>
      </c>
      <c r="BL125" s="308">
        <f t="shared" si="63"/>
        <v>9031817</v>
      </c>
      <c r="BN125" s="308">
        <f t="shared" si="71"/>
        <v>9802121</v>
      </c>
      <c r="BO125" s="308">
        <f t="shared" si="72"/>
        <v>9741327.4104999993</v>
      </c>
      <c r="BP125" s="308">
        <f t="shared" si="73"/>
        <v>9680533.8209999986</v>
      </c>
      <c r="BQ125" s="308">
        <f t="shared" si="74"/>
        <v>9619740.2314999979</v>
      </c>
      <c r="BR125" s="308">
        <f t="shared" si="75"/>
        <v>9558946.6419999972</v>
      </c>
      <c r="BS125" s="308">
        <f t="shared" si="76"/>
        <v>9498153.0524999965</v>
      </c>
      <c r="BT125" s="308">
        <f t="shared" si="77"/>
        <v>9437359.4629999958</v>
      </c>
      <c r="BU125" s="308">
        <f t="shared" si="64"/>
        <v>9031817</v>
      </c>
    </row>
    <row r="126" spans="1:73" ht="15" x14ac:dyDescent="0.2">
      <c r="A126" s="62" t="s">
        <v>124</v>
      </c>
      <c r="B126" s="55" t="s">
        <v>4</v>
      </c>
      <c r="C126" s="55"/>
      <c r="D126" s="55"/>
      <c r="E126" s="55"/>
      <c r="F126" s="55"/>
      <c r="G126" s="48">
        <v>8</v>
      </c>
      <c r="H126" s="55">
        <v>112</v>
      </c>
      <c r="I126" s="55">
        <f>INDEX('FY 22 OFA Shell'!$K$27:$K$195,MATCH(Data!H126,'FY 22 OFA Shell'!$H$27:$H$195,0))</f>
        <v>521</v>
      </c>
      <c r="J126" s="55">
        <f>INDEX('FY 22 OFA Shell'!$N$27:$N$195,MATCH(Data!H126,'FY 22 OFA Shell'!$H$27:$H$195,0))</f>
        <v>92</v>
      </c>
      <c r="K126" s="64">
        <f>INDEX('FY 22 OFA Shell'!$S$27:$S$195,MATCH(Data!H126,'FY 22 OFA Shell'!$H$27:$H$195,0))</f>
        <v>0</v>
      </c>
      <c r="L126" s="150">
        <f t="shared" si="53"/>
        <v>0.1765834932821497</v>
      </c>
      <c r="M126" s="149">
        <f>MAX(((L126-Inputs!$E$23)*Data!I126)*Inputs!$E$24,0)</f>
        <v>0</v>
      </c>
      <c r="N126" s="151">
        <f>INDEX('FY 22 OFA Shell'!$V$27:$V$195,MATCH(Data!H126,'FY 22 OFA Shell'!$H$27:$H$195,0))</f>
        <v>553530573.33000004</v>
      </c>
      <c r="O126" s="63">
        <f>INDEX('FY 22 OFA Shell'!$W$27:$W$195,MATCH(Data!H126,'FY 22 OFA Shell'!$H$27:$H$195,0))</f>
        <v>4173</v>
      </c>
      <c r="P126" s="65">
        <f>INDEX('FY 22 OFA Shell'!$Z$27:$Z$195,MATCH(Data!H126,'FY 22 OFA Shell'!$H$27:$H$195,0))</f>
        <v>78958</v>
      </c>
      <c r="Q126" s="63">
        <f>INDEX('FY 22 OFA Shell'!$AF$27:$AF$195,MATCH(Data!H126,'FY 22 OFA Shell'!$H$27:$H$195,0))</f>
        <v>0</v>
      </c>
      <c r="R126" s="66">
        <f>INDEX('FY 22 OFA Shell'!$AG$27:$AG$195,MATCH(Data!H126,'FY 22 OFA Shell'!$H$27:$H$195,0))</f>
        <v>0</v>
      </c>
      <c r="S126" s="66">
        <f>INDEX('FY 22 OFA Shell'!$AJ$27:$AJ$195,MATCH(Data!H126,'FY 22 OFA Shell'!$H$27:$H$195,0))</f>
        <v>157</v>
      </c>
      <c r="T126" s="66">
        <f>INDEX('FY 22 OFA Shell'!$AK$27:$AK$195,MATCH(Data!H126,'FY 22 OFA Shell'!$H$27:$H$195,0))</f>
        <v>4</v>
      </c>
      <c r="U126" s="135">
        <v>3073015</v>
      </c>
      <c r="V126" s="67">
        <f>ROUND(J126*Inputs!$E$22, 2)</f>
        <v>27.6</v>
      </c>
      <c r="W126" s="68">
        <f>I126+V126+K126*Inputs!$E$28+Data!M126</f>
        <v>548.6</v>
      </c>
      <c r="X126" s="69">
        <f t="shared" si="65"/>
        <v>132645.72</v>
      </c>
      <c r="Y126" s="70">
        <f>ROUND(X126/Inputs!$E$32, 6)</f>
        <v>0.68897299999999995</v>
      </c>
      <c r="Z126" s="70">
        <f>ROUND(P126/Inputs!$E$33, 6)</f>
        <v>0.65528399999999998</v>
      </c>
      <c r="AA126" s="59">
        <f>ROUND(1-((Y126*Inputs!$E$29)+Z126*Inputs!$E$27), 6)</f>
        <v>0.32113399999999998</v>
      </c>
      <c r="AB126" s="59">
        <v>223.77517142104676</v>
      </c>
      <c r="AC126" s="73">
        <f>INDEX('FY 22 OFA Shell'!$G$27:$G$195,MATCH(Data!H126,'FY 22 OFA Shell'!$H$27:$H$195,0))</f>
        <v>134</v>
      </c>
      <c r="AD126" s="73">
        <f t="shared" si="54"/>
        <v>5</v>
      </c>
      <c r="AE126" s="65">
        <v>3073015</v>
      </c>
      <c r="AF126" s="65">
        <f t="shared" si="66"/>
        <v>-979808</v>
      </c>
      <c r="AG126" s="65">
        <f t="shared" si="67"/>
        <v>-979808</v>
      </c>
      <c r="AH126" s="52">
        <v>2668708</v>
      </c>
      <c r="AI126" s="107">
        <v>2826684.5</v>
      </c>
      <c r="AJ126"/>
      <c r="AK126">
        <v>0</v>
      </c>
      <c r="AL126" s="165">
        <f>INDEX('FY 22 OFA Shell'!$AU$27:$AU$195,MATCH(Data!H126,'FY 22 OFA Shell'!$H$27:$H$195,0))</f>
        <v>2670987</v>
      </c>
      <c r="AM126" s="165">
        <f>Outputs!H131</f>
        <v>2093207</v>
      </c>
      <c r="AN126" s="165">
        <f>Outputs!G131+Outputs!D131+Outputs!F131</f>
        <v>2093207</v>
      </c>
      <c r="AO126" s="165">
        <v>2745558</v>
      </c>
      <c r="AP126" s="165">
        <f t="shared" si="68"/>
        <v>2826684.5</v>
      </c>
      <c r="AQ126" s="52" t="str">
        <f t="shared" si="69"/>
        <v>No</v>
      </c>
      <c r="AR126" s="308">
        <f>ABS(IF(AQ126="Yes",AF126*Inputs!$D$50,Data!AF126*Inputs!$D$51))</f>
        <v>0</v>
      </c>
      <c r="AS126" s="308">
        <f t="shared" si="55"/>
        <v>2670987</v>
      </c>
      <c r="AT126" s="308">
        <f t="shared" si="70"/>
        <v>2670987</v>
      </c>
      <c r="AU126" s="308"/>
      <c r="AV126" s="308">
        <f>ABS(IF($AQ126="Yes",$AF126*Inputs!E$50,Data!$AF126*Inputs!E$51))</f>
        <v>0</v>
      </c>
      <c r="AW126" s="308">
        <f>ABS(IF($AQ126="Yes",$AF126*Inputs!F$50,Data!$AF126*Inputs!F$51))</f>
        <v>81618.006399999998</v>
      </c>
      <c r="AX126" s="308">
        <f>ABS(IF($AQ126="Yes",$AF126*Inputs!G$50,Data!$AF126*Inputs!G$51))</f>
        <v>81618.006399999998</v>
      </c>
      <c r="AY126" s="308">
        <f>ABS(IF($AQ126="Yes",$AF126*Inputs!H$50,Data!$AF126*Inputs!H$51))</f>
        <v>81618.006399999998</v>
      </c>
      <c r="AZ126" s="308">
        <f>ABS(IF($AQ126="Yes",$AF126*Inputs!I$50,Data!$AF126*Inputs!I$51))</f>
        <v>81618.006399999998</v>
      </c>
      <c r="BA126" s="308">
        <f>ABS(IF($AQ126="Yes",$AF126*Inputs!J$50,Data!$AF126*Inputs!J$51))</f>
        <v>81618.006399999998</v>
      </c>
      <c r="BB126" s="308">
        <f>ABS(IF($AQ126="Yes",$AF126*Inputs!K$50,Data!$AF126*Inputs!K$51))</f>
        <v>81618.006399999998</v>
      </c>
      <c r="BC126" s="308">
        <f>ABS(IF($AQ126="Yes",$AF126*Inputs!L$50,Data!$AF126*Inputs!L$51))</f>
        <v>81618.006399999998</v>
      </c>
      <c r="BE126" s="308">
        <f t="shared" si="56"/>
        <v>2670987</v>
      </c>
      <c r="BF126" s="308">
        <f t="shared" si="57"/>
        <v>2589368.9936000002</v>
      </c>
      <c r="BG126" s="308">
        <f t="shared" si="58"/>
        <v>2507750.9872000003</v>
      </c>
      <c r="BH126" s="308">
        <f t="shared" si="59"/>
        <v>2426132.9808000005</v>
      </c>
      <c r="BI126" s="308">
        <f t="shared" si="60"/>
        <v>2344514.9744000006</v>
      </c>
      <c r="BJ126" s="308">
        <f t="shared" si="61"/>
        <v>2262896.9680000008</v>
      </c>
      <c r="BK126" s="308">
        <f t="shared" si="62"/>
        <v>2181278.961600001</v>
      </c>
      <c r="BL126" s="308">
        <f t="shared" si="63"/>
        <v>2093207</v>
      </c>
      <c r="BN126" s="308">
        <f t="shared" si="71"/>
        <v>2670987</v>
      </c>
      <c r="BO126" s="308">
        <f t="shared" si="72"/>
        <v>2589368.9936000002</v>
      </c>
      <c r="BP126" s="308">
        <f t="shared" si="73"/>
        <v>2507750.9872000003</v>
      </c>
      <c r="BQ126" s="308">
        <f t="shared" si="74"/>
        <v>2426132.9808000005</v>
      </c>
      <c r="BR126" s="308">
        <f t="shared" si="75"/>
        <v>2344514.9744000006</v>
      </c>
      <c r="BS126" s="308">
        <f t="shared" si="76"/>
        <v>2262896.9680000008</v>
      </c>
      <c r="BT126" s="308">
        <f t="shared" si="77"/>
        <v>2181278.961600001</v>
      </c>
      <c r="BU126" s="308">
        <f t="shared" si="64"/>
        <v>2093207</v>
      </c>
    </row>
    <row r="127" spans="1:73" ht="15" x14ac:dyDescent="0.2">
      <c r="A127" s="62" t="s">
        <v>125</v>
      </c>
      <c r="B127" s="55" t="s">
        <v>8</v>
      </c>
      <c r="C127" s="55"/>
      <c r="D127" s="55"/>
      <c r="E127" s="55"/>
      <c r="F127" s="55"/>
      <c r="G127" s="48">
        <v>6</v>
      </c>
      <c r="H127" s="55">
        <v>113</v>
      </c>
      <c r="I127" s="55">
        <f>INDEX('FY 22 OFA Shell'!$K$27:$K$195,MATCH(Data!H127,'FY 22 OFA Shell'!$H$27:$H$195,0))</f>
        <v>1288.2</v>
      </c>
      <c r="J127" s="55">
        <f>INDEX('FY 22 OFA Shell'!$N$27:$N$195,MATCH(Data!H127,'FY 22 OFA Shell'!$H$27:$H$195,0))</f>
        <v>336</v>
      </c>
      <c r="K127" s="64">
        <f>INDEX('FY 22 OFA Shell'!$S$27:$S$195,MATCH(Data!H127,'FY 22 OFA Shell'!$H$27:$H$195,0))</f>
        <v>34</v>
      </c>
      <c r="L127" s="150">
        <f t="shared" si="53"/>
        <v>0.2608290638099674</v>
      </c>
      <c r="M127" s="149">
        <f>MAX(((L127-Inputs!$E$23)*Data!I127)*Inputs!$E$24,0)</f>
        <v>0</v>
      </c>
      <c r="N127" s="151">
        <f>INDEX('FY 22 OFA Shell'!$V$27:$V$195,MATCH(Data!H127,'FY 22 OFA Shell'!$H$27:$H$195,0))</f>
        <v>1215427411.3299999</v>
      </c>
      <c r="O127" s="63">
        <f>INDEX('FY 22 OFA Shell'!$W$27:$W$195,MATCH(Data!H127,'FY 22 OFA Shell'!$H$27:$H$195,0))</f>
        <v>9362</v>
      </c>
      <c r="P127" s="65">
        <f>INDEX('FY 22 OFA Shell'!$Z$27:$Z$195,MATCH(Data!H127,'FY 22 OFA Shell'!$H$27:$H$195,0))</f>
        <v>91295</v>
      </c>
      <c r="Q127" s="63">
        <f>INDEX('FY 22 OFA Shell'!$AF$27:$AF$195,MATCH(Data!H127,'FY 22 OFA Shell'!$H$27:$H$195,0))</f>
        <v>0</v>
      </c>
      <c r="R127" s="66">
        <f>INDEX('FY 22 OFA Shell'!$AG$27:$AG$195,MATCH(Data!H127,'FY 22 OFA Shell'!$H$27:$H$195,0))</f>
        <v>0</v>
      </c>
      <c r="S127" s="66">
        <f>INDEX('FY 22 OFA Shell'!$AJ$27:$AJ$195,MATCH(Data!H127,'FY 22 OFA Shell'!$H$27:$H$195,0))</f>
        <v>0</v>
      </c>
      <c r="T127" s="66">
        <f>INDEX('FY 22 OFA Shell'!$AK$27:$AK$195,MATCH(Data!H127,'FY 22 OFA Shell'!$H$27:$H$195,0))</f>
        <v>0</v>
      </c>
      <c r="U127" s="135">
        <v>4363751</v>
      </c>
      <c r="V127" s="67">
        <f>ROUND(J127*Inputs!$E$22, 2)</f>
        <v>100.8</v>
      </c>
      <c r="W127" s="68">
        <f>I127+V127+K127*Inputs!$E$28+Data!M127</f>
        <v>1397.5</v>
      </c>
      <c r="X127" s="69">
        <f t="shared" si="65"/>
        <v>129825.62</v>
      </c>
      <c r="Y127" s="70">
        <f>ROUND(X127/Inputs!$E$32, 6)</f>
        <v>0.67432499999999995</v>
      </c>
      <c r="Z127" s="70">
        <f>ROUND(P127/Inputs!$E$33, 6)</f>
        <v>0.75767099999999998</v>
      </c>
      <c r="AA127" s="59">
        <f>ROUND(1-((Y127*Inputs!$E$29)+Z127*Inputs!$E$27), 6)</f>
        <v>0.30067100000000002</v>
      </c>
      <c r="AB127" s="59">
        <v>238.45026313562315</v>
      </c>
      <c r="AC127" s="73">
        <f>INDEX('FY 22 OFA Shell'!$G$27:$G$195,MATCH(Data!H127,'FY 22 OFA Shell'!$H$27:$H$195,0))</f>
        <v>69</v>
      </c>
      <c r="AD127" s="73">
        <f t="shared" si="54"/>
        <v>5</v>
      </c>
      <c r="AE127" s="65">
        <v>4363751</v>
      </c>
      <c r="AF127" s="65">
        <f t="shared" si="66"/>
        <v>478913</v>
      </c>
      <c r="AG127" s="65">
        <f t="shared" si="67"/>
        <v>478913</v>
      </c>
      <c r="AH127" s="52">
        <v>3779612</v>
      </c>
      <c r="AI127" s="107">
        <v>4373412.2810000004</v>
      </c>
      <c r="AJ127">
        <v>3</v>
      </c>
      <c r="AK127">
        <v>3817.4637999122424</v>
      </c>
      <c r="AL127" s="165">
        <f>INDEX('FY 22 OFA Shell'!$AU$27:$AU$195,MATCH(Data!H127,'FY 22 OFA Shell'!$H$27:$H$195,0))</f>
        <v>4493305</v>
      </c>
      <c r="AM127" s="165">
        <f>Outputs!H132</f>
        <v>4842664</v>
      </c>
      <c r="AN127" s="165">
        <f>Outputs!G132+Outputs!D132+Outputs!F132</f>
        <v>4842664</v>
      </c>
      <c r="AO127" s="165">
        <v>4456627</v>
      </c>
      <c r="AP127" s="165">
        <f t="shared" si="68"/>
        <v>4377229.7447999129</v>
      </c>
      <c r="AQ127" s="52" t="str">
        <f t="shared" si="69"/>
        <v>Yes</v>
      </c>
      <c r="AR127" s="308">
        <f>ABS(IF(AQ127="Yes",AF127*Inputs!$D$50,Data!AF127*Inputs!$D$51))</f>
        <v>51052.125800000002</v>
      </c>
      <c r="AS127" s="308">
        <f t="shared" si="55"/>
        <v>4544357.1257999996</v>
      </c>
      <c r="AT127" s="308">
        <f t="shared" si="70"/>
        <v>4544357.1257999996</v>
      </c>
      <c r="AU127" s="308"/>
      <c r="AV127" s="308">
        <f>ABS(IF($AQ127="Yes",$AF127*Inputs!E$50,Data!$AF127*Inputs!E$51))</f>
        <v>51052.125800000002</v>
      </c>
      <c r="AW127" s="308">
        <f>ABS(IF($AQ127="Yes",$AF127*Inputs!F$50,Data!$AF127*Inputs!F$51))</f>
        <v>51052.125800000002</v>
      </c>
      <c r="AX127" s="308">
        <f>ABS(IF($AQ127="Yes",$AF127*Inputs!G$50,Data!$AF127*Inputs!G$51))</f>
        <v>51052.125800000002</v>
      </c>
      <c r="AY127" s="308">
        <f>ABS(IF($AQ127="Yes",$AF127*Inputs!H$50,Data!$AF127*Inputs!H$51))</f>
        <v>51052.125800000002</v>
      </c>
      <c r="AZ127" s="308">
        <f>ABS(IF($AQ127="Yes",$AF127*Inputs!I$50,Data!$AF127*Inputs!I$51))</f>
        <v>51052.125800000002</v>
      </c>
      <c r="BA127" s="308">
        <f>ABS(IF($AQ127="Yes",$AF127*Inputs!J$50,Data!$AF127*Inputs!J$51))</f>
        <v>51052.125800000002</v>
      </c>
      <c r="BB127" s="308">
        <f>ABS(IF($AQ127="Yes",$AF127*Inputs!K$50,Data!$AF127*Inputs!K$51))</f>
        <v>0</v>
      </c>
      <c r="BC127" s="308">
        <f>ABS(IF($AQ127="Yes",$AF127*Inputs!L$50,Data!$AF127*Inputs!L$51))</f>
        <v>0</v>
      </c>
      <c r="BE127" s="308">
        <f t="shared" si="56"/>
        <v>4595409.2515999991</v>
      </c>
      <c r="BF127" s="308">
        <f t="shared" si="57"/>
        <v>4646461.3773999987</v>
      </c>
      <c r="BG127" s="308">
        <f t="shared" si="58"/>
        <v>4697513.5031999983</v>
      </c>
      <c r="BH127" s="308">
        <f t="shared" si="59"/>
        <v>4748565.6289999979</v>
      </c>
      <c r="BI127" s="308">
        <f t="shared" si="60"/>
        <v>4799617.7547999974</v>
      </c>
      <c r="BJ127" s="308">
        <f t="shared" si="61"/>
        <v>4842664</v>
      </c>
      <c r="BK127" s="308">
        <f t="shared" si="62"/>
        <v>4842664</v>
      </c>
      <c r="BL127" s="308">
        <f t="shared" si="63"/>
        <v>4842664</v>
      </c>
      <c r="BN127" s="308">
        <f t="shared" si="71"/>
        <v>4595409.2515999991</v>
      </c>
      <c r="BO127" s="308">
        <f t="shared" si="72"/>
        <v>4646461.3773999987</v>
      </c>
      <c r="BP127" s="308">
        <f t="shared" si="73"/>
        <v>4697513.5031999983</v>
      </c>
      <c r="BQ127" s="308">
        <f t="shared" si="74"/>
        <v>4748565.6289999979</v>
      </c>
      <c r="BR127" s="308">
        <f t="shared" si="75"/>
        <v>4799617.7547999974</v>
      </c>
      <c r="BS127" s="308">
        <f t="shared" si="76"/>
        <v>4842664</v>
      </c>
      <c r="BT127" s="308">
        <f t="shared" si="77"/>
        <v>4842664</v>
      </c>
      <c r="BU127" s="308">
        <f t="shared" si="64"/>
        <v>4842664</v>
      </c>
    </row>
    <row r="128" spans="1:73" ht="15" x14ac:dyDescent="0.2">
      <c r="A128" s="62" t="s">
        <v>126</v>
      </c>
      <c r="B128" s="55" t="s">
        <v>8</v>
      </c>
      <c r="C128" s="55"/>
      <c r="D128" s="55"/>
      <c r="E128" s="55"/>
      <c r="F128" s="55"/>
      <c r="G128" s="48">
        <v>7</v>
      </c>
      <c r="H128" s="55">
        <v>114</v>
      </c>
      <c r="I128" s="55">
        <f>INDEX('FY 22 OFA Shell'!$K$27:$K$195,MATCH(Data!H128,'FY 22 OFA Shell'!$H$27:$H$195,0))</f>
        <v>588.26</v>
      </c>
      <c r="J128" s="55">
        <f>INDEX('FY 22 OFA Shell'!$N$27:$N$195,MATCH(Data!H128,'FY 22 OFA Shell'!$H$27:$H$195,0))</f>
        <v>156</v>
      </c>
      <c r="K128" s="64">
        <f>INDEX('FY 22 OFA Shell'!$S$27:$S$195,MATCH(Data!H128,'FY 22 OFA Shell'!$H$27:$H$195,0))</f>
        <v>8</v>
      </c>
      <c r="L128" s="150">
        <f t="shared" si="53"/>
        <v>0.26518886206779313</v>
      </c>
      <c r="M128" s="149">
        <f>MAX(((L128-Inputs!$E$23)*Data!I128)*Inputs!$E$24,0)</f>
        <v>0</v>
      </c>
      <c r="N128" s="151">
        <f>INDEX('FY 22 OFA Shell'!$V$27:$V$195,MATCH(Data!H128,'FY 22 OFA Shell'!$H$27:$H$195,0))</f>
        <v>652410182.66999996</v>
      </c>
      <c r="O128" s="63">
        <f>INDEX('FY 22 OFA Shell'!$W$27:$W$195,MATCH(Data!H128,'FY 22 OFA Shell'!$H$27:$H$195,0))</f>
        <v>4666</v>
      </c>
      <c r="P128" s="65">
        <f>INDEX('FY 22 OFA Shell'!$Z$27:$Z$195,MATCH(Data!H128,'FY 22 OFA Shell'!$H$27:$H$195,0))</f>
        <v>75568</v>
      </c>
      <c r="Q128" s="63">
        <f>INDEX('FY 22 OFA Shell'!$AF$27:$AF$195,MATCH(Data!H128,'FY 22 OFA Shell'!$H$27:$H$195,0))</f>
        <v>0</v>
      </c>
      <c r="R128" s="66">
        <f>INDEX('FY 22 OFA Shell'!$AG$27:$AG$195,MATCH(Data!H128,'FY 22 OFA Shell'!$H$27:$H$195,0))</f>
        <v>0</v>
      </c>
      <c r="S128" s="66">
        <f>INDEX('FY 22 OFA Shell'!$AJ$27:$AJ$195,MATCH(Data!H128,'FY 22 OFA Shell'!$H$27:$H$195,0))</f>
        <v>158</v>
      </c>
      <c r="T128" s="66">
        <f>INDEX('FY 22 OFA Shell'!$AK$27:$AK$195,MATCH(Data!H128,'FY 22 OFA Shell'!$H$27:$H$195,0))</f>
        <v>4</v>
      </c>
      <c r="U128" s="135">
        <v>3012017</v>
      </c>
      <c r="V128" s="67">
        <f>ROUND(J128*Inputs!$E$22, 2)</f>
        <v>46.8</v>
      </c>
      <c r="W128" s="68">
        <f>I128+V128+K128*Inputs!$E$28+Data!M128</f>
        <v>637.05999999999995</v>
      </c>
      <c r="X128" s="69">
        <f t="shared" si="65"/>
        <v>139822.16</v>
      </c>
      <c r="Y128" s="70">
        <f>ROUND(X128/Inputs!$E$32, 6)</f>
        <v>0.726248</v>
      </c>
      <c r="Z128" s="70">
        <f>ROUND(P128/Inputs!$E$33, 6)</f>
        <v>0.62714999999999999</v>
      </c>
      <c r="AA128" s="59">
        <f>ROUND(1-((Y128*Inputs!$E$29)+Z128*Inputs!$E$27), 6)</f>
        <v>0.303481</v>
      </c>
      <c r="AB128" s="59">
        <v>240.78008560722361</v>
      </c>
      <c r="AC128" s="73">
        <f>INDEX('FY 22 OFA Shell'!$G$27:$G$195,MATCH(Data!H128,'FY 22 OFA Shell'!$H$27:$H$195,0))</f>
        <v>41</v>
      </c>
      <c r="AD128" s="73">
        <f t="shared" si="54"/>
        <v>5</v>
      </c>
      <c r="AE128" s="65">
        <v>3012017</v>
      </c>
      <c r="AF128" s="65">
        <f t="shared" si="66"/>
        <v>-720624</v>
      </c>
      <c r="AG128" s="65">
        <f t="shared" si="67"/>
        <v>-720624</v>
      </c>
      <c r="AH128" s="52">
        <v>2613882</v>
      </c>
      <c r="AI128" s="107">
        <v>3008874</v>
      </c>
      <c r="AJ128">
        <v>2</v>
      </c>
      <c r="AK128">
        <v>2544.9758666081616</v>
      </c>
      <c r="AL128" s="165">
        <f>INDEX('FY 22 OFA Shell'!$AU$27:$AU$195,MATCH(Data!H128,'FY 22 OFA Shell'!$H$27:$H$195,0))</f>
        <v>2952496</v>
      </c>
      <c r="AM128" s="165">
        <f>Outputs!H133</f>
        <v>2291393</v>
      </c>
      <c r="AN128" s="165">
        <f>Outputs!G133+Outputs!D133+Outputs!F133</f>
        <v>2291393</v>
      </c>
      <c r="AO128" s="165">
        <v>2989021</v>
      </c>
      <c r="AP128" s="165">
        <f t="shared" si="68"/>
        <v>3011418.9758666083</v>
      </c>
      <c r="AQ128" s="52" t="str">
        <f t="shared" si="69"/>
        <v>No</v>
      </c>
      <c r="AR128" s="308">
        <f>ABS(IF(AQ128="Yes",AF128*Inputs!$D$50,Data!AF128*Inputs!$D$51))</f>
        <v>0</v>
      </c>
      <c r="AS128" s="308">
        <f t="shared" si="55"/>
        <v>2952496</v>
      </c>
      <c r="AT128" s="308">
        <f t="shared" si="70"/>
        <v>2952496</v>
      </c>
      <c r="AU128" s="308"/>
      <c r="AV128" s="308">
        <f>ABS(IF($AQ128="Yes",$AF128*Inputs!E$50,Data!$AF128*Inputs!E$51))</f>
        <v>0</v>
      </c>
      <c r="AW128" s="308">
        <f>ABS(IF($AQ128="Yes",$AF128*Inputs!F$50,Data!$AF128*Inputs!F$51))</f>
        <v>60027.979200000002</v>
      </c>
      <c r="AX128" s="308">
        <f>ABS(IF($AQ128="Yes",$AF128*Inputs!G$50,Data!$AF128*Inputs!G$51))</f>
        <v>60027.979200000002</v>
      </c>
      <c r="AY128" s="308">
        <f>ABS(IF($AQ128="Yes",$AF128*Inputs!H$50,Data!$AF128*Inputs!H$51))</f>
        <v>60027.979200000002</v>
      </c>
      <c r="AZ128" s="308">
        <f>ABS(IF($AQ128="Yes",$AF128*Inputs!I$50,Data!$AF128*Inputs!I$51))</f>
        <v>60027.979200000002</v>
      </c>
      <c r="BA128" s="308">
        <f>ABS(IF($AQ128="Yes",$AF128*Inputs!J$50,Data!$AF128*Inputs!J$51))</f>
        <v>60027.979200000002</v>
      </c>
      <c r="BB128" s="308">
        <f>ABS(IF($AQ128="Yes",$AF128*Inputs!K$50,Data!$AF128*Inputs!K$51))</f>
        <v>60027.979200000002</v>
      </c>
      <c r="BC128" s="308">
        <f>ABS(IF($AQ128="Yes",$AF128*Inputs!L$50,Data!$AF128*Inputs!L$51))</f>
        <v>60027.979200000002</v>
      </c>
      <c r="BE128" s="308">
        <f t="shared" si="56"/>
        <v>2952496</v>
      </c>
      <c r="BF128" s="308">
        <f t="shared" si="57"/>
        <v>2892468.0208000001</v>
      </c>
      <c r="BG128" s="308">
        <f t="shared" si="58"/>
        <v>2832440.0416000001</v>
      </c>
      <c r="BH128" s="308">
        <f t="shared" si="59"/>
        <v>2772412.0624000002</v>
      </c>
      <c r="BI128" s="308">
        <f t="shared" si="60"/>
        <v>2712384.0832000002</v>
      </c>
      <c r="BJ128" s="308">
        <f t="shared" si="61"/>
        <v>2652356.1040000003</v>
      </c>
      <c r="BK128" s="308">
        <f t="shared" si="62"/>
        <v>2592328.1248000003</v>
      </c>
      <c r="BL128" s="308">
        <f t="shared" si="63"/>
        <v>2291393</v>
      </c>
      <c r="BN128" s="308">
        <f t="shared" si="71"/>
        <v>2952496</v>
      </c>
      <c r="BO128" s="308">
        <f t="shared" si="72"/>
        <v>2892468.0208000001</v>
      </c>
      <c r="BP128" s="308">
        <f t="shared" si="73"/>
        <v>2832440.0416000001</v>
      </c>
      <c r="BQ128" s="308">
        <f t="shared" si="74"/>
        <v>2772412.0624000002</v>
      </c>
      <c r="BR128" s="308">
        <f t="shared" si="75"/>
        <v>2712384.0832000002</v>
      </c>
      <c r="BS128" s="308">
        <f t="shared" si="76"/>
        <v>2652356.1040000003</v>
      </c>
      <c r="BT128" s="308">
        <f t="shared" si="77"/>
        <v>2592328.1248000003</v>
      </c>
      <c r="BU128" s="308">
        <f t="shared" si="64"/>
        <v>2291393</v>
      </c>
    </row>
    <row r="129" spans="1:73" ht="15" x14ac:dyDescent="0.2">
      <c r="A129" s="62" t="s">
        <v>127</v>
      </c>
      <c r="B129" s="55" t="s">
        <v>8</v>
      </c>
      <c r="C129" s="55"/>
      <c r="D129" s="55"/>
      <c r="E129" s="55"/>
      <c r="F129" s="55"/>
      <c r="G129" s="48">
        <v>6</v>
      </c>
      <c r="H129" s="55">
        <v>115</v>
      </c>
      <c r="I129" s="55">
        <f>INDEX('FY 22 OFA Shell'!$K$27:$K$195,MATCH(Data!H129,'FY 22 OFA Shell'!$H$27:$H$195,0))</f>
        <v>1311.37</v>
      </c>
      <c r="J129" s="55">
        <f>INDEX('FY 22 OFA Shell'!$N$27:$N$195,MATCH(Data!H129,'FY 22 OFA Shell'!$H$27:$H$195,0))</f>
        <v>267</v>
      </c>
      <c r="K129" s="64">
        <f>INDEX('FY 22 OFA Shell'!$S$27:$S$195,MATCH(Data!H129,'FY 22 OFA Shell'!$H$27:$H$195,0))</f>
        <v>28</v>
      </c>
      <c r="L129" s="150">
        <f t="shared" si="53"/>
        <v>0.20360386466062211</v>
      </c>
      <c r="M129" s="149">
        <f>MAX(((L129-Inputs!$E$23)*Data!I129)*Inputs!$E$24,0)</f>
        <v>0</v>
      </c>
      <c r="N129" s="151">
        <f>INDEX('FY 22 OFA Shell'!$V$27:$V$195,MATCH(Data!H129,'FY 22 OFA Shell'!$H$27:$H$195,0))</f>
        <v>1272039799.3299999</v>
      </c>
      <c r="O129" s="63">
        <f>INDEX('FY 22 OFA Shell'!$W$27:$W$195,MATCH(Data!H129,'FY 22 OFA Shell'!$H$27:$H$195,0))</f>
        <v>9736</v>
      </c>
      <c r="P129" s="65">
        <f>INDEX('FY 22 OFA Shell'!$Z$27:$Z$195,MATCH(Data!H129,'FY 22 OFA Shell'!$H$27:$H$195,0))</f>
        <v>100524</v>
      </c>
      <c r="Q129" s="63">
        <f>INDEX('FY 22 OFA Shell'!$AF$27:$AF$195,MATCH(Data!H129,'FY 22 OFA Shell'!$H$27:$H$195,0))</f>
        <v>1312</v>
      </c>
      <c r="R129" s="66">
        <f>INDEX('FY 22 OFA Shell'!$AG$27:$AG$195,MATCH(Data!H129,'FY 22 OFA Shell'!$H$27:$H$195,0))</f>
        <v>13</v>
      </c>
      <c r="S129" s="66">
        <f>INDEX('FY 22 OFA Shell'!$AJ$27:$AJ$195,MATCH(Data!H129,'FY 22 OFA Shell'!$H$27:$H$195,0))</f>
        <v>0</v>
      </c>
      <c r="T129" s="66">
        <f>INDEX('FY 22 OFA Shell'!$AK$27:$AK$195,MATCH(Data!H129,'FY 22 OFA Shell'!$H$27:$H$195,0))</f>
        <v>0</v>
      </c>
      <c r="U129" s="135">
        <v>5297609</v>
      </c>
      <c r="V129" s="67">
        <f>ROUND(J129*Inputs!$E$22, 2)</f>
        <v>80.099999999999994</v>
      </c>
      <c r="W129" s="68">
        <f>I129+V129+K129*Inputs!$E$28+Data!M129</f>
        <v>1398.4699999999998</v>
      </c>
      <c r="X129" s="69">
        <f t="shared" si="65"/>
        <v>130653.23</v>
      </c>
      <c r="Y129" s="70">
        <f>ROUND(X129/Inputs!$E$32, 6)</f>
        <v>0.678624</v>
      </c>
      <c r="Z129" s="70">
        <f>ROUND(P129/Inputs!$E$33, 6)</f>
        <v>0.83426400000000001</v>
      </c>
      <c r="AA129" s="59">
        <f>ROUND(1-((Y129*Inputs!$E$29)+Z129*Inputs!$E$27), 6)</f>
        <v>0.27468399999999998</v>
      </c>
      <c r="AB129" s="59">
        <v>231.02815271819742</v>
      </c>
      <c r="AC129" s="73">
        <f>INDEX('FY 22 OFA Shell'!$G$27:$G$195,MATCH(Data!H129,'FY 22 OFA Shell'!$H$27:$H$195,0))</f>
        <v>70</v>
      </c>
      <c r="AD129" s="73">
        <f t="shared" si="54"/>
        <v>5</v>
      </c>
      <c r="AE129" s="65">
        <v>5297609</v>
      </c>
      <c r="AF129" s="65">
        <f t="shared" si="66"/>
        <v>835174</v>
      </c>
      <c r="AG129" s="65">
        <f t="shared" si="67"/>
        <v>835174</v>
      </c>
      <c r="AH129" s="52">
        <v>4606205</v>
      </c>
      <c r="AI129" s="107">
        <v>5024784.25</v>
      </c>
      <c r="AJ129">
        <v>1</v>
      </c>
      <c r="AK129">
        <v>1272.4879333040808</v>
      </c>
      <c r="AL129" s="165">
        <f>INDEX('FY 22 OFA Shell'!$AU$27:$AU$195,MATCH(Data!H129,'FY 22 OFA Shell'!$H$27:$H$195,0))</f>
        <v>4862123</v>
      </c>
      <c r="AM129" s="165">
        <f>Outputs!H134</f>
        <v>6132783</v>
      </c>
      <c r="AN129" s="165">
        <f>Outputs!G134+Outputs!D134+Outputs!F134</f>
        <v>6132783</v>
      </c>
      <c r="AO129" s="165">
        <v>4933881</v>
      </c>
      <c r="AP129" s="165">
        <f t="shared" si="68"/>
        <v>5026056.7379333042</v>
      </c>
      <c r="AQ129" s="52" t="str">
        <f t="shared" si="69"/>
        <v>Yes</v>
      </c>
      <c r="AR129" s="308">
        <f>ABS(IF(AQ129="Yes",AF129*Inputs!$D$50,Data!AF129*Inputs!$D$51))</f>
        <v>89029.5484</v>
      </c>
      <c r="AS129" s="308">
        <f t="shared" si="55"/>
        <v>4951152.5483999997</v>
      </c>
      <c r="AT129" s="308">
        <f t="shared" si="70"/>
        <v>4951152.5483999997</v>
      </c>
      <c r="AU129" s="308"/>
      <c r="AV129" s="308">
        <f>ABS(IF($AQ129="Yes",$AF129*Inputs!E$50,Data!$AF129*Inputs!E$51))</f>
        <v>89029.5484</v>
      </c>
      <c r="AW129" s="308">
        <f>ABS(IF($AQ129="Yes",$AF129*Inputs!F$50,Data!$AF129*Inputs!F$51))</f>
        <v>89029.5484</v>
      </c>
      <c r="AX129" s="308">
        <f>ABS(IF($AQ129="Yes",$AF129*Inputs!G$50,Data!$AF129*Inputs!G$51))</f>
        <v>89029.5484</v>
      </c>
      <c r="AY129" s="308">
        <f>ABS(IF($AQ129="Yes",$AF129*Inputs!H$50,Data!$AF129*Inputs!H$51))</f>
        <v>89029.5484</v>
      </c>
      <c r="AZ129" s="308">
        <f>ABS(IF($AQ129="Yes",$AF129*Inputs!I$50,Data!$AF129*Inputs!I$51))</f>
        <v>89029.5484</v>
      </c>
      <c r="BA129" s="308">
        <f>ABS(IF($AQ129="Yes",$AF129*Inputs!J$50,Data!$AF129*Inputs!J$51))</f>
        <v>89029.5484</v>
      </c>
      <c r="BB129" s="308">
        <f>ABS(IF($AQ129="Yes",$AF129*Inputs!K$50,Data!$AF129*Inputs!K$51))</f>
        <v>0</v>
      </c>
      <c r="BC129" s="308">
        <f>ABS(IF($AQ129="Yes",$AF129*Inputs!L$50,Data!$AF129*Inputs!L$51))</f>
        <v>0</v>
      </c>
      <c r="BE129" s="308">
        <f t="shared" si="56"/>
        <v>5040182.0967999995</v>
      </c>
      <c r="BF129" s="308">
        <f t="shared" si="57"/>
        <v>5129211.6451999992</v>
      </c>
      <c r="BG129" s="308">
        <f t="shared" si="58"/>
        <v>5218241.193599999</v>
      </c>
      <c r="BH129" s="308">
        <f t="shared" si="59"/>
        <v>5307270.7419999987</v>
      </c>
      <c r="BI129" s="308">
        <f t="shared" si="60"/>
        <v>5396300.2903999984</v>
      </c>
      <c r="BJ129" s="308">
        <f t="shared" si="61"/>
        <v>6132783</v>
      </c>
      <c r="BK129" s="308">
        <f t="shared" si="62"/>
        <v>6132783</v>
      </c>
      <c r="BL129" s="308">
        <f t="shared" si="63"/>
        <v>6132783</v>
      </c>
      <c r="BN129" s="308">
        <f t="shared" si="71"/>
        <v>5040182.0967999995</v>
      </c>
      <c r="BO129" s="308">
        <f t="shared" si="72"/>
        <v>5129211.6451999992</v>
      </c>
      <c r="BP129" s="308">
        <f t="shared" si="73"/>
        <v>5218241.193599999</v>
      </c>
      <c r="BQ129" s="308">
        <f t="shared" si="74"/>
        <v>5307270.7419999987</v>
      </c>
      <c r="BR129" s="308">
        <f t="shared" si="75"/>
        <v>5396300.2903999984</v>
      </c>
      <c r="BS129" s="308">
        <f t="shared" si="76"/>
        <v>6132783</v>
      </c>
      <c r="BT129" s="308">
        <f t="shared" si="77"/>
        <v>6132783</v>
      </c>
      <c r="BU129" s="308">
        <f t="shared" si="64"/>
        <v>6132783</v>
      </c>
    </row>
    <row r="130" spans="1:73" ht="15" x14ac:dyDescent="0.2">
      <c r="A130" s="62" t="s">
        <v>128</v>
      </c>
      <c r="B130" s="55" t="s">
        <v>19</v>
      </c>
      <c r="C130" s="71"/>
      <c r="D130" s="55">
        <v>1</v>
      </c>
      <c r="E130" s="55">
        <v>1</v>
      </c>
      <c r="F130" s="55"/>
      <c r="G130" s="48">
        <v>10</v>
      </c>
      <c r="H130" s="55">
        <v>116</v>
      </c>
      <c r="I130" s="55">
        <f>INDEX('FY 22 OFA Shell'!$K$27:$K$195,MATCH(Data!H130,'FY 22 OFA Shell'!$H$27:$H$195,0))</f>
        <v>1059.3499999999999</v>
      </c>
      <c r="J130" s="55">
        <f>INDEX('FY 22 OFA Shell'!$N$27:$N$195,MATCH(Data!H130,'FY 22 OFA Shell'!$H$27:$H$195,0))</f>
        <v>689</v>
      </c>
      <c r="K130" s="64">
        <f>INDEX('FY 22 OFA Shell'!$S$27:$S$195,MATCH(Data!H130,'FY 22 OFA Shell'!$H$27:$H$195,0))</f>
        <v>40</v>
      </c>
      <c r="L130" s="150">
        <f t="shared" si="53"/>
        <v>0.650398829470902</v>
      </c>
      <c r="M130" s="149">
        <f>MAX(((L130-Inputs!$E$23)*Data!I130)*Inputs!$E$24,0)</f>
        <v>8.0085000000000068</v>
      </c>
      <c r="N130" s="151">
        <f>INDEX('FY 22 OFA Shell'!$V$27:$V$195,MATCH(Data!H130,'FY 22 OFA Shell'!$H$27:$H$195,0))</f>
        <v>1007105663.33</v>
      </c>
      <c r="O130" s="63">
        <f>INDEX('FY 22 OFA Shell'!$W$27:$W$195,MATCH(Data!H130,'FY 22 OFA Shell'!$H$27:$H$195,0))</f>
        <v>9360</v>
      </c>
      <c r="P130" s="65">
        <f>INDEX('FY 22 OFA Shell'!$Z$27:$Z$195,MATCH(Data!H130,'FY 22 OFA Shell'!$H$27:$H$195,0))</f>
        <v>59753</v>
      </c>
      <c r="Q130" s="63">
        <f>INDEX('FY 22 OFA Shell'!$AF$27:$AF$195,MATCH(Data!H130,'FY 22 OFA Shell'!$H$27:$H$195,0))</f>
        <v>0</v>
      </c>
      <c r="R130" s="66">
        <f>INDEX('FY 22 OFA Shell'!$AG$27:$AG$195,MATCH(Data!H130,'FY 22 OFA Shell'!$H$27:$H$195,0))</f>
        <v>0</v>
      </c>
      <c r="S130" s="66">
        <f>INDEX('FY 22 OFA Shell'!$AJ$27:$AJ$195,MATCH(Data!H130,'FY 22 OFA Shell'!$H$27:$H$195,0))</f>
        <v>0</v>
      </c>
      <c r="T130" s="66">
        <f>INDEX('FY 22 OFA Shell'!$AK$27:$AK$195,MATCH(Data!H130,'FY 22 OFA Shell'!$H$27:$H$195,0))</f>
        <v>0</v>
      </c>
      <c r="U130" s="135">
        <v>8340282</v>
      </c>
      <c r="V130" s="67">
        <f>ROUND(J130*Inputs!$E$22, 2)</f>
        <v>206.7</v>
      </c>
      <c r="W130" s="68">
        <f>I130+V130+K130*Inputs!$E$28+Data!M130</f>
        <v>1284.0584999999999</v>
      </c>
      <c r="X130" s="69">
        <f t="shared" si="65"/>
        <v>107596.76</v>
      </c>
      <c r="Y130" s="70">
        <f>ROUND(X130/Inputs!$E$32, 6)</f>
        <v>0.55886599999999997</v>
      </c>
      <c r="Z130" s="70">
        <f>ROUND(P130/Inputs!$E$33, 6)</f>
        <v>0.49589899999999998</v>
      </c>
      <c r="AA130" s="59">
        <f>ROUND(1-((Y130*Inputs!$E$29)+Z130*Inputs!$E$27), 6)</f>
        <v>0.46002399999999999</v>
      </c>
      <c r="AB130" s="59">
        <v>275.20354355693041</v>
      </c>
      <c r="AC130" s="73">
        <f>INDEX('FY 22 OFA Shell'!$G$27:$G$195,MATCH(Data!H130,'FY 22 OFA Shell'!$H$27:$H$195,0))</f>
        <v>33</v>
      </c>
      <c r="AD130" s="73">
        <f t="shared" si="54"/>
        <v>5</v>
      </c>
      <c r="AE130" s="65">
        <v>8340282</v>
      </c>
      <c r="AF130" s="65">
        <f t="shared" si="66"/>
        <v>-1532491</v>
      </c>
      <c r="AG130" s="65">
        <f t="shared" si="67"/>
        <v>0</v>
      </c>
      <c r="AH130" s="52">
        <v>8283776</v>
      </c>
      <c r="AI130" s="107">
        <v>8340282</v>
      </c>
      <c r="AJ130"/>
      <c r="AK130">
        <v>0</v>
      </c>
      <c r="AL130" s="165">
        <f>INDEX('FY 22 OFA Shell'!$AU$27:$AU$195,MATCH(Data!H130,'FY 22 OFA Shell'!$H$27:$H$195,0))</f>
        <v>8340282</v>
      </c>
      <c r="AM130" s="165">
        <f>Outputs!H135</f>
        <v>8340282</v>
      </c>
      <c r="AN130" s="165">
        <f>Outputs!G135+Outputs!D135+Outputs!F135</f>
        <v>6807791</v>
      </c>
      <c r="AO130" s="165">
        <v>8340282</v>
      </c>
      <c r="AP130" s="165">
        <f t="shared" si="68"/>
        <v>8340282</v>
      </c>
      <c r="AQ130" s="52" t="str">
        <f t="shared" si="69"/>
        <v>No</v>
      </c>
      <c r="AR130" s="308">
        <f>ABS(IF(AQ130="Yes",AF130*Inputs!$D$50,Data!AF130*Inputs!$D$51))</f>
        <v>0</v>
      </c>
      <c r="AS130" s="308">
        <f t="shared" si="55"/>
        <v>8340282</v>
      </c>
      <c r="AT130" s="308">
        <f t="shared" si="70"/>
        <v>8340282</v>
      </c>
      <c r="AU130" s="308"/>
      <c r="AV130" s="308">
        <f>ABS(IF($AQ130="Yes",$AF130*Inputs!E$50,Data!$AF130*Inputs!E$51))</f>
        <v>0</v>
      </c>
      <c r="AW130" s="308">
        <f>ABS(IF($AQ130="Yes",$AF130*Inputs!F$50,Data!$AF130*Inputs!F$51))</f>
        <v>127656.5003</v>
      </c>
      <c r="AX130" s="308">
        <f>ABS(IF($AQ130="Yes",$AF130*Inputs!G$50,Data!$AF130*Inputs!G$51))</f>
        <v>127656.5003</v>
      </c>
      <c r="AY130" s="308">
        <f>ABS(IF($AQ130="Yes",$AF130*Inputs!H$50,Data!$AF130*Inputs!H$51))</f>
        <v>127656.5003</v>
      </c>
      <c r="AZ130" s="308">
        <f>ABS(IF($AQ130="Yes",$AF130*Inputs!I$50,Data!$AF130*Inputs!I$51))</f>
        <v>127656.5003</v>
      </c>
      <c r="BA130" s="308">
        <f>ABS(IF($AQ130="Yes",$AF130*Inputs!J$50,Data!$AF130*Inputs!J$51))</f>
        <v>127656.5003</v>
      </c>
      <c r="BB130" s="308">
        <f>ABS(IF($AQ130="Yes",$AF130*Inputs!K$50,Data!$AF130*Inputs!K$51))</f>
        <v>127656.5003</v>
      </c>
      <c r="BC130" s="308">
        <f>ABS(IF($AQ130="Yes",$AF130*Inputs!L$50,Data!$AF130*Inputs!L$51))</f>
        <v>127656.5003</v>
      </c>
      <c r="BE130" s="308">
        <f t="shared" si="56"/>
        <v>8340282</v>
      </c>
      <c r="BF130" s="308">
        <f t="shared" si="57"/>
        <v>8212625.4996999996</v>
      </c>
      <c r="BG130" s="308">
        <f t="shared" si="58"/>
        <v>8084968.9993999992</v>
      </c>
      <c r="BH130" s="308">
        <f t="shared" si="59"/>
        <v>7957312.4990999987</v>
      </c>
      <c r="BI130" s="308">
        <f t="shared" si="60"/>
        <v>7829655.9987999983</v>
      </c>
      <c r="BJ130" s="308">
        <f t="shared" si="61"/>
        <v>7701999.4984999979</v>
      </c>
      <c r="BK130" s="308">
        <f t="shared" si="62"/>
        <v>7574342.9981999975</v>
      </c>
      <c r="BL130" s="308">
        <f t="shared" si="63"/>
        <v>6807791</v>
      </c>
      <c r="BN130" s="308">
        <f t="shared" si="71"/>
        <v>8340282</v>
      </c>
      <c r="BO130" s="308">
        <f t="shared" si="72"/>
        <v>8340282</v>
      </c>
      <c r="BP130" s="308">
        <f t="shared" si="73"/>
        <v>8340282</v>
      </c>
      <c r="BQ130" s="308">
        <f t="shared" si="74"/>
        <v>8340282</v>
      </c>
      <c r="BR130" s="308">
        <f t="shared" si="75"/>
        <v>8340282</v>
      </c>
      <c r="BS130" s="308">
        <f t="shared" si="76"/>
        <v>8340282</v>
      </c>
      <c r="BT130" s="308">
        <f t="shared" si="77"/>
        <v>8340282</v>
      </c>
      <c r="BU130" s="308">
        <f t="shared" si="64"/>
        <v>8340282</v>
      </c>
    </row>
    <row r="131" spans="1:73" ht="15" x14ac:dyDescent="0.2">
      <c r="A131" s="62" t="s">
        <v>129</v>
      </c>
      <c r="B131" s="55" t="s">
        <v>46</v>
      </c>
      <c r="C131" s="55"/>
      <c r="D131" s="55"/>
      <c r="E131" s="55"/>
      <c r="F131" s="55"/>
      <c r="G131" s="48">
        <v>1</v>
      </c>
      <c r="H131" s="55">
        <v>117</v>
      </c>
      <c r="I131" s="55">
        <f>INDEX('FY 22 OFA Shell'!$K$27:$K$195,MATCH(Data!H131,'FY 22 OFA Shell'!$H$27:$H$195,0))</f>
        <v>1228.08</v>
      </c>
      <c r="J131" s="55">
        <f>INDEX('FY 22 OFA Shell'!$N$27:$N$195,MATCH(Data!H131,'FY 22 OFA Shell'!$H$27:$H$195,0))</f>
        <v>123</v>
      </c>
      <c r="K131" s="64">
        <f>INDEX('FY 22 OFA Shell'!$S$27:$S$195,MATCH(Data!H131,'FY 22 OFA Shell'!$H$27:$H$195,0))</f>
        <v>12</v>
      </c>
      <c r="L131" s="150">
        <f t="shared" si="53"/>
        <v>0.10015634160641002</v>
      </c>
      <c r="M131" s="149">
        <f>MAX(((L131-Inputs!$E$23)*Data!I131)*Inputs!$E$24,0)</f>
        <v>0</v>
      </c>
      <c r="N131" s="151">
        <f>INDEX('FY 22 OFA Shell'!$V$27:$V$195,MATCH(Data!H131,'FY 22 OFA Shell'!$H$27:$H$195,0))</f>
        <v>2278467170.6700001</v>
      </c>
      <c r="O131" s="63">
        <f>INDEX('FY 22 OFA Shell'!$W$27:$W$195,MATCH(Data!H131,'FY 22 OFA Shell'!$H$27:$H$195,0))</f>
        <v>9209</v>
      </c>
      <c r="P131" s="65">
        <f>INDEX('FY 22 OFA Shell'!$Z$27:$Z$195,MATCH(Data!H131,'FY 22 OFA Shell'!$H$27:$H$195,0))</f>
        <v>128047</v>
      </c>
      <c r="Q131" s="63">
        <f>INDEX('FY 22 OFA Shell'!$AF$27:$AF$195,MATCH(Data!H131,'FY 22 OFA Shell'!$H$27:$H$195,0))</f>
        <v>434</v>
      </c>
      <c r="R131" s="66">
        <f>INDEX('FY 22 OFA Shell'!$AG$27:$AG$195,MATCH(Data!H131,'FY 22 OFA Shell'!$H$27:$H$195,0))</f>
        <v>4</v>
      </c>
      <c r="S131" s="66">
        <f>INDEX('FY 22 OFA Shell'!$AJ$27:$AJ$195,MATCH(Data!H131,'FY 22 OFA Shell'!$H$27:$H$195,0))</f>
        <v>0</v>
      </c>
      <c r="T131" s="66">
        <f>INDEX('FY 22 OFA Shell'!$AK$27:$AK$195,MATCH(Data!H131,'FY 22 OFA Shell'!$H$27:$H$195,0))</f>
        <v>0</v>
      </c>
      <c r="U131" s="135">
        <v>180135</v>
      </c>
      <c r="V131" s="67">
        <f>ROUND(J131*Inputs!$E$22, 2)</f>
        <v>36.9</v>
      </c>
      <c r="W131" s="68">
        <f>I131+V131+K131*Inputs!$E$28+Data!M131</f>
        <v>1267.98</v>
      </c>
      <c r="X131" s="69">
        <f t="shared" si="65"/>
        <v>247417.44</v>
      </c>
      <c r="Y131" s="70">
        <f>ROUND(X131/Inputs!$E$32, 6)</f>
        <v>1.285107</v>
      </c>
      <c r="Z131" s="70">
        <f>ROUND(P131/Inputs!$E$33, 6)</f>
        <v>1.062681</v>
      </c>
      <c r="AA131" s="59">
        <f>ROUND(1-((Y131*Inputs!$E$29)+Z131*Inputs!$E$27), 6)</f>
        <v>-0.21837899999999999</v>
      </c>
      <c r="AB131" s="59">
        <v>176.5803100797288</v>
      </c>
      <c r="AC131" s="73">
        <f>INDEX('FY 22 OFA Shell'!$G$27:$G$195,MATCH(Data!H131,'FY 22 OFA Shell'!$H$27:$H$195,0))</f>
        <v>151</v>
      </c>
      <c r="AD131" s="73">
        <f t="shared" si="54"/>
        <v>5</v>
      </c>
      <c r="AE131" s="65">
        <v>180135</v>
      </c>
      <c r="AF131" s="65">
        <f t="shared" si="66"/>
        <v>139600</v>
      </c>
      <c r="AG131" s="65">
        <f t="shared" si="67"/>
        <v>139600</v>
      </c>
      <c r="AH131" s="52">
        <v>156228</v>
      </c>
      <c r="AI131" s="107">
        <v>179601.75</v>
      </c>
      <c r="AJ131"/>
      <c r="AK131">
        <v>0</v>
      </c>
      <c r="AL131" s="165">
        <f>INDEX('FY 22 OFA Shell'!$AU$27:$AU$195,MATCH(Data!H131,'FY 22 OFA Shell'!$H$27:$H$195,0))</f>
        <v>178040</v>
      </c>
      <c r="AM131" s="165">
        <f>Outputs!H136</f>
        <v>319735</v>
      </c>
      <c r="AN131" s="165">
        <f>Outputs!G136+Outputs!D136+Outputs!F136</f>
        <v>319735</v>
      </c>
      <c r="AO131" s="165">
        <v>179132</v>
      </c>
      <c r="AP131" s="165">
        <f t="shared" si="68"/>
        <v>179601.75</v>
      </c>
      <c r="AQ131" s="52" t="str">
        <f t="shared" si="69"/>
        <v>Yes</v>
      </c>
      <c r="AR131" s="308">
        <f>ABS(IF(AQ131="Yes",AF131*Inputs!$D$50,Data!AF131*Inputs!$D$51))</f>
        <v>14881.36</v>
      </c>
      <c r="AS131" s="308">
        <f t="shared" si="55"/>
        <v>192921.36</v>
      </c>
      <c r="AT131" s="308">
        <f t="shared" si="70"/>
        <v>192921.36</v>
      </c>
      <c r="AU131" s="308"/>
      <c r="AV131" s="308">
        <f>ABS(IF($AQ131="Yes",$AF131*Inputs!E$50,Data!$AF131*Inputs!E$51))</f>
        <v>14881.36</v>
      </c>
      <c r="AW131" s="308">
        <f>ABS(IF($AQ131="Yes",$AF131*Inputs!F$50,Data!$AF131*Inputs!F$51))</f>
        <v>14881.36</v>
      </c>
      <c r="AX131" s="308">
        <f>ABS(IF($AQ131="Yes",$AF131*Inputs!G$50,Data!$AF131*Inputs!G$51))</f>
        <v>14881.36</v>
      </c>
      <c r="AY131" s="308">
        <f>ABS(IF($AQ131="Yes",$AF131*Inputs!H$50,Data!$AF131*Inputs!H$51))</f>
        <v>14881.36</v>
      </c>
      <c r="AZ131" s="308">
        <f>ABS(IF($AQ131="Yes",$AF131*Inputs!I$50,Data!$AF131*Inputs!I$51))</f>
        <v>14881.36</v>
      </c>
      <c r="BA131" s="308">
        <f>ABS(IF($AQ131="Yes",$AF131*Inputs!J$50,Data!$AF131*Inputs!J$51))</f>
        <v>14881.36</v>
      </c>
      <c r="BB131" s="308">
        <f>ABS(IF($AQ131="Yes",$AF131*Inputs!K$50,Data!$AF131*Inputs!K$51))</f>
        <v>0</v>
      </c>
      <c r="BC131" s="308">
        <f>ABS(IF($AQ131="Yes",$AF131*Inputs!L$50,Data!$AF131*Inputs!L$51))</f>
        <v>0</v>
      </c>
      <c r="BE131" s="308">
        <f t="shared" si="56"/>
        <v>207802.71999999997</v>
      </c>
      <c r="BF131" s="308">
        <f t="shared" si="57"/>
        <v>222684.07999999996</v>
      </c>
      <c r="BG131" s="308">
        <f t="shared" si="58"/>
        <v>237565.43999999994</v>
      </c>
      <c r="BH131" s="308">
        <f t="shared" si="59"/>
        <v>252446.79999999993</v>
      </c>
      <c r="BI131" s="308">
        <f t="shared" si="60"/>
        <v>267328.15999999992</v>
      </c>
      <c r="BJ131" s="308">
        <f t="shared" si="61"/>
        <v>319735</v>
      </c>
      <c r="BK131" s="308">
        <f t="shared" si="62"/>
        <v>319735</v>
      </c>
      <c r="BL131" s="308">
        <f t="shared" si="63"/>
        <v>319735</v>
      </c>
      <c r="BN131" s="308">
        <f t="shared" si="71"/>
        <v>207802.71999999997</v>
      </c>
      <c r="BO131" s="308">
        <f t="shared" si="72"/>
        <v>222684.07999999996</v>
      </c>
      <c r="BP131" s="308">
        <f t="shared" si="73"/>
        <v>237565.43999999994</v>
      </c>
      <c r="BQ131" s="308">
        <f t="shared" si="74"/>
        <v>252446.79999999993</v>
      </c>
      <c r="BR131" s="308">
        <f t="shared" si="75"/>
        <v>267328.15999999992</v>
      </c>
      <c r="BS131" s="308">
        <f t="shared" si="76"/>
        <v>319735</v>
      </c>
      <c r="BT131" s="308">
        <f t="shared" si="77"/>
        <v>319735</v>
      </c>
      <c r="BU131" s="308">
        <f t="shared" si="64"/>
        <v>319735</v>
      </c>
    </row>
    <row r="132" spans="1:73" ht="15" x14ac:dyDescent="0.2">
      <c r="A132" s="62" t="s">
        <v>130</v>
      </c>
      <c r="B132" s="55" t="s">
        <v>46</v>
      </c>
      <c r="C132" s="55"/>
      <c r="D132" s="55"/>
      <c r="E132" s="55"/>
      <c r="F132" s="55"/>
      <c r="G132" s="48">
        <v>1</v>
      </c>
      <c r="H132" s="55">
        <v>118</v>
      </c>
      <c r="I132" s="55">
        <f>INDEX('FY 22 OFA Shell'!$K$27:$K$195,MATCH(Data!H132,'FY 22 OFA Shell'!$H$27:$H$195,0))</f>
        <v>4545.18</v>
      </c>
      <c r="J132" s="55">
        <f>INDEX('FY 22 OFA Shell'!$N$27:$N$195,MATCH(Data!H132,'FY 22 OFA Shell'!$H$27:$H$195,0))</f>
        <v>250</v>
      </c>
      <c r="K132" s="64">
        <f>INDEX('FY 22 OFA Shell'!$S$27:$S$195,MATCH(Data!H132,'FY 22 OFA Shell'!$H$27:$H$195,0))</f>
        <v>50</v>
      </c>
      <c r="L132" s="150">
        <f t="shared" si="53"/>
        <v>5.5003322200660919E-2</v>
      </c>
      <c r="M132" s="149">
        <f>MAX(((L132-Inputs!$E$23)*Data!I132)*Inputs!$E$24,0)</f>
        <v>0</v>
      </c>
      <c r="N132" s="151">
        <f>INDEX('FY 22 OFA Shell'!$V$27:$V$195,MATCH(Data!H132,'FY 22 OFA Shell'!$H$27:$H$195,0))</f>
        <v>7091462587</v>
      </c>
      <c r="O132" s="63">
        <f>INDEX('FY 22 OFA Shell'!$W$27:$W$195,MATCH(Data!H132,'FY 22 OFA Shell'!$H$27:$H$195,0))</f>
        <v>25070</v>
      </c>
      <c r="P132" s="65">
        <f>INDEX('FY 22 OFA Shell'!$Z$27:$Z$195,MATCH(Data!H132,'FY 22 OFA Shell'!$H$27:$H$195,0))</f>
        <v>158518</v>
      </c>
      <c r="Q132" s="63">
        <f>INDEX('FY 22 OFA Shell'!$AF$27:$AF$195,MATCH(Data!H132,'FY 22 OFA Shell'!$H$27:$H$195,0))</f>
        <v>0</v>
      </c>
      <c r="R132" s="66">
        <f>INDEX('FY 22 OFA Shell'!$AG$27:$AG$195,MATCH(Data!H132,'FY 22 OFA Shell'!$H$27:$H$195,0))</f>
        <v>0</v>
      </c>
      <c r="S132" s="66">
        <f>INDEX('FY 22 OFA Shell'!$AJ$27:$AJ$195,MATCH(Data!H132,'FY 22 OFA Shell'!$H$27:$H$195,0))</f>
        <v>0</v>
      </c>
      <c r="T132" s="66">
        <f>INDEX('FY 22 OFA Shell'!$AK$27:$AK$195,MATCH(Data!H132,'FY 22 OFA Shell'!$H$27:$H$195,0))</f>
        <v>0</v>
      </c>
      <c r="U132" s="135">
        <v>571648</v>
      </c>
      <c r="V132" s="67">
        <f>ROUND(J132*Inputs!$E$22, 2)</f>
        <v>75</v>
      </c>
      <c r="W132" s="68">
        <f>I132+V132+K132*Inputs!$E$28+Data!M132</f>
        <v>4632.68</v>
      </c>
      <c r="X132" s="69">
        <f t="shared" si="65"/>
        <v>282866.48</v>
      </c>
      <c r="Y132" s="70">
        <f>ROUND(X132/Inputs!$E$32, 6)</f>
        <v>1.4692320000000001</v>
      </c>
      <c r="Z132" s="70">
        <f>ROUND(P132/Inputs!$E$33, 6)</f>
        <v>1.3155650000000001</v>
      </c>
      <c r="AA132" s="59">
        <f>ROUND(1-((Y132*Inputs!$E$29)+Z132*Inputs!$E$27), 6)</f>
        <v>-0.42313200000000001</v>
      </c>
      <c r="AB132" s="59">
        <v>136.35786730849145</v>
      </c>
      <c r="AC132" s="73">
        <f>INDEX('FY 22 OFA Shell'!$G$27:$G$195,MATCH(Data!H132,'FY 22 OFA Shell'!$H$27:$H$195,0))</f>
        <v>158</v>
      </c>
      <c r="AD132" s="73">
        <f t="shared" si="54"/>
        <v>5</v>
      </c>
      <c r="AE132" s="65">
        <v>571648</v>
      </c>
      <c r="AF132" s="65">
        <f t="shared" si="66"/>
        <v>-37732</v>
      </c>
      <c r="AG132" s="65">
        <f t="shared" si="67"/>
        <v>-37732</v>
      </c>
      <c r="AH132" s="52">
        <v>480583</v>
      </c>
      <c r="AI132" s="107">
        <v>570905</v>
      </c>
      <c r="AJ132">
        <v>4</v>
      </c>
      <c r="AK132">
        <v>5089.9517332163232</v>
      </c>
      <c r="AL132" s="165">
        <f>INDEX('FY 22 OFA Shell'!$AU$27:$AU$195,MATCH(Data!H132,'FY 22 OFA Shell'!$H$27:$H$195,0))</f>
        <v>568700</v>
      </c>
      <c r="AM132" s="165">
        <f>Outputs!H137</f>
        <v>533916</v>
      </c>
      <c r="AN132" s="165">
        <f>Outputs!G137+Outputs!D137+Outputs!F137</f>
        <v>533916</v>
      </c>
      <c r="AO132" s="165">
        <v>570386</v>
      </c>
      <c r="AP132" s="165">
        <f t="shared" si="68"/>
        <v>575994.95173321629</v>
      </c>
      <c r="AQ132" s="52" t="str">
        <f t="shared" si="69"/>
        <v>No</v>
      </c>
      <c r="AR132" s="308">
        <f>ABS(IF(AQ132="Yes",AF132*Inputs!$D$50,Data!AF132*Inputs!$D$51))</f>
        <v>0</v>
      </c>
      <c r="AS132" s="308">
        <f t="shared" si="55"/>
        <v>568700</v>
      </c>
      <c r="AT132" s="308">
        <f t="shared" si="70"/>
        <v>568700</v>
      </c>
      <c r="AU132" s="308"/>
      <c r="AV132" s="308">
        <f>ABS(IF($AQ132="Yes",$AF132*Inputs!E$50,Data!$AF132*Inputs!E$51))</f>
        <v>0</v>
      </c>
      <c r="AW132" s="308">
        <f>ABS(IF($AQ132="Yes",$AF132*Inputs!F$50,Data!$AF132*Inputs!F$51))</f>
        <v>3143.0756000000001</v>
      </c>
      <c r="AX132" s="308">
        <f>ABS(IF($AQ132="Yes",$AF132*Inputs!G$50,Data!$AF132*Inputs!G$51))</f>
        <v>3143.0756000000001</v>
      </c>
      <c r="AY132" s="308">
        <f>ABS(IF($AQ132="Yes",$AF132*Inputs!H$50,Data!$AF132*Inputs!H$51))</f>
        <v>3143.0756000000001</v>
      </c>
      <c r="AZ132" s="308">
        <f>ABS(IF($AQ132="Yes",$AF132*Inputs!I$50,Data!$AF132*Inputs!I$51))</f>
        <v>3143.0756000000001</v>
      </c>
      <c r="BA132" s="308">
        <f>ABS(IF($AQ132="Yes",$AF132*Inputs!J$50,Data!$AF132*Inputs!J$51))</f>
        <v>3143.0756000000001</v>
      </c>
      <c r="BB132" s="308">
        <f>ABS(IF($AQ132="Yes",$AF132*Inputs!K$50,Data!$AF132*Inputs!K$51))</f>
        <v>3143.0756000000001</v>
      </c>
      <c r="BC132" s="308">
        <f>ABS(IF($AQ132="Yes",$AF132*Inputs!L$50,Data!$AF132*Inputs!L$51))</f>
        <v>3143.0756000000001</v>
      </c>
      <c r="BE132" s="308">
        <f t="shared" si="56"/>
        <v>568700</v>
      </c>
      <c r="BF132" s="308">
        <f t="shared" si="57"/>
        <v>565556.92440000002</v>
      </c>
      <c r="BG132" s="308">
        <f t="shared" si="58"/>
        <v>562413.84880000004</v>
      </c>
      <c r="BH132" s="308">
        <f t="shared" si="59"/>
        <v>559270.77320000005</v>
      </c>
      <c r="BI132" s="308">
        <f t="shared" si="60"/>
        <v>556127.69760000007</v>
      </c>
      <c r="BJ132" s="308">
        <f t="shared" si="61"/>
        <v>552984.62200000009</v>
      </c>
      <c r="BK132" s="308">
        <f t="shared" si="62"/>
        <v>549841.54640000011</v>
      </c>
      <c r="BL132" s="308">
        <f t="shared" si="63"/>
        <v>533916</v>
      </c>
      <c r="BN132" s="308">
        <f t="shared" si="71"/>
        <v>568700</v>
      </c>
      <c r="BO132" s="308">
        <f t="shared" si="72"/>
        <v>565556.92440000002</v>
      </c>
      <c r="BP132" s="308">
        <f t="shared" si="73"/>
        <v>562413.84880000004</v>
      </c>
      <c r="BQ132" s="308">
        <f t="shared" si="74"/>
        <v>559270.77320000005</v>
      </c>
      <c r="BR132" s="308">
        <f t="shared" si="75"/>
        <v>556127.69760000007</v>
      </c>
      <c r="BS132" s="308">
        <f t="shared" si="76"/>
        <v>552984.62200000009</v>
      </c>
      <c r="BT132" s="308">
        <f t="shared" si="77"/>
        <v>549841.54640000011</v>
      </c>
      <c r="BU132" s="308">
        <f t="shared" si="64"/>
        <v>533916</v>
      </c>
    </row>
    <row r="133" spans="1:73" ht="15" x14ac:dyDescent="0.2">
      <c r="A133" s="62" t="s">
        <v>131</v>
      </c>
      <c r="B133" s="55" t="s">
        <v>14</v>
      </c>
      <c r="C133" s="55"/>
      <c r="D133" s="55"/>
      <c r="E133" s="55"/>
      <c r="F133" s="55"/>
      <c r="G133" s="48">
        <v>6</v>
      </c>
      <c r="H133" s="55">
        <v>119</v>
      </c>
      <c r="I133" s="55">
        <f>INDEX('FY 22 OFA Shell'!$K$27:$K$195,MATCH(Data!H133,'FY 22 OFA Shell'!$H$27:$H$195,0))</f>
        <v>2774.17</v>
      </c>
      <c r="J133" s="55">
        <f>INDEX('FY 22 OFA Shell'!$N$27:$N$195,MATCH(Data!H133,'FY 22 OFA Shell'!$H$27:$H$195,0))</f>
        <v>506</v>
      </c>
      <c r="K133" s="64">
        <f>INDEX('FY 22 OFA Shell'!$S$27:$S$195,MATCH(Data!H133,'FY 22 OFA Shell'!$H$27:$H$195,0))</f>
        <v>215</v>
      </c>
      <c r="L133" s="150">
        <f t="shared" si="53"/>
        <v>0.18239689708994042</v>
      </c>
      <c r="M133" s="149">
        <f>MAX(((L133-Inputs!$E$23)*Data!I133)*Inputs!$E$24,0)</f>
        <v>0</v>
      </c>
      <c r="N133" s="151">
        <f>INDEX('FY 22 OFA Shell'!$V$27:$V$195,MATCH(Data!H133,'FY 22 OFA Shell'!$H$27:$H$195,0))</f>
        <v>3097362568</v>
      </c>
      <c r="O133" s="63">
        <f>INDEX('FY 22 OFA Shell'!$W$27:$W$195,MATCH(Data!H133,'FY 22 OFA Shell'!$H$27:$H$195,0))</f>
        <v>20137</v>
      </c>
      <c r="P133" s="65">
        <f>INDEX('FY 22 OFA Shell'!$Z$27:$Z$195,MATCH(Data!H133,'FY 22 OFA Shell'!$H$27:$H$195,0))</f>
        <v>83100</v>
      </c>
      <c r="Q133" s="63">
        <f>INDEX('FY 22 OFA Shell'!$AF$27:$AF$195,MATCH(Data!H133,'FY 22 OFA Shell'!$H$27:$H$195,0))</f>
        <v>0</v>
      </c>
      <c r="R133" s="66">
        <f>INDEX('FY 22 OFA Shell'!$AG$27:$AG$195,MATCH(Data!H133,'FY 22 OFA Shell'!$H$27:$H$195,0))</f>
        <v>0</v>
      </c>
      <c r="S133" s="66">
        <f>INDEX('FY 22 OFA Shell'!$AJ$27:$AJ$195,MATCH(Data!H133,'FY 22 OFA Shell'!$H$27:$H$195,0))</f>
        <v>0</v>
      </c>
      <c r="T133" s="66">
        <f>INDEX('FY 22 OFA Shell'!$AK$27:$AK$195,MATCH(Data!H133,'FY 22 OFA Shell'!$H$27:$H$195,0))</f>
        <v>0</v>
      </c>
      <c r="U133" s="135">
        <v>4250230</v>
      </c>
      <c r="V133" s="67">
        <f>ROUND(J133*Inputs!$E$22, 2)</f>
        <v>151.80000000000001</v>
      </c>
      <c r="W133" s="68">
        <f>I133+V133+K133*Inputs!$E$28+Data!M133</f>
        <v>2979.7200000000003</v>
      </c>
      <c r="X133" s="69">
        <f t="shared" si="65"/>
        <v>153814.5</v>
      </c>
      <c r="Y133" s="70">
        <f>ROUND(X133/Inputs!$E$32, 6)</f>
        <v>0.798925</v>
      </c>
      <c r="Z133" s="70">
        <f>ROUND(P133/Inputs!$E$33, 6)</f>
        <v>0.68965900000000002</v>
      </c>
      <c r="AA133" s="59">
        <f>ROUND(1-((Y133*Inputs!$E$29)+Z133*Inputs!$E$27), 6)</f>
        <v>0.23385500000000001</v>
      </c>
      <c r="AB133" s="59">
        <v>221.44986690755781</v>
      </c>
      <c r="AC133" s="73">
        <f>INDEX('FY 22 OFA Shell'!$G$27:$G$195,MATCH(Data!H133,'FY 22 OFA Shell'!$H$27:$H$195,0))</f>
        <v>110</v>
      </c>
      <c r="AD133" s="73">
        <f t="shared" si="54"/>
        <v>5</v>
      </c>
      <c r="AE133" s="65">
        <v>4250230</v>
      </c>
      <c r="AF133" s="65">
        <f t="shared" si="66"/>
        <v>3780648</v>
      </c>
      <c r="AG133" s="65">
        <f t="shared" si="67"/>
        <v>3780648</v>
      </c>
      <c r="AH133" s="52">
        <v>3678283</v>
      </c>
      <c r="AI133" s="107">
        <v>4347629.0669999998</v>
      </c>
      <c r="AJ133"/>
      <c r="AK133">
        <v>0</v>
      </c>
      <c r="AL133" s="165">
        <f>INDEX('FY 22 OFA Shell'!$AU$27:$AU$195,MATCH(Data!H133,'FY 22 OFA Shell'!$H$27:$H$195,0))</f>
        <v>5010814</v>
      </c>
      <c r="AM133" s="165">
        <f>Outputs!H138</f>
        <v>8030878</v>
      </c>
      <c r="AN133" s="165">
        <f>Outputs!G138+Outputs!D138+Outputs!F138</f>
        <v>8030878</v>
      </c>
      <c r="AO133" s="165">
        <v>4638485</v>
      </c>
      <c r="AP133" s="165">
        <f t="shared" si="68"/>
        <v>4347629.0669999998</v>
      </c>
      <c r="AQ133" s="52" t="str">
        <f t="shared" si="69"/>
        <v>Yes</v>
      </c>
      <c r="AR133" s="308">
        <f>ABS(IF(AQ133="Yes",AF133*Inputs!$D$50,Data!AF133*Inputs!$D$51))</f>
        <v>403017.07679999998</v>
      </c>
      <c r="AS133" s="308">
        <f t="shared" si="55"/>
        <v>5413831.0767999999</v>
      </c>
      <c r="AT133" s="308">
        <f t="shared" si="70"/>
        <v>5413831.0767999999</v>
      </c>
      <c r="AU133" s="308"/>
      <c r="AV133" s="308">
        <f>ABS(IF($AQ133="Yes",$AF133*Inputs!E$50,Data!$AF133*Inputs!E$51))</f>
        <v>403017.07679999998</v>
      </c>
      <c r="AW133" s="308">
        <f>ABS(IF($AQ133="Yes",$AF133*Inputs!F$50,Data!$AF133*Inputs!F$51))</f>
        <v>403017.07679999998</v>
      </c>
      <c r="AX133" s="308">
        <f>ABS(IF($AQ133="Yes",$AF133*Inputs!G$50,Data!$AF133*Inputs!G$51))</f>
        <v>403017.07679999998</v>
      </c>
      <c r="AY133" s="308">
        <f>ABS(IF($AQ133="Yes",$AF133*Inputs!H$50,Data!$AF133*Inputs!H$51))</f>
        <v>403017.07679999998</v>
      </c>
      <c r="AZ133" s="308">
        <f>ABS(IF($AQ133="Yes",$AF133*Inputs!I$50,Data!$AF133*Inputs!I$51))</f>
        <v>403017.07679999998</v>
      </c>
      <c r="BA133" s="308">
        <f>ABS(IF($AQ133="Yes",$AF133*Inputs!J$50,Data!$AF133*Inputs!J$51))</f>
        <v>403017.07679999998</v>
      </c>
      <c r="BB133" s="308">
        <f>ABS(IF($AQ133="Yes",$AF133*Inputs!K$50,Data!$AF133*Inputs!K$51))</f>
        <v>0</v>
      </c>
      <c r="BC133" s="308">
        <f>ABS(IF($AQ133="Yes",$AF133*Inputs!L$50,Data!$AF133*Inputs!L$51))</f>
        <v>0</v>
      </c>
      <c r="BE133" s="308">
        <f t="shared" si="56"/>
        <v>5816848.1535999998</v>
      </c>
      <c r="BF133" s="308">
        <f t="shared" si="57"/>
        <v>6219865.2303999998</v>
      </c>
      <c r="BG133" s="308">
        <f t="shared" si="58"/>
        <v>6622882.3071999997</v>
      </c>
      <c r="BH133" s="308">
        <f t="shared" si="59"/>
        <v>7025899.3839999996</v>
      </c>
      <c r="BI133" s="308">
        <f t="shared" si="60"/>
        <v>7428916.4607999995</v>
      </c>
      <c r="BJ133" s="308">
        <f t="shared" si="61"/>
        <v>8030878</v>
      </c>
      <c r="BK133" s="308">
        <f t="shared" si="62"/>
        <v>8030878</v>
      </c>
      <c r="BL133" s="308">
        <f t="shared" si="63"/>
        <v>8030878</v>
      </c>
      <c r="BN133" s="308">
        <f t="shared" si="71"/>
        <v>5816848.1535999998</v>
      </c>
      <c r="BO133" s="308">
        <f t="shared" si="72"/>
        <v>6219865.2303999998</v>
      </c>
      <c r="BP133" s="308">
        <f t="shared" si="73"/>
        <v>6622882.3071999997</v>
      </c>
      <c r="BQ133" s="308">
        <f t="shared" si="74"/>
        <v>7025899.3839999996</v>
      </c>
      <c r="BR133" s="308">
        <f t="shared" si="75"/>
        <v>7428916.4607999995</v>
      </c>
      <c r="BS133" s="308">
        <f t="shared" si="76"/>
        <v>8030878</v>
      </c>
      <c r="BT133" s="308">
        <f t="shared" si="77"/>
        <v>8030878</v>
      </c>
      <c r="BU133" s="308">
        <f t="shared" si="64"/>
        <v>8030878</v>
      </c>
    </row>
    <row r="134" spans="1:73" ht="15" x14ac:dyDescent="0.2">
      <c r="A134" s="62" t="s">
        <v>132</v>
      </c>
      <c r="B134" s="55" t="s">
        <v>4</v>
      </c>
      <c r="C134" s="55"/>
      <c r="D134" s="55"/>
      <c r="E134" s="55"/>
      <c r="F134" s="55"/>
      <c r="G134" s="48">
        <v>1</v>
      </c>
      <c r="H134" s="55">
        <v>120</v>
      </c>
      <c r="I134" s="55">
        <f>INDEX('FY 22 OFA Shell'!$K$27:$K$195,MATCH(Data!H134,'FY 22 OFA Shell'!$H$27:$H$195,0))</f>
        <v>192.02</v>
      </c>
      <c r="J134" s="55">
        <f>INDEX('FY 22 OFA Shell'!$N$27:$N$195,MATCH(Data!H134,'FY 22 OFA Shell'!$H$27:$H$195,0))</f>
        <v>43</v>
      </c>
      <c r="K134" s="64">
        <f>INDEX('FY 22 OFA Shell'!$S$27:$S$195,MATCH(Data!H134,'FY 22 OFA Shell'!$H$27:$H$195,0))</f>
        <v>2</v>
      </c>
      <c r="L134" s="150">
        <f t="shared" si="53"/>
        <v>0.22393500677012809</v>
      </c>
      <c r="M134" s="149">
        <f>MAX(((L134-Inputs!$E$23)*Data!I134)*Inputs!$E$24,0)</f>
        <v>0</v>
      </c>
      <c r="N134" s="151">
        <f>INDEX('FY 22 OFA Shell'!$V$27:$V$195,MATCH(Data!H134,'FY 22 OFA Shell'!$H$27:$H$195,0))</f>
        <v>923272151.66999996</v>
      </c>
      <c r="O134" s="63">
        <f>INDEX('FY 22 OFA Shell'!$W$27:$W$195,MATCH(Data!H134,'FY 22 OFA Shell'!$H$27:$H$195,0))</f>
        <v>2103</v>
      </c>
      <c r="P134" s="65">
        <f>INDEX('FY 22 OFA Shell'!$Z$27:$Z$195,MATCH(Data!H134,'FY 22 OFA Shell'!$H$27:$H$195,0))</f>
        <v>137656</v>
      </c>
      <c r="Q134" s="63">
        <f>INDEX('FY 22 OFA Shell'!$AF$27:$AF$195,MATCH(Data!H134,'FY 22 OFA Shell'!$H$27:$H$195,0))</f>
        <v>192</v>
      </c>
      <c r="R134" s="66">
        <f>INDEX('FY 22 OFA Shell'!$AG$27:$AG$195,MATCH(Data!H134,'FY 22 OFA Shell'!$H$27:$H$195,0))</f>
        <v>13</v>
      </c>
      <c r="S134" s="66">
        <f>INDEX('FY 22 OFA Shell'!$AJ$27:$AJ$195,MATCH(Data!H134,'FY 22 OFA Shell'!$H$27:$H$195,0))</f>
        <v>0</v>
      </c>
      <c r="T134" s="66">
        <f>INDEX('FY 22 OFA Shell'!$AK$27:$AK$195,MATCH(Data!H134,'FY 22 OFA Shell'!$H$27:$H$195,0))</f>
        <v>0</v>
      </c>
      <c r="U134" s="135">
        <v>33612</v>
      </c>
      <c r="V134" s="67">
        <f>ROUND(J134*Inputs!$E$22, 2)</f>
        <v>12.9</v>
      </c>
      <c r="W134" s="68">
        <f>I134+V134+K134*Inputs!$E$28+Data!M134</f>
        <v>205.42000000000002</v>
      </c>
      <c r="X134" s="69">
        <f t="shared" si="65"/>
        <v>439026.23</v>
      </c>
      <c r="Y134" s="70">
        <f>ROUND(X134/Inputs!$E$32, 6)</f>
        <v>2.280338</v>
      </c>
      <c r="Z134" s="70">
        <f>ROUND(P134/Inputs!$E$33, 6)</f>
        <v>1.142428</v>
      </c>
      <c r="AA134" s="59">
        <f>ROUND(1-((Y134*Inputs!$E$29)+Z134*Inputs!$E$27), 6)</f>
        <v>-0.93896500000000005</v>
      </c>
      <c r="AB134" s="59">
        <v>110.72820744082085</v>
      </c>
      <c r="AC134" s="73">
        <f>INDEX('FY 22 OFA Shell'!$G$27:$G$195,MATCH(Data!H134,'FY 22 OFA Shell'!$H$27:$H$195,0))</f>
        <v>165</v>
      </c>
      <c r="AD134" s="73">
        <f t="shared" si="54"/>
        <v>5</v>
      </c>
      <c r="AE134" s="65">
        <v>33612</v>
      </c>
      <c r="AF134" s="65">
        <f t="shared" si="66"/>
        <v>239663</v>
      </c>
      <c r="AG134" s="65">
        <f t="shared" si="67"/>
        <v>239663</v>
      </c>
      <c r="AH134" s="52">
        <v>26867</v>
      </c>
      <c r="AI134" s="107">
        <v>34177.226000000002</v>
      </c>
      <c r="AJ134"/>
      <c r="AK134">
        <v>0</v>
      </c>
      <c r="AL134" s="165">
        <f>INDEX('FY 22 OFA Shell'!$AU$27:$AU$195,MATCH(Data!H134,'FY 22 OFA Shell'!$H$27:$H$195,0))</f>
        <v>36047</v>
      </c>
      <c r="AM134" s="165">
        <f>Outputs!H139</f>
        <v>273275</v>
      </c>
      <c r="AN134" s="165">
        <f>Outputs!G139+Outputs!D139+Outputs!F139</f>
        <v>273275</v>
      </c>
      <c r="AO134" s="165">
        <v>35362</v>
      </c>
      <c r="AP134" s="165">
        <f t="shared" si="68"/>
        <v>34177.226000000002</v>
      </c>
      <c r="AQ134" s="52" t="str">
        <f t="shared" si="69"/>
        <v>Yes</v>
      </c>
      <c r="AR134" s="308">
        <f>ABS(IF(AQ134="Yes",AF134*Inputs!$D$50,Data!AF134*Inputs!$D$51))</f>
        <v>25548.075799999999</v>
      </c>
      <c r="AS134" s="308">
        <f t="shared" si="55"/>
        <v>61595.075799999999</v>
      </c>
      <c r="AT134" s="308">
        <f t="shared" si="70"/>
        <v>61595.075799999999</v>
      </c>
      <c r="AU134" s="308"/>
      <c r="AV134" s="308">
        <f>ABS(IF($AQ134="Yes",$AF134*Inputs!E$50,Data!$AF134*Inputs!E$51))</f>
        <v>25548.075799999999</v>
      </c>
      <c r="AW134" s="308">
        <f>ABS(IF($AQ134="Yes",$AF134*Inputs!F$50,Data!$AF134*Inputs!F$51))</f>
        <v>25548.075799999999</v>
      </c>
      <c r="AX134" s="308">
        <f>ABS(IF($AQ134="Yes",$AF134*Inputs!G$50,Data!$AF134*Inputs!G$51))</f>
        <v>25548.075799999999</v>
      </c>
      <c r="AY134" s="308">
        <f>ABS(IF($AQ134="Yes",$AF134*Inputs!H$50,Data!$AF134*Inputs!H$51))</f>
        <v>25548.075799999999</v>
      </c>
      <c r="AZ134" s="308">
        <f>ABS(IF($AQ134="Yes",$AF134*Inputs!I$50,Data!$AF134*Inputs!I$51))</f>
        <v>25548.075799999999</v>
      </c>
      <c r="BA134" s="308">
        <f>ABS(IF($AQ134="Yes",$AF134*Inputs!J$50,Data!$AF134*Inputs!J$51))</f>
        <v>25548.075799999999</v>
      </c>
      <c r="BB134" s="308">
        <f>ABS(IF($AQ134="Yes",$AF134*Inputs!K$50,Data!$AF134*Inputs!K$51))</f>
        <v>0</v>
      </c>
      <c r="BC134" s="308">
        <f>ABS(IF($AQ134="Yes",$AF134*Inputs!L$50,Data!$AF134*Inputs!L$51))</f>
        <v>0</v>
      </c>
      <c r="BE134" s="308">
        <f t="shared" si="56"/>
        <v>87143.151599999997</v>
      </c>
      <c r="BF134" s="308">
        <f t="shared" si="57"/>
        <v>112691.2274</v>
      </c>
      <c r="BG134" s="308">
        <f t="shared" si="58"/>
        <v>138239.30319999999</v>
      </c>
      <c r="BH134" s="308">
        <f t="shared" si="59"/>
        <v>163787.37899999999</v>
      </c>
      <c r="BI134" s="308">
        <f t="shared" si="60"/>
        <v>189335.45479999998</v>
      </c>
      <c r="BJ134" s="308">
        <f t="shared" si="61"/>
        <v>273275</v>
      </c>
      <c r="BK134" s="308">
        <f t="shared" si="62"/>
        <v>273275</v>
      </c>
      <c r="BL134" s="308">
        <f t="shared" si="63"/>
        <v>273275</v>
      </c>
      <c r="BN134" s="308">
        <f t="shared" si="71"/>
        <v>87143.151599999997</v>
      </c>
      <c r="BO134" s="308">
        <f t="shared" si="72"/>
        <v>112691.2274</v>
      </c>
      <c r="BP134" s="308">
        <f t="shared" si="73"/>
        <v>138239.30319999999</v>
      </c>
      <c r="BQ134" s="308">
        <f t="shared" si="74"/>
        <v>163787.37899999999</v>
      </c>
      <c r="BR134" s="308">
        <f t="shared" si="75"/>
        <v>189335.45479999998</v>
      </c>
      <c r="BS134" s="308">
        <f t="shared" si="76"/>
        <v>273275</v>
      </c>
      <c r="BT134" s="308">
        <f t="shared" si="77"/>
        <v>273275</v>
      </c>
      <c r="BU134" s="308">
        <f t="shared" si="64"/>
        <v>273275</v>
      </c>
    </row>
    <row r="135" spans="1:73" ht="15" x14ac:dyDescent="0.2">
      <c r="A135" s="62" t="s">
        <v>133</v>
      </c>
      <c r="B135" s="55" t="s">
        <v>4</v>
      </c>
      <c r="C135" s="55"/>
      <c r="D135" s="55"/>
      <c r="E135" s="55"/>
      <c r="F135" s="55"/>
      <c r="G135" s="48">
        <v>5</v>
      </c>
      <c r="H135" s="55">
        <v>121</v>
      </c>
      <c r="I135" s="55">
        <f>INDEX('FY 22 OFA Shell'!$K$27:$K$195,MATCH(Data!H135,'FY 22 OFA Shell'!$H$27:$H$195,0))</f>
        <v>592.69000000000005</v>
      </c>
      <c r="J135" s="55">
        <f>INDEX('FY 22 OFA Shell'!$N$27:$N$195,MATCH(Data!H135,'FY 22 OFA Shell'!$H$27:$H$195,0))</f>
        <v>134</v>
      </c>
      <c r="K135" s="64">
        <f>INDEX('FY 22 OFA Shell'!$S$27:$S$195,MATCH(Data!H135,'FY 22 OFA Shell'!$H$27:$H$195,0))</f>
        <v>3</v>
      </c>
      <c r="L135" s="150">
        <f t="shared" si="53"/>
        <v>0.22608783681182404</v>
      </c>
      <c r="M135" s="149">
        <f>MAX(((L135-Inputs!$E$23)*Data!I135)*Inputs!$E$24,0)</f>
        <v>0</v>
      </c>
      <c r="N135" s="151">
        <f>INDEX('FY 22 OFA Shell'!$V$27:$V$195,MATCH(Data!H135,'FY 22 OFA Shell'!$H$27:$H$195,0))</f>
        <v>551143124</v>
      </c>
      <c r="O135" s="63">
        <f>INDEX('FY 22 OFA Shell'!$W$27:$W$195,MATCH(Data!H135,'FY 22 OFA Shell'!$H$27:$H$195,0))</f>
        <v>4126</v>
      </c>
      <c r="P135" s="65">
        <f>INDEX('FY 22 OFA Shell'!$Z$27:$Z$195,MATCH(Data!H135,'FY 22 OFA Shell'!$H$27:$H$195,0))</f>
        <v>113000</v>
      </c>
      <c r="Q135" s="63">
        <f>INDEX('FY 22 OFA Shell'!$AF$27:$AF$195,MATCH(Data!H135,'FY 22 OFA Shell'!$H$27:$H$195,0))</f>
        <v>0</v>
      </c>
      <c r="R135" s="66">
        <f>INDEX('FY 22 OFA Shell'!$AG$27:$AG$195,MATCH(Data!H135,'FY 22 OFA Shell'!$H$27:$H$195,0))</f>
        <v>0</v>
      </c>
      <c r="S135" s="66">
        <f>INDEX('FY 22 OFA Shell'!$AJ$27:$AJ$195,MATCH(Data!H135,'FY 22 OFA Shell'!$H$27:$H$195,0))</f>
        <v>0</v>
      </c>
      <c r="T135" s="66">
        <f>INDEX('FY 22 OFA Shell'!$AK$27:$AK$195,MATCH(Data!H135,'FY 22 OFA Shell'!$H$27:$H$195,0))</f>
        <v>0</v>
      </c>
      <c r="U135" s="135">
        <v>3049314</v>
      </c>
      <c r="V135" s="67">
        <f>ROUND(J135*Inputs!$E$22, 2)</f>
        <v>40.200000000000003</v>
      </c>
      <c r="W135" s="68">
        <f>I135+V135+K135*Inputs!$E$28+Data!M135</f>
        <v>633.6400000000001</v>
      </c>
      <c r="X135" s="69">
        <f t="shared" si="65"/>
        <v>133578.07</v>
      </c>
      <c r="Y135" s="70">
        <f>ROUND(X135/Inputs!$E$32, 6)</f>
        <v>0.69381499999999996</v>
      </c>
      <c r="Z135" s="70">
        <f>ROUND(P135/Inputs!$E$33, 6)</f>
        <v>0.93780399999999997</v>
      </c>
      <c r="AA135" s="59">
        <f>ROUND(1-((Y135*Inputs!$E$29)+Z135*Inputs!$E$27), 6)</f>
        <v>0.232988</v>
      </c>
      <c r="AB135" s="59">
        <v>241.67807459054256</v>
      </c>
      <c r="AC135" s="73">
        <f>INDEX('FY 22 OFA Shell'!$G$27:$G$195,MATCH(Data!H135,'FY 22 OFA Shell'!$H$27:$H$195,0))</f>
        <v>66</v>
      </c>
      <c r="AD135" s="73">
        <f t="shared" si="54"/>
        <v>5</v>
      </c>
      <c r="AE135" s="65">
        <v>3049314</v>
      </c>
      <c r="AF135" s="65">
        <f t="shared" si="66"/>
        <v>-1347872</v>
      </c>
      <c r="AG135" s="65">
        <f t="shared" si="67"/>
        <v>-1347872</v>
      </c>
      <c r="AH135" s="52">
        <v>2654289</v>
      </c>
      <c r="AI135" s="107">
        <v>2728827</v>
      </c>
      <c r="AJ135"/>
      <c r="AK135">
        <v>0</v>
      </c>
      <c r="AL135" s="165">
        <f>INDEX('FY 22 OFA Shell'!$AU$27:$AU$195,MATCH(Data!H135,'FY 22 OFA Shell'!$H$27:$H$195,0))</f>
        <v>2525078</v>
      </c>
      <c r="AM135" s="165">
        <f>Outputs!H140</f>
        <v>1701442</v>
      </c>
      <c r="AN135" s="165">
        <f>Outputs!G140+Outputs!D140+Outputs!F140</f>
        <v>1701442</v>
      </c>
      <c r="AO135" s="165">
        <v>2626251</v>
      </c>
      <c r="AP135" s="165">
        <f t="shared" si="68"/>
        <v>2728827</v>
      </c>
      <c r="AQ135" s="52" t="str">
        <f t="shared" si="69"/>
        <v>No</v>
      </c>
      <c r="AR135" s="308">
        <f>ABS(IF(AQ135="Yes",AF135*Inputs!$D$50,Data!AF135*Inputs!$D$51))</f>
        <v>0</v>
      </c>
      <c r="AS135" s="308">
        <f t="shared" si="55"/>
        <v>2525078</v>
      </c>
      <c r="AT135" s="308">
        <f t="shared" si="70"/>
        <v>2525078</v>
      </c>
      <c r="AU135" s="308"/>
      <c r="AV135" s="308">
        <f>ABS(IF($AQ135="Yes",$AF135*Inputs!E$50,Data!$AF135*Inputs!E$51))</f>
        <v>0</v>
      </c>
      <c r="AW135" s="308">
        <f>ABS(IF($AQ135="Yes",$AF135*Inputs!F$50,Data!$AF135*Inputs!F$51))</f>
        <v>112277.73759999999</v>
      </c>
      <c r="AX135" s="308">
        <f>ABS(IF($AQ135="Yes",$AF135*Inputs!G$50,Data!$AF135*Inputs!G$51))</f>
        <v>112277.73759999999</v>
      </c>
      <c r="AY135" s="308">
        <f>ABS(IF($AQ135="Yes",$AF135*Inputs!H$50,Data!$AF135*Inputs!H$51))</f>
        <v>112277.73759999999</v>
      </c>
      <c r="AZ135" s="308">
        <f>ABS(IF($AQ135="Yes",$AF135*Inputs!I$50,Data!$AF135*Inputs!I$51))</f>
        <v>112277.73759999999</v>
      </c>
      <c r="BA135" s="308">
        <f>ABS(IF($AQ135="Yes",$AF135*Inputs!J$50,Data!$AF135*Inputs!J$51))</f>
        <v>112277.73759999999</v>
      </c>
      <c r="BB135" s="308">
        <f>ABS(IF($AQ135="Yes",$AF135*Inputs!K$50,Data!$AF135*Inputs!K$51))</f>
        <v>112277.73759999999</v>
      </c>
      <c r="BC135" s="308">
        <f>ABS(IF($AQ135="Yes",$AF135*Inputs!L$50,Data!$AF135*Inputs!L$51))</f>
        <v>112277.73759999999</v>
      </c>
      <c r="BE135" s="308">
        <f t="shared" si="56"/>
        <v>2525078</v>
      </c>
      <c r="BF135" s="308">
        <f t="shared" si="57"/>
        <v>2412800.2623999999</v>
      </c>
      <c r="BG135" s="308">
        <f t="shared" si="58"/>
        <v>2300522.5247999998</v>
      </c>
      <c r="BH135" s="308">
        <f t="shared" si="59"/>
        <v>2188244.7871999997</v>
      </c>
      <c r="BI135" s="308">
        <f t="shared" si="60"/>
        <v>2075967.0495999996</v>
      </c>
      <c r="BJ135" s="308">
        <f t="shared" si="61"/>
        <v>1963689.3119999995</v>
      </c>
      <c r="BK135" s="308">
        <f t="shared" si="62"/>
        <v>1851411.5743999993</v>
      </c>
      <c r="BL135" s="308">
        <f t="shared" si="63"/>
        <v>1701442</v>
      </c>
      <c r="BN135" s="308">
        <f t="shared" si="71"/>
        <v>2525078</v>
      </c>
      <c r="BO135" s="308">
        <f t="shared" si="72"/>
        <v>2412800.2623999999</v>
      </c>
      <c r="BP135" s="308">
        <f t="shared" si="73"/>
        <v>2300522.5247999998</v>
      </c>
      <c r="BQ135" s="308">
        <f t="shared" si="74"/>
        <v>2188244.7871999997</v>
      </c>
      <c r="BR135" s="308">
        <f t="shared" si="75"/>
        <v>2075967.0495999996</v>
      </c>
      <c r="BS135" s="308">
        <f t="shared" si="76"/>
        <v>1963689.3119999995</v>
      </c>
      <c r="BT135" s="308">
        <f t="shared" si="77"/>
        <v>1851411.5743999993</v>
      </c>
      <c r="BU135" s="308">
        <f t="shared" si="64"/>
        <v>1701442</v>
      </c>
    </row>
    <row r="136" spans="1:73" ht="15" x14ac:dyDescent="0.2">
      <c r="A136" s="62" t="s">
        <v>134</v>
      </c>
      <c r="B136" s="55" t="s">
        <v>8</v>
      </c>
      <c r="C136" s="55"/>
      <c r="D136" s="55"/>
      <c r="E136" s="55"/>
      <c r="F136" s="55"/>
      <c r="G136" s="48">
        <v>1</v>
      </c>
      <c r="H136" s="55">
        <v>122</v>
      </c>
      <c r="I136" s="55">
        <f>INDEX('FY 22 OFA Shell'!$K$27:$K$195,MATCH(Data!H136,'FY 22 OFA Shell'!$H$27:$H$195,0))</f>
        <v>350.29</v>
      </c>
      <c r="J136" s="55">
        <f>INDEX('FY 22 OFA Shell'!$N$27:$N$195,MATCH(Data!H136,'FY 22 OFA Shell'!$H$27:$H$195,0))</f>
        <v>78</v>
      </c>
      <c r="K136" s="64">
        <f>INDEX('FY 22 OFA Shell'!$S$27:$S$195,MATCH(Data!H136,'FY 22 OFA Shell'!$H$27:$H$195,0))</f>
        <v>8</v>
      </c>
      <c r="L136" s="150">
        <f t="shared" si="53"/>
        <v>0.22267264266750406</v>
      </c>
      <c r="M136" s="149">
        <f>MAX(((L136-Inputs!$E$23)*Data!I136)*Inputs!$E$24,0)</f>
        <v>0</v>
      </c>
      <c r="N136" s="151">
        <f>INDEX('FY 22 OFA Shell'!$V$27:$V$195,MATCH(Data!H136,'FY 22 OFA Shell'!$H$27:$H$195,0))</f>
        <v>1788111355</v>
      </c>
      <c r="O136" s="63">
        <f>INDEX('FY 22 OFA Shell'!$W$27:$W$195,MATCH(Data!H136,'FY 22 OFA Shell'!$H$27:$H$195,0))</f>
        <v>3631</v>
      </c>
      <c r="P136" s="65">
        <f>INDEX('FY 22 OFA Shell'!$Z$27:$Z$195,MATCH(Data!H136,'FY 22 OFA Shell'!$H$27:$H$195,0))</f>
        <v>83698</v>
      </c>
      <c r="Q136" s="63">
        <f>INDEX('FY 22 OFA Shell'!$AF$27:$AF$195,MATCH(Data!H136,'FY 22 OFA Shell'!$H$27:$H$195,0))</f>
        <v>59</v>
      </c>
      <c r="R136" s="66">
        <f>INDEX('FY 22 OFA Shell'!$AG$27:$AG$195,MATCH(Data!H136,'FY 22 OFA Shell'!$H$27:$H$195,0))</f>
        <v>4</v>
      </c>
      <c r="S136" s="66">
        <f>INDEX('FY 22 OFA Shell'!$AJ$27:$AJ$195,MATCH(Data!H136,'FY 22 OFA Shell'!$H$27:$H$195,0))</f>
        <v>0</v>
      </c>
      <c r="T136" s="66">
        <f>INDEX('FY 22 OFA Shell'!$AK$27:$AK$195,MATCH(Data!H136,'FY 22 OFA Shell'!$H$27:$H$195,0))</f>
        <v>0</v>
      </c>
      <c r="U136" s="135">
        <v>10871</v>
      </c>
      <c r="V136" s="67">
        <f>ROUND(J136*Inputs!$E$22, 2)</f>
        <v>23.4</v>
      </c>
      <c r="W136" s="68">
        <f>I136+V136+K136*Inputs!$E$28+Data!M136</f>
        <v>375.69</v>
      </c>
      <c r="X136" s="69">
        <f t="shared" si="65"/>
        <v>492457</v>
      </c>
      <c r="Y136" s="70">
        <f>ROUND(X136/Inputs!$E$32, 6)</f>
        <v>2.5578620000000001</v>
      </c>
      <c r="Z136" s="70">
        <f>ROUND(P136/Inputs!$E$33, 6)</f>
        <v>0.69462199999999996</v>
      </c>
      <c r="AA136" s="59">
        <f>ROUND(1-((Y136*Inputs!$E$29)+Z136*Inputs!$E$27), 6)</f>
        <v>-0.99888999999999994</v>
      </c>
      <c r="AB136" s="59">
        <v>129.0615270536816</v>
      </c>
      <c r="AC136" s="73">
        <f>INDEX('FY 22 OFA Shell'!$G$27:$G$195,MATCH(Data!H136,'FY 22 OFA Shell'!$H$27:$H$195,0))</f>
        <v>162</v>
      </c>
      <c r="AD136" s="73">
        <f t="shared" si="54"/>
        <v>5</v>
      </c>
      <c r="AE136" s="65">
        <v>10871</v>
      </c>
      <c r="AF136" s="65">
        <f t="shared" si="66"/>
        <v>56027</v>
      </c>
      <c r="AG136" s="65">
        <f t="shared" si="67"/>
        <v>56027</v>
      </c>
      <c r="AH136" s="52">
        <v>6867</v>
      </c>
      <c r="AI136" s="107">
        <v>12272.626</v>
      </c>
      <c r="AJ136"/>
      <c r="AK136">
        <v>0</v>
      </c>
      <c r="AL136" s="165">
        <f>INDEX('FY 22 OFA Shell'!$AU$27:$AU$195,MATCH(Data!H136,'FY 22 OFA Shell'!$H$27:$H$195,0))</f>
        <v>19530</v>
      </c>
      <c r="AM136" s="165">
        <f>Outputs!H141</f>
        <v>66898</v>
      </c>
      <c r="AN136" s="165">
        <f>Outputs!G141+Outputs!D141+Outputs!F141</f>
        <v>66898</v>
      </c>
      <c r="AO136" s="165">
        <v>15957</v>
      </c>
      <c r="AP136" s="165">
        <f t="shared" si="68"/>
        <v>12272.626</v>
      </c>
      <c r="AQ136" s="52" t="str">
        <f t="shared" si="69"/>
        <v>Yes</v>
      </c>
      <c r="AR136" s="308">
        <f>ABS(IF(AQ136="Yes",AF136*Inputs!$D$50,Data!AF136*Inputs!$D$51))</f>
        <v>5972.4782000000005</v>
      </c>
      <c r="AS136" s="308">
        <f t="shared" si="55"/>
        <v>25502.478200000001</v>
      </c>
      <c r="AT136" s="308">
        <f t="shared" si="70"/>
        <v>25502.478200000001</v>
      </c>
      <c r="AU136" s="308"/>
      <c r="AV136" s="308">
        <f>ABS(IF($AQ136="Yes",$AF136*Inputs!E$50,Data!$AF136*Inputs!E$51))</f>
        <v>5972.4782000000005</v>
      </c>
      <c r="AW136" s="308">
        <f>ABS(IF($AQ136="Yes",$AF136*Inputs!F$50,Data!$AF136*Inputs!F$51))</f>
        <v>5972.4782000000005</v>
      </c>
      <c r="AX136" s="308">
        <f>ABS(IF($AQ136="Yes",$AF136*Inputs!G$50,Data!$AF136*Inputs!G$51))</f>
        <v>5972.4782000000005</v>
      </c>
      <c r="AY136" s="308">
        <f>ABS(IF($AQ136="Yes",$AF136*Inputs!H$50,Data!$AF136*Inputs!H$51))</f>
        <v>5972.4782000000005</v>
      </c>
      <c r="AZ136" s="308">
        <f>ABS(IF($AQ136="Yes",$AF136*Inputs!I$50,Data!$AF136*Inputs!I$51))</f>
        <v>5972.4782000000005</v>
      </c>
      <c r="BA136" s="308">
        <f>ABS(IF($AQ136="Yes",$AF136*Inputs!J$50,Data!$AF136*Inputs!J$51))</f>
        <v>5972.4782000000005</v>
      </c>
      <c r="BB136" s="308">
        <f>ABS(IF($AQ136="Yes",$AF136*Inputs!K$50,Data!$AF136*Inputs!K$51))</f>
        <v>0</v>
      </c>
      <c r="BC136" s="308">
        <f>ABS(IF($AQ136="Yes",$AF136*Inputs!L$50,Data!$AF136*Inputs!L$51))</f>
        <v>0</v>
      </c>
      <c r="BE136" s="308">
        <f t="shared" si="56"/>
        <v>31474.956400000003</v>
      </c>
      <c r="BF136" s="308">
        <f t="shared" si="57"/>
        <v>37447.434600000001</v>
      </c>
      <c r="BG136" s="308">
        <f t="shared" si="58"/>
        <v>43419.912799999998</v>
      </c>
      <c r="BH136" s="308">
        <f t="shared" si="59"/>
        <v>49392.390999999996</v>
      </c>
      <c r="BI136" s="308">
        <f t="shared" si="60"/>
        <v>55364.869199999994</v>
      </c>
      <c r="BJ136" s="308">
        <f t="shared" si="61"/>
        <v>66898</v>
      </c>
      <c r="BK136" s="308">
        <f t="shared" si="62"/>
        <v>66898</v>
      </c>
      <c r="BL136" s="308">
        <f t="shared" si="63"/>
        <v>66898</v>
      </c>
      <c r="BN136" s="308">
        <f t="shared" si="71"/>
        <v>31474.956400000003</v>
      </c>
      <c r="BO136" s="308">
        <f t="shared" si="72"/>
        <v>37447.434600000001</v>
      </c>
      <c r="BP136" s="308">
        <f t="shared" si="73"/>
        <v>43419.912799999998</v>
      </c>
      <c r="BQ136" s="308">
        <f t="shared" si="74"/>
        <v>49392.390999999996</v>
      </c>
      <c r="BR136" s="308">
        <f t="shared" si="75"/>
        <v>55364.869199999994</v>
      </c>
      <c r="BS136" s="308">
        <f t="shared" si="76"/>
        <v>66898</v>
      </c>
      <c r="BT136" s="308">
        <f t="shared" si="77"/>
        <v>66898</v>
      </c>
      <c r="BU136" s="308">
        <f t="shared" si="64"/>
        <v>66898</v>
      </c>
    </row>
    <row r="137" spans="1:73" ht="15" x14ac:dyDescent="0.2">
      <c r="A137" s="62" t="s">
        <v>135</v>
      </c>
      <c r="B137" s="55" t="s">
        <v>8</v>
      </c>
      <c r="C137" s="55"/>
      <c r="D137" s="55"/>
      <c r="E137" s="55"/>
      <c r="F137" s="55"/>
      <c r="G137" s="48">
        <v>8</v>
      </c>
      <c r="H137" s="55">
        <v>123</v>
      </c>
      <c r="I137" s="55">
        <f>INDEX('FY 22 OFA Shell'!$K$27:$K$195,MATCH(Data!H137,'FY 22 OFA Shell'!$H$27:$H$195,0))</f>
        <v>168.08</v>
      </c>
      <c r="J137" s="55">
        <f>INDEX('FY 22 OFA Shell'!$N$27:$N$195,MATCH(Data!H137,'FY 22 OFA Shell'!$H$27:$H$195,0))</f>
        <v>60</v>
      </c>
      <c r="K137" s="64">
        <f>INDEX('FY 22 OFA Shell'!$S$27:$S$195,MATCH(Data!H137,'FY 22 OFA Shell'!$H$27:$H$195,0))</f>
        <v>1</v>
      </c>
      <c r="L137" s="150">
        <f t="shared" si="53"/>
        <v>0.35697287006187528</v>
      </c>
      <c r="M137" s="149">
        <f>MAX(((L137-Inputs!$E$23)*Data!I137)*Inputs!$E$24,0)</f>
        <v>0</v>
      </c>
      <c r="N137" s="151">
        <f>INDEX('FY 22 OFA Shell'!$V$27:$V$195,MATCH(Data!H137,'FY 22 OFA Shell'!$H$27:$H$195,0))</f>
        <v>166228460.33000001</v>
      </c>
      <c r="O137" s="63">
        <f>INDEX('FY 22 OFA Shell'!$W$27:$W$195,MATCH(Data!H137,'FY 22 OFA Shell'!$H$27:$H$195,0))</f>
        <v>1653</v>
      </c>
      <c r="P137" s="65">
        <f>INDEX('FY 22 OFA Shell'!$Z$27:$Z$195,MATCH(Data!H137,'FY 22 OFA Shell'!$H$27:$H$195,0))</f>
        <v>89000</v>
      </c>
      <c r="Q137" s="63">
        <f>INDEX('FY 22 OFA Shell'!$AF$27:$AF$195,MATCH(Data!H137,'FY 22 OFA Shell'!$H$27:$H$195,0))</f>
        <v>81</v>
      </c>
      <c r="R137" s="66">
        <f>INDEX('FY 22 OFA Shell'!$AG$27:$AG$195,MATCH(Data!H137,'FY 22 OFA Shell'!$H$27:$H$195,0))</f>
        <v>6</v>
      </c>
      <c r="S137" s="66">
        <f>INDEX('FY 22 OFA Shell'!$AJ$27:$AJ$195,MATCH(Data!H137,'FY 22 OFA Shell'!$H$27:$H$195,0))</f>
        <v>0</v>
      </c>
      <c r="T137" s="66">
        <f>INDEX('FY 22 OFA Shell'!$AK$27:$AK$195,MATCH(Data!H137,'FY 22 OFA Shell'!$H$27:$H$195,0))</f>
        <v>0</v>
      </c>
      <c r="U137" s="135">
        <v>1423001</v>
      </c>
      <c r="V137" s="67">
        <f>ROUND(J137*Inputs!$E$22, 2)</f>
        <v>18</v>
      </c>
      <c r="W137" s="68">
        <f>I137+V137+K137*Inputs!$E$28+Data!M137</f>
        <v>186.33</v>
      </c>
      <c r="X137" s="69">
        <f t="shared" si="65"/>
        <v>100561.68</v>
      </c>
      <c r="Y137" s="70">
        <f>ROUND(X137/Inputs!$E$32, 6)</f>
        <v>0.52232599999999996</v>
      </c>
      <c r="Z137" s="70">
        <f>ROUND(P137/Inputs!$E$33, 6)</f>
        <v>0.73862399999999995</v>
      </c>
      <c r="AA137" s="59">
        <f>ROUND(1-((Y137*Inputs!$E$29)+Z137*Inputs!$E$27), 6)</f>
        <v>0.41278500000000001</v>
      </c>
      <c r="AB137" s="59">
        <v>267.47072589801644</v>
      </c>
      <c r="AC137" s="73">
        <f>INDEX('FY 22 OFA Shell'!$G$27:$G$195,MATCH(Data!H137,'FY 22 OFA Shell'!$H$27:$H$195,0))</f>
        <v>39</v>
      </c>
      <c r="AD137" s="73">
        <f t="shared" si="54"/>
        <v>5</v>
      </c>
      <c r="AE137" s="65">
        <v>1423001</v>
      </c>
      <c r="AF137" s="65">
        <f t="shared" si="66"/>
        <v>-487965</v>
      </c>
      <c r="AG137" s="65">
        <f t="shared" si="67"/>
        <v>-487965</v>
      </c>
      <c r="AH137" s="52">
        <v>1238722</v>
      </c>
      <c r="AI137" s="107">
        <v>1340348.75</v>
      </c>
      <c r="AJ137"/>
      <c r="AK137">
        <v>0</v>
      </c>
      <c r="AL137" s="165">
        <f>INDEX('FY 22 OFA Shell'!$AU$27:$AU$195,MATCH(Data!H137,'FY 22 OFA Shell'!$H$27:$H$195,0))</f>
        <v>1274671</v>
      </c>
      <c r="AM137" s="165">
        <f>Outputs!H142</f>
        <v>935036</v>
      </c>
      <c r="AN137" s="165">
        <f>Outputs!G142+Outputs!D142+Outputs!F142</f>
        <v>935036</v>
      </c>
      <c r="AO137" s="165">
        <v>1311658</v>
      </c>
      <c r="AP137" s="165">
        <f t="shared" si="68"/>
        <v>1340348.75</v>
      </c>
      <c r="AQ137" s="52" t="str">
        <f t="shared" si="69"/>
        <v>No</v>
      </c>
      <c r="AR137" s="308">
        <f>ABS(IF(AQ137="Yes",AF137*Inputs!$D$50,Data!AF137*Inputs!$D$51))</f>
        <v>0</v>
      </c>
      <c r="AS137" s="308">
        <f t="shared" si="55"/>
        <v>1274671</v>
      </c>
      <c r="AT137" s="308">
        <f t="shared" si="70"/>
        <v>1274671</v>
      </c>
      <c r="AU137" s="308"/>
      <c r="AV137" s="308">
        <f>ABS(IF($AQ137="Yes",$AF137*Inputs!E$50,Data!$AF137*Inputs!E$51))</f>
        <v>0</v>
      </c>
      <c r="AW137" s="308">
        <f>ABS(IF($AQ137="Yes",$AF137*Inputs!F$50,Data!$AF137*Inputs!F$51))</f>
        <v>40647.484499999999</v>
      </c>
      <c r="AX137" s="308">
        <f>ABS(IF($AQ137="Yes",$AF137*Inputs!G$50,Data!$AF137*Inputs!G$51))</f>
        <v>40647.484499999999</v>
      </c>
      <c r="AY137" s="308">
        <f>ABS(IF($AQ137="Yes",$AF137*Inputs!H$50,Data!$AF137*Inputs!H$51))</f>
        <v>40647.484499999999</v>
      </c>
      <c r="AZ137" s="308">
        <f>ABS(IF($AQ137="Yes",$AF137*Inputs!I$50,Data!$AF137*Inputs!I$51))</f>
        <v>40647.484499999999</v>
      </c>
      <c r="BA137" s="308">
        <f>ABS(IF($AQ137="Yes",$AF137*Inputs!J$50,Data!$AF137*Inputs!J$51))</f>
        <v>40647.484499999999</v>
      </c>
      <c r="BB137" s="308">
        <f>ABS(IF($AQ137="Yes",$AF137*Inputs!K$50,Data!$AF137*Inputs!K$51))</f>
        <v>40647.484499999999</v>
      </c>
      <c r="BC137" s="308">
        <f>ABS(IF($AQ137="Yes",$AF137*Inputs!L$50,Data!$AF137*Inputs!L$51))</f>
        <v>40647.484499999999</v>
      </c>
      <c r="BE137" s="308">
        <f t="shared" si="56"/>
        <v>1274671</v>
      </c>
      <c r="BF137" s="308">
        <f t="shared" si="57"/>
        <v>1234023.5155</v>
      </c>
      <c r="BG137" s="308">
        <f t="shared" si="58"/>
        <v>1193376.031</v>
      </c>
      <c r="BH137" s="308">
        <f t="shared" si="59"/>
        <v>1152728.5464999999</v>
      </c>
      <c r="BI137" s="308">
        <f t="shared" si="60"/>
        <v>1112081.0619999999</v>
      </c>
      <c r="BJ137" s="308">
        <f t="shared" si="61"/>
        <v>1071433.5774999999</v>
      </c>
      <c r="BK137" s="308">
        <f t="shared" si="62"/>
        <v>1030786.0929999999</v>
      </c>
      <c r="BL137" s="308">
        <f t="shared" si="63"/>
        <v>935036</v>
      </c>
      <c r="BN137" s="308">
        <f t="shared" si="71"/>
        <v>1274671</v>
      </c>
      <c r="BO137" s="308">
        <f t="shared" si="72"/>
        <v>1234023.5155</v>
      </c>
      <c r="BP137" s="308">
        <f t="shared" si="73"/>
        <v>1193376.031</v>
      </c>
      <c r="BQ137" s="308">
        <f t="shared" si="74"/>
        <v>1152728.5464999999</v>
      </c>
      <c r="BR137" s="308">
        <f t="shared" si="75"/>
        <v>1112081.0619999999</v>
      </c>
      <c r="BS137" s="308">
        <f t="shared" si="76"/>
        <v>1071433.5774999999</v>
      </c>
      <c r="BT137" s="308">
        <f t="shared" si="77"/>
        <v>1030786.0929999999</v>
      </c>
      <c r="BU137" s="308">
        <f t="shared" si="64"/>
        <v>935036</v>
      </c>
    </row>
    <row r="138" spans="1:73" ht="15" x14ac:dyDescent="0.2">
      <c r="A138" s="62" t="s">
        <v>136</v>
      </c>
      <c r="B138" s="55" t="s">
        <v>32</v>
      </c>
      <c r="C138" s="55"/>
      <c r="D138" s="55"/>
      <c r="E138" s="55"/>
      <c r="F138" s="55"/>
      <c r="G138" s="48">
        <v>8</v>
      </c>
      <c r="H138" s="55">
        <v>124</v>
      </c>
      <c r="I138" s="55">
        <f>INDEX('FY 22 OFA Shell'!$K$27:$K$195,MATCH(Data!H138,'FY 22 OFA Shell'!$H$27:$H$195,0))</f>
        <v>2185.5700000000002</v>
      </c>
      <c r="J138" s="55">
        <f>INDEX('FY 22 OFA Shell'!$N$27:$N$195,MATCH(Data!H138,'FY 22 OFA Shell'!$H$27:$H$195,0))</f>
        <v>869</v>
      </c>
      <c r="K138" s="64">
        <f>INDEX('FY 22 OFA Shell'!$S$27:$S$195,MATCH(Data!H138,'FY 22 OFA Shell'!$H$27:$H$195,0))</f>
        <v>88</v>
      </c>
      <c r="L138" s="150">
        <f t="shared" si="53"/>
        <v>0.39760794666837479</v>
      </c>
      <c r="M138" s="149">
        <f>MAX(((L138-Inputs!$E$23)*Data!I138)*Inputs!$E$24,0)</f>
        <v>0</v>
      </c>
      <c r="N138" s="151">
        <f>INDEX('FY 22 OFA Shell'!$V$27:$V$195,MATCH(Data!H138,'FY 22 OFA Shell'!$H$27:$H$195,0))</f>
        <v>1817138285</v>
      </c>
      <c r="O138" s="63">
        <f>INDEX('FY 22 OFA Shell'!$W$27:$W$195,MATCH(Data!H138,'FY 22 OFA Shell'!$H$27:$H$195,0))</f>
        <v>16522</v>
      </c>
      <c r="P138" s="65">
        <f>INDEX('FY 22 OFA Shell'!$Z$27:$Z$195,MATCH(Data!H138,'FY 22 OFA Shell'!$H$27:$H$195,0))</f>
        <v>70941</v>
      </c>
      <c r="Q138" s="63">
        <f>INDEX('FY 22 OFA Shell'!$AF$27:$AF$195,MATCH(Data!H138,'FY 22 OFA Shell'!$H$27:$H$195,0))</f>
        <v>0</v>
      </c>
      <c r="R138" s="66">
        <f>INDEX('FY 22 OFA Shell'!$AG$27:$AG$195,MATCH(Data!H138,'FY 22 OFA Shell'!$H$27:$H$195,0))</f>
        <v>0</v>
      </c>
      <c r="S138" s="66">
        <f>INDEX('FY 22 OFA Shell'!$AJ$27:$AJ$195,MATCH(Data!H138,'FY 22 OFA Shell'!$H$27:$H$195,0))</f>
        <v>0</v>
      </c>
      <c r="T138" s="66">
        <f>INDEX('FY 22 OFA Shell'!$AK$27:$AK$195,MATCH(Data!H138,'FY 22 OFA Shell'!$H$27:$H$195,0))</f>
        <v>0</v>
      </c>
      <c r="U138" s="135">
        <v>10040987</v>
      </c>
      <c r="V138" s="67">
        <f>ROUND(J138*Inputs!$E$22, 2)</f>
        <v>260.7</v>
      </c>
      <c r="W138" s="68">
        <f>I138+V138+K138*Inputs!$E$28+Data!M138</f>
        <v>2468.27</v>
      </c>
      <c r="X138" s="69">
        <f t="shared" si="65"/>
        <v>109982.95</v>
      </c>
      <c r="Y138" s="70">
        <f>ROUND(X138/Inputs!$E$32, 6)</f>
        <v>0.57125999999999999</v>
      </c>
      <c r="Z138" s="70">
        <f>ROUND(P138/Inputs!$E$33, 6)</f>
        <v>0.58875</v>
      </c>
      <c r="AA138" s="59">
        <f>ROUND(1-((Y138*Inputs!$E$29)+Z138*Inputs!$E$27), 6)</f>
        <v>0.42349300000000001</v>
      </c>
      <c r="AB138" s="59">
        <v>272.26198821762478</v>
      </c>
      <c r="AC138" s="73">
        <f>INDEX('FY 22 OFA Shell'!$G$27:$G$195,MATCH(Data!H138,'FY 22 OFA Shell'!$H$27:$H$195,0))</f>
        <v>30</v>
      </c>
      <c r="AD138" s="73">
        <f t="shared" si="54"/>
        <v>5</v>
      </c>
      <c r="AE138" s="65">
        <v>10040987</v>
      </c>
      <c r="AF138" s="65">
        <f t="shared" si="66"/>
        <v>2006039</v>
      </c>
      <c r="AG138" s="65">
        <f t="shared" si="67"/>
        <v>2006039</v>
      </c>
      <c r="AH138" s="52">
        <v>8695451</v>
      </c>
      <c r="AI138" s="107">
        <v>10086934.839</v>
      </c>
      <c r="AJ138">
        <v>1</v>
      </c>
      <c r="AK138">
        <v>1272.4879333040808</v>
      </c>
      <c r="AL138" s="165">
        <f>INDEX('FY 22 OFA Shell'!$AU$27:$AU$195,MATCH(Data!H138,'FY 22 OFA Shell'!$H$27:$H$195,0))</f>
        <v>10423086</v>
      </c>
      <c r="AM138" s="165">
        <f>Outputs!H143</f>
        <v>12047026</v>
      </c>
      <c r="AN138" s="165">
        <f>Outputs!G143+Outputs!D143+Outputs!F143</f>
        <v>12047026</v>
      </c>
      <c r="AO138" s="165">
        <v>10218859</v>
      </c>
      <c r="AP138" s="165">
        <f t="shared" si="68"/>
        <v>10088207.326933304</v>
      </c>
      <c r="AQ138" s="52" t="str">
        <f t="shared" si="69"/>
        <v>Yes</v>
      </c>
      <c r="AR138" s="308">
        <f>ABS(IF(AQ138="Yes",AF138*Inputs!$D$50,Data!AF138*Inputs!$D$51))</f>
        <v>213843.7574</v>
      </c>
      <c r="AS138" s="308">
        <f t="shared" si="55"/>
        <v>10636929.7574</v>
      </c>
      <c r="AT138" s="308">
        <f t="shared" si="70"/>
        <v>10636929.7574</v>
      </c>
      <c r="AU138" s="308"/>
      <c r="AV138" s="308">
        <f>ABS(IF($AQ138="Yes",$AF138*Inputs!E$50,Data!$AF138*Inputs!E$51))</f>
        <v>213843.7574</v>
      </c>
      <c r="AW138" s="308">
        <f>ABS(IF($AQ138="Yes",$AF138*Inputs!F$50,Data!$AF138*Inputs!F$51))</f>
        <v>213843.7574</v>
      </c>
      <c r="AX138" s="308">
        <f>ABS(IF($AQ138="Yes",$AF138*Inputs!G$50,Data!$AF138*Inputs!G$51))</f>
        <v>213843.7574</v>
      </c>
      <c r="AY138" s="308">
        <f>ABS(IF($AQ138="Yes",$AF138*Inputs!H$50,Data!$AF138*Inputs!H$51))</f>
        <v>213843.7574</v>
      </c>
      <c r="AZ138" s="308">
        <f>ABS(IF($AQ138="Yes",$AF138*Inputs!I$50,Data!$AF138*Inputs!I$51))</f>
        <v>213843.7574</v>
      </c>
      <c r="BA138" s="308">
        <f>ABS(IF($AQ138="Yes",$AF138*Inputs!J$50,Data!$AF138*Inputs!J$51))</f>
        <v>213843.7574</v>
      </c>
      <c r="BB138" s="308">
        <f>ABS(IF($AQ138="Yes",$AF138*Inputs!K$50,Data!$AF138*Inputs!K$51))</f>
        <v>0</v>
      </c>
      <c r="BC138" s="308">
        <f>ABS(IF($AQ138="Yes",$AF138*Inputs!L$50,Data!$AF138*Inputs!L$51))</f>
        <v>0</v>
      </c>
      <c r="BE138" s="308">
        <f t="shared" si="56"/>
        <v>10850773.514800001</v>
      </c>
      <c r="BF138" s="308">
        <f t="shared" si="57"/>
        <v>11064617.272200001</v>
      </c>
      <c r="BG138" s="308">
        <f t="shared" si="58"/>
        <v>11278461.029600002</v>
      </c>
      <c r="BH138" s="308">
        <f t="shared" si="59"/>
        <v>11492304.787000002</v>
      </c>
      <c r="BI138" s="308">
        <f t="shared" si="60"/>
        <v>11706148.544400003</v>
      </c>
      <c r="BJ138" s="308">
        <f t="shared" si="61"/>
        <v>12047026</v>
      </c>
      <c r="BK138" s="308">
        <f t="shared" si="62"/>
        <v>12047026</v>
      </c>
      <c r="BL138" s="308">
        <f t="shared" si="63"/>
        <v>12047026</v>
      </c>
      <c r="BN138" s="308">
        <f t="shared" si="71"/>
        <v>10850773.514800001</v>
      </c>
      <c r="BO138" s="308">
        <f t="shared" si="72"/>
        <v>11064617.272200001</v>
      </c>
      <c r="BP138" s="308">
        <f t="shared" si="73"/>
        <v>11278461.029600002</v>
      </c>
      <c r="BQ138" s="308">
        <f t="shared" si="74"/>
        <v>11492304.787000002</v>
      </c>
      <c r="BR138" s="308">
        <f t="shared" si="75"/>
        <v>11706148.544400003</v>
      </c>
      <c r="BS138" s="308">
        <f t="shared" si="76"/>
        <v>12047026</v>
      </c>
      <c r="BT138" s="308">
        <f t="shared" si="77"/>
        <v>12047026</v>
      </c>
      <c r="BU138" s="308">
        <f t="shared" si="64"/>
        <v>12047026</v>
      </c>
    </row>
    <row r="139" spans="1:73" ht="15" x14ac:dyDescent="0.2">
      <c r="A139" s="62" t="s">
        <v>137</v>
      </c>
      <c r="B139" s="55" t="s">
        <v>8</v>
      </c>
      <c r="C139" s="55"/>
      <c r="D139" s="55"/>
      <c r="E139" s="55"/>
      <c r="F139" s="55"/>
      <c r="G139" s="48">
        <v>1</v>
      </c>
      <c r="H139" s="55">
        <v>125</v>
      </c>
      <c r="I139" s="55">
        <f>INDEX('FY 22 OFA Shell'!$K$27:$K$195,MATCH(Data!H139,'FY 22 OFA Shell'!$H$27:$H$195,0))</f>
        <v>147.22</v>
      </c>
      <c r="J139" s="55">
        <f>INDEX('FY 22 OFA Shell'!$N$27:$N$195,MATCH(Data!H139,'FY 22 OFA Shell'!$H$27:$H$195,0))</f>
        <v>50</v>
      </c>
      <c r="K139" s="64">
        <f>INDEX('FY 22 OFA Shell'!$S$27:$S$195,MATCH(Data!H139,'FY 22 OFA Shell'!$H$27:$H$195,0))</f>
        <v>6</v>
      </c>
      <c r="L139" s="150">
        <f t="shared" si="53"/>
        <v>0.33962776796630895</v>
      </c>
      <c r="M139" s="149">
        <f>MAX(((L139-Inputs!$E$23)*Data!I139)*Inputs!$E$24,0)</f>
        <v>0</v>
      </c>
      <c r="N139" s="151">
        <f>INDEX('FY 22 OFA Shell'!$V$27:$V$195,MATCH(Data!H139,'FY 22 OFA Shell'!$H$27:$H$195,0))</f>
        <v>1023813904.33</v>
      </c>
      <c r="O139" s="63">
        <f>INDEX('FY 22 OFA Shell'!$W$27:$W$195,MATCH(Data!H139,'FY 22 OFA Shell'!$H$27:$H$195,0))</f>
        <v>2721</v>
      </c>
      <c r="P139" s="65">
        <f>INDEX('FY 22 OFA Shell'!$Z$27:$Z$195,MATCH(Data!H139,'FY 22 OFA Shell'!$H$27:$H$195,0))</f>
        <v>78403</v>
      </c>
      <c r="Q139" s="63">
        <f>INDEX('FY 22 OFA Shell'!$AF$27:$AF$195,MATCH(Data!H139,'FY 22 OFA Shell'!$H$27:$H$195,0))</f>
        <v>43</v>
      </c>
      <c r="R139" s="66">
        <f>INDEX('FY 22 OFA Shell'!$AG$27:$AG$195,MATCH(Data!H139,'FY 22 OFA Shell'!$H$27:$H$195,0))</f>
        <v>4</v>
      </c>
      <c r="S139" s="66">
        <f>INDEX('FY 22 OFA Shell'!$AJ$27:$AJ$195,MATCH(Data!H139,'FY 22 OFA Shell'!$H$27:$H$195,0))</f>
        <v>0</v>
      </c>
      <c r="T139" s="66">
        <f>INDEX('FY 22 OFA Shell'!$AK$27:$AK$195,MATCH(Data!H139,'FY 22 OFA Shell'!$H$27:$H$195,0))</f>
        <v>0</v>
      </c>
      <c r="U139" s="135">
        <v>9960</v>
      </c>
      <c r="V139" s="67">
        <f>ROUND(J139*Inputs!$E$22, 2)</f>
        <v>15</v>
      </c>
      <c r="W139" s="68">
        <f>I139+V139+K139*Inputs!$E$28+Data!M139</f>
        <v>163.72</v>
      </c>
      <c r="X139" s="69">
        <f t="shared" si="65"/>
        <v>376263.84</v>
      </c>
      <c r="Y139" s="70">
        <f>ROUND(X139/Inputs!$E$32, 6)</f>
        <v>1.954345</v>
      </c>
      <c r="Z139" s="70">
        <f>ROUND(P139/Inputs!$E$33, 6)</f>
        <v>0.65067799999999998</v>
      </c>
      <c r="AA139" s="59">
        <f>ROUND(1-((Y139*Inputs!$E$29)+Z139*Inputs!$E$27), 6)</f>
        <v>-0.563245</v>
      </c>
      <c r="AB139" s="59">
        <v>140.98939719058859</v>
      </c>
      <c r="AC139" s="73">
        <f>INDEX('FY 22 OFA Shell'!$G$27:$G$195,MATCH(Data!H139,'FY 22 OFA Shell'!$H$27:$H$195,0))</f>
        <v>163</v>
      </c>
      <c r="AD139" s="73">
        <f t="shared" si="54"/>
        <v>5</v>
      </c>
      <c r="AE139" s="65">
        <v>9960</v>
      </c>
      <c r="AF139" s="65">
        <f t="shared" si="66"/>
        <v>26109</v>
      </c>
      <c r="AG139" s="65">
        <f t="shared" si="67"/>
        <v>26109</v>
      </c>
      <c r="AH139" s="52">
        <v>6768</v>
      </c>
      <c r="AI139" s="107">
        <v>10643.511</v>
      </c>
      <c r="AJ139"/>
      <c r="AK139">
        <v>0</v>
      </c>
      <c r="AL139" s="165">
        <f>INDEX('FY 22 OFA Shell'!$AU$27:$AU$195,MATCH(Data!H139,'FY 22 OFA Shell'!$H$27:$H$195,0))</f>
        <v>13437</v>
      </c>
      <c r="AM139" s="165">
        <f>Outputs!H144</f>
        <v>36069</v>
      </c>
      <c r="AN139" s="165">
        <f>Outputs!G144+Outputs!D144+Outputs!F144</f>
        <v>36069</v>
      </c>
      <c r="AO139" s="165">
        <v>12199</v>
      </c>
      <c r="AP139" s="165">
        <f t="shared" si="68"/>
        <v>10643.511</v>
      </c>
      <c r="AQ139" s="52" t="str">
        <f t="shared" si="69"/>
        <v>Yes</v>
      </c>
      <c r="AR139" s="308">
        <f>ABS(IF(AQ139="Yes",AF139*Inputs!$D$50,Data!AF139*Inputs!$D$51))</f>
        <v>2783.2194</v>
      </c>
      <c r="AS139" s="308">
        <f t="shared" si="55"/>
        <v>16220.2194</v>
      </c>
      <c r="AT139" s="308">
        <f t="shared" si="70"/>
        <v>16220.2194</v>
      </c>
      <c r="AU139" s="308"/>
      <c r="AV139" s="308">
        <f>ABS(IF($AQ139="Yes",$AF139*Inputs!E$50,Data!$AF139*Inputs!E$51))</f>
        <v>2783.2194</v>
      </c>
      <c r="AW139" s="308">
        <f>ABS(IF($AQ139="Yes",$AF139*Inputs!F$50,Data!$AF139*Inputs!F$51))</f>
        <v>2783.2194</v>
      </c>
      <c r="AX139" s="308">
        <f>ABS(IF($AQ139="Yes",$AF139*Inputs!G$50,Data!$AF139*Inputs!G$51))</f>
        <v>2783.2194</v>
      </c>
      <c r="AY139" s="308">
        <f>ABS(IF($AQ139="Yes",$AF139*Inputs!H$50,Data!$AF139*Inputs!H$51))</f>
        <v>2783.2194</v>
      </c>
      <c r="AZ139" s="308">
        <f>ABS(IF($AQ139="Yes",$AF139*Inputs!I$50,Data!$AF139*Inputs!I$51))</f>
        <v>2783.2194</v>
      </c>
      <c r="BA139" s="308">
        <f>ABS(IF($AQ139="Yes",$AF139*Inputs!J$50,Data!$AF139*Inputs!J$51))</f>
        <v>2783.2194</v>
      </c>
      <c r="BB139" s="308">
        <f>ABS(IF($AQ139="Yes",$AF139*Inputs!K$50,Data!$AF139*Inputs!K$51))</f>
        <v>0</v>
      </c>
      <c r="BC139" s="308">
        <f>ABS(IF($AQ139="Yes",$AF139*Inputs!L$50,Data!$AF139*Inputs!L$51))</f>
        <v>0</v>
      </c>
      <c r="BE139" s="308">
        <f t="shared" si="56"/>
        <v>19003.4388</v>
      </c>
      <c r="BF139" s="308">
        <f t="shared" si="57"/>
        <v>21786.658199999998</v>
      </c>
      <c r="BG139" s="308">
        <f t="shared" si="58"/>
        <v>24569.8776</v>
      </c>
      <c r="BH139" s="308">
        <f t="shared" si="59"/>
        <v>27353.097000000002</v>
      </c>
      <c r="BI139" s="308">
        <f t="shared" si="60"/>
        <v>30136.316400000003</v>
      </c>
      <c r="BJ139" s="308">
        <f t="shared" si="61"/>
        <v>36069</v>
      </c>
      <c r="BK139" s="308">
        <f t="shared" si="62"/>
        <v>36069</v>
      </c>
      <c r="BL139" s="308">
        <f t="shared" si="63"/>
        <v>36069</v>
      </c>
      <c r="BN139" s="308">
        <f t="shared" si="71"/>
        <v>19003.4388</v>
      </c>
      <c r="BO139" s="308">
        <f t="shared" si="72"/>
        <v>21786.658199999998</v>
      </c>
      <c r="BP139" s="308">
        <f t="shared" si="73"/>
        <v>24569.8776</v>
      </c>
      <c r="BQ139" s="308">
        <f t="shared" si="74"/>
        <v>27353.097000000002</v>
      </c>
      <c r="BR139" s="308">
        <f t="shared" si="75"/>
        <v>30136.316400000003</v>
      </c>
      <c r="BS139" s="308">
        <f t="shared" si="76"/>
        <v>36069</v>
      </c>
      <c r="BT139" s="308">
        <f t="shared" si="77"/>
        <v>36069</v>
      </c>
      <c r="BU139" s="308">
        <f t="shared" si="64"/>
        <v>36069</v>
      </c>
    </row>
    <row r="140" spans="1:73" ht="15" x14ac:dyDescent="0.2">
      <c r="A140" s="62" t="s">
        <v>138</v>
      </c>
      <c r="B140" s="55" t="s">
        <v>14</v>
      </c>
      <c r="C140" s="55"/>
      <c r="D140" s="55"/>
      <c r="E140" s="55"/>
      <c r="F140" s="55"/>
      <c r="G140" s="48">
        <v>4</v>
      </c>
      <c r="H140" s="55">
        <v>126</v>
      </c>
      <c r="I140" s="55">
        <f>INDEX('FY 22 OFA Shell'!$K$27:$K$195,MATCH(Data!H140,'FY 22 OFA Shell'!$H$27:$H$195,0))</f>
        <v>4571.28</v>
      </c>
      <c r="J140" s="55">
        <f>INDEX('FY 22 OFA Shell'!$N$27:$N$195,MATCH(Data!H140,'FY 22 OFA Shell'!$H$27:$H$195,0))</f>
        <v>1443</v>
      </c>
      <c r="K140" s="64">
        <f>INDEX('FY 22 OFA Shell'!$S$27:$S$195,MATCH(Data!H140,'FY 22 OFA Shell'!$H$27:$H$195,0))</f>
        <v>269</v>
      </c>
      <c r="L140" s="150">
        <f t="shared" si="53"/>
        <v>0.31566650916154776</v>
      </c>
      <c r="M140" s="149">
        <f>MAX(((L140-Inputs!$E$23)*Data!I140)*Inputs!$E$24,0)</f>
        <v>0</v>
      </c>
      <c r="N140" s="151">
        <f>INDEX('FY 22 OFA Shell'!$V$27:$V$195,MATCH(Data!H140,'FY 22 OFA Shell'!$H$27:$H$195,0))</f>
        <v>7135462918</v>
      </c>
      <c r="O140" s="63">
        <f>INDEX('FY 22 OFA Shell'!$W$27:$W$195,MATCH(Data!H140,'FY 22 OFA Shell'!$H$27:$H$195,0))</f>
        <v>41155</v>
      </c>
      <c r="P140" s="65">
        <f>INDEX('FY 22 OFA Shell'!$Z$27:$Z$195,MATCH(Data!H140,'FY 22 OFA Shell'!$H$27:$H$195,0))</f>
        <v>94446</v>
      </c>
      <c r="Q140" s="63">
        <f>INDEX('FY 22 OFA Shell'!$AF$27:$AF$195,MATCH(Data!H140,'FY 22 OFA Shell'!$H$27:$H$195,0))</f>
        <v>0</v>
      </c>
      <c r="R140" s="66">
        <f>INDEX('FY 22 OFA Shell'!$AG$27:$AG$195,MATCH(Data!H140,'FY 22 OFA Shell'!$H$27:$H$195,0))</f>
        <v>0</v>
      </c>
      <c r="S140" s="66">
        <f>INDEX('FY 22 OFA Shell'!$AJ$27:$AJ$195,MATCH(Data!H140,'FY 22 OFA Shell'!$H$27:$H$195,0))</f>
        <v>0</v>
      </c>
      <c r="T140" s="66">
        <f>INDEX('FY 22 OFA Shell'!$AK$27:$AK$195,MATCH(Data!H140,'FY 22 OFA Shell'!$H$27:$H$195,0))</f>
        <v>0</v>
      </c>
      <c r="U140" s="135">
        <v>5893771</v>
      </c>
      <c r="V140" s="67">
        <f>ROUND(J140*Inputs!$E$22, 2)</f>
        <v>432.9</v>
      </c>
      <c r="W140" s="68">
        <f>I140+V140+K140*Inputs!$E$28+Data!M140</f>
        <v>5071.4299999999994</v>
      </c>
      <c r="X140" s="69">
        <f t="shared" si="65"/>
        <v>173380.22</v>
      </c>
      <c r="Y140" s="70">
        <f>ROUND(X140/Inputs!$E$32, 6)</f>
        <v>0.90055099999999999</v>
      </c>
      <c r="Z140" s="70">
        <f>ROUND(P140/Inputs!$E$33, 6)</f>
        <v>0.78382200000000002</v>
      </c>
      <c r="AA140" s="59">
        <f>ROUND(1-((Y140*Inputs!$E$29)+Z140*Inputs!$E$27), 6)</f>
        <v>0.134468</v>
      </c>
      <c r="AB140" s="59">
        <v>220.58054534883843</v>
      </c>
      <c r="AC140" s="73">
        <f>INDEX('FY 22 OFA Shell'!$G$27:$G$195,MATCH(Data!H140,'FY 22 OFA Shell'!$H$27:$H$195,0))</f>
        <v>90</v>
      </c>
      <c r="AD140" s="73">
        <f t="shared" si="54"/>
        <v>5</v>
      </c>
      <c r="AE140" s="65">
        <v>5893771</v>
      </c>
      <c r="AF140" s="65">
        <f t="shared" si="66"/>
        <v>1965646</v>
      </c>
      <c r="AG140" s="65">
        <f t="shared" si="67"/>
        <v>1965646</v>
      </c>
      <c r="AH140" s="52">
        <v>5064848</v>
      </c>
      <c r="AI140" s="107">
        <v>5987323.1600000001</v>
      </c>
      <c r="AJ140">
        <v>5</v>
      </c>
      <c r="AK140">
        <v>6362.439666520404</v>
      </c>
      <c r="AL140" s="165">
        <f>INDEX('FY 22 OFA Shell'!$AU$27:$AU$195,MATCH(Data!H140,'FY 22 OFA Shell'!$H$27:$H$195,0))</f>
        <v>6641832</v>
      </c>
      <c r="AM140" s="165">
        <f>Outputs!H145</f>
        <v>7859417</v>
      </c>
      <c r="AN140" s="165">
        <f>Outputs!G145+Outputs!D145+Outputs!F145</f>
        <v>7859417</v>
      </c>
      <c r="AO140" s="165">
        <v>6340947</v>
      </c>
      <c r="AP140" s="165">
        <f t="shared" si="68"/>
        <v>5993685.599666521</v>
      </c>
      <c r="AQ140" s="52" t="str">
        <f t="shared" si="69"/>
        <v>Yes</v>
      </c>
      <c r="AR140" s="308">
        <f>ABS(IF(AQ140="Yes",AF140*Inputs!$D$50,Data!AF140*Inputs!$D$51))</f>
        <v>209537.86360000001</v>
      </c>
      <c r="AS140" s="308">
        <f t="shared" si="55"/>
        <v>6851369.8635999998</v>
      </c>
      <c r="AT140" s="308">
        <f t="shared" si="70"/>
        <v>6851369.8635999998</v>
      </c>
      <c r="AU140" s="308"/>
      <c r="AV140" s="308">
        <f>ABS(IF($AQ140="Yes",$AF140*Inputs!E$50,Data!$AF140*Inputs!E$51))</f>
        <v>209537.86360000001</v>
      </c>
      <c r="AW140" s="308">
        <f>ABS(IF($AQ140="Yes",$AF140*Inputs!F$50,Data!$AF140*Inputs!F$51))</f>
        <v>209537.86360000001</v>
      </c>
      <c r="AX140" s="308">
        <f>ABS(IF($AQ140="Yes",$AF140*Inputs!G$50,Data!$AF140*Inputs!G$51))</f>
        <v>209537.86360000001</v>
      </c>
      <c r="AY140" s="308">
        <f>ABS(IF($AQ140="Yes",$AF140*Inputs!H$50,Data!$AF140*Inputs!H$51))</f>
        <v>209537.86360000001</v>
      </c>
      <c r="AZ140" s="308">
        <f>ABS(IF($AQ140="Yes",$AF140*Inputs!I$50,Data!$AF140*Inputs!I$51))</f>
        <v>209537.86360000001</v>
      </c>
      <c r="BA140" s="308">
        <f>ABS(IF($AQ140="Yes",$AF140*Inputs!J$50,Data!$AF140*Inputs!J$51))</f>
        <v>209537.86360000001</v>
      </c>
      <c r="BB140" s="308">
        <f>ABS(IF($AQ140="Yes",$AF140*Inputs!K$50,Data!$AF140*Inputs!K$51))</f>
        <v>0</v>
      </c>
      <c r="BC140" s="308">
        <f>ABS(IF($AQ140="Yes",$AF140*Inputs!L$50,Data!$AF140*Inputs!L$51))</f>
        <v>0</v>
      </c>
      <c r="BE140" s="308">
        <f t="shared" si="56"/>
        <v>7060907.7271999996</v>
      </c>
      <c r="BF140" s="308">
        <f t="shared" si="57"/>
        <v>7270445.5907999994</v>
      </c>
      <c r="BG140" s="308">
        <f t="shared" si="58"/>
        <v>7479983.4543999992</v>
      </c>
      <c r="BH140" s="308">
        <f t="shared" si="59"/>
        <v>7689521.317999999</v>
      </c>
      <c r="BI140" s="308">
        <f t="shared" si="60"/>
        <v>7899059.1815999988</v>
      </c>
      <c r="BJ140" s="308">
        <f t="shared" si="61"/>
        <v>7859417</v>
      </c>
      <c r="BK140" s="308">
        <f t="shared" si="62"/>
        <v>7859417</v>
      </c>
      <c r="BL140" s="308">
        <f t="shared" si="63"/>
        <v>7859417</v>
      </c>
      <c r="BN140" s="308">
        <f t="shared" si="71"/>
        <v>7060907.7271999996</v>
      </c>
      <c r="BO140" s="308">
        <f t="shared" si="72"/>
        <v>7270445.5907999994</v>
      </c>
      <c r="BP140" s="308">
        <f t="shared" si="73"/>
        <v>7479983.4543999992</v>
      </c>
      <c r="BQ140" s="308">
        <f t="shared" si="74"/>
        <v>7689521.317999999</v>
      </c>
      <c r="BR140" s="308">
        <f t="shared" si="75"/>
        <v>7899059.1815999988</v>
      </c>
      <c r="BS140" s="308">
        <f t="shared" si="76"/>
        <v>7859417</v>
      </c>
      <c r="BT140" s="308">
        <f t="shared" si="77"/>
        <v>7859417</v>
      </c>
      <c r="BU140" s="308">
        <f t="shared" si="64"/>
        <v>7859417</v>
      </c>
    </row>
    <row r="141" spans="1:73" ht="15" x14ac:dyDescent="0.2">
      <c r="A141" s="62" t="s">
        <v>139</v>
      </c>
      <c r="B141" s="55" t="s">
        <v>4</v>
      </c>
      <c r="C141" s="55"/>
      <c r="D141" s="55"/>
      <c r="E141" s="55"/>
      <c r="F141" s="55"/>
      <c r="G141" s="48">
        <v>2</v>
      </c>
      <c r="H141" s="55">
        <v>127</v>
      </c>
      <c r="I141" s="55">
        <f>INDEX('FY 22 OFA Shell'!$K$27:$K$195,MATCH(Data!H141,'FY 22 OFA Shell'!$H$27:$H$195,0))</f>
        <v>367.86</v>
      </c>
      <c r="J141" s="55">
        <f>INDEX('FY 22 OFA Shell'!$N$27:$N$195,MATCH(Data!H141,'FY 22 OFA Shell'!$H$27:$H$195,0))</f>
        <v>24</v>
      </c>
      <c r="K141" s="64">
        <f>INDEX('FY 22 OFA Shell'!$S$27:$S$195,MATCH(Data!H141,'FY 22 OFA Shell'!$H$27:$H$195,0))</f>
        <v>1</v>
      </c>
      <c r="L141" s="150">
        <f t="shared" si="53"/>
        <v>6.5242211710976994E-2</v>
      </c>
      <c r="M141" s="149">
        <f>MAX(((L141-Inputs!$E$23)*Data!I141)*Inputs!$E$24,0)</f>
        <v>0</v>
      </c>
      <c r="N141" s="151">
        <f>INDEX('FY 22 OFA Shell'!$V$27:$V$195,MATCH(Data!H141,'FY 22 OFA Shell'!$H$27:$H$195,0))</f>
        <v>1006490231.67</v>
      </c>
      <c r="O141" s="63">
        <f>INDEX('FY 22 OFA Shell'!$W$27:$W$195,MATCH(Data!H141,'FY 22 OFA Shell'!$H$27:$H$195,0))</f>
        <v>3641</v>
      </c>
      <c r="P141" s="65">
        <f>INDEX('FY 22 OFA Shell'!$Z$27:$Z$195,MATCH(Data!H141,'FY 22 OFA Shell'!$H$27:$H$195,0))</f>
        <v>113506</v>
      </c>
      <c r="Q141" s="63">
        <f>INDEX('FY 22 OFA Shell'!$AF$27:$AF$195,MATCH(Data!H141,'FY 22 OFA Shell'!$H$27:$H$195,0))</f>
        <v>0</v>
      </c>
      <c r="R141" s="66">
        <f>INDEX('FY 22 OFA Shell'!$AG$27:$AG$195,MATCH(Data!H141,'FY 22 OFA Shell'!$H$27:$H$195,0))</f>
        <v>0</v>
      </c>
      <c r="S141" s="66">
        <f>INDEX('FY 22 OFA Shell'!$AJ$27:$AJ$195,MATCH(Data!H141,'FY 22 OFA Shell'!$H$27:$H$195,0))</f>
        <v>0</v>
      </c>
      <c r="T141" s="66">
        <f>INDEX('FY 22 OFA Shell'!$AK$27:$AK$195,MATCH(Data!H141,'FY 22 OFA Shell'!$H$27:$H$195,0))</f>
        <v>0</v>
      </c>
      <c r="U141" s="135">
        <v>46611</v>
      </c>
      <c r="V141" s="67">
        <f>ROUND(J141*Inputs!$E$22, 2)</f>
        <v>7.2</v>
      </c>
      <c r="W141" s="68">
        <f>I141+V141+K141*Inputs!$E$28+Data!M141</f>
        <v>375.31</v>
      </c>
      <c r="X141" s="69">
        <f t="shared" si="65"/>
        <v>276432.36</v>
      </c>
      <c r="Y141" s="70">
        <f>ROUND(X141/Inputs!$E$32, 6)</f>
        <v>1.4358120000000001</v>
      </c>
      <c r="Z141" s="70">
        <f>ROUND(P141/Inputs!$E$33, 6)</f>
        <v>0.94200300000000003</v>
      </c>
      <c r="AA141" s="59">
        <f>ROUND(1-((Y141*Inputs!$E$29)+Z141*Inputs!$E$27), 6)</f>
        <v>-0.28766900000000001</v>
      </c>
      <c r="AB141" s="59">
        <v>158.97830407235233</v>
      </c>
      <c r="AC141" s="73">
        <f>INDEX('FY 22 OFA Shell'!$G$27:$G$195,MATCH(Data!H141,'FY 22 OFA Shell'!$H$27:$H$195,0))</f>
        <v>156</v>
      </c>
      <c r="AD141" s="73">
        <f t="shared" si="54"/>
        <v>5</v>
      </c>
      <c r="AE141" s="65">
        <v>46611</v>
      </c>
      <c r="AF141" s="65">
        <f t="shared" si="66"/>
        <v>-3357</v>
      </c>
      <c r="AG141" s="65">
        <f t="shared" si="67"/>
        <v>-3357</v>
      </c>
      <c r="AH141" s="52">
        <v>40273</v>
      </c>
      <c r="AI141" s="107">
        <v>46839.985000000001</v>
      </c>
      <c r="AJ141"/>
      <c r="AK141">
        <v>0</v>
      </c>
      <c r="AL141" s="165">
        <f>INDEX('FY 22 OFA Shell'!$AU$27:$AU$195,MATCH(Data!H141,'FY 22 OFA Shell'!$H$27:$H$195,0))</f>
        <v>46995</v>
      </c>
      <c r="AM141" s="165">
        <f>Outputs!H146</f>
        <v>43254</v>
      </c>
      <c r="AN141" s="165">
        <f>Outputs!G146+Outputs!D146+Outputs!F146</f>
        <v>43254</v>
      </c>
      <c r="AO141" s="165">
        <v>47041</v>
      </c>
      <c r="AP141" s="165">
        <f t="shared" si="68"/>
        <v>46839.985000000001</v>
      </c>
      <c r="AQ141" s="52" t="str">
        <f t="shared" si="69"/>
        <v>No</v>
      </c>
      <c r="AR141" s="308">
        <f>ABS(IF(AQ141="Yes",AF141*Inputs!$D$50,Data!AF141*Inputs!$D$51))</f>
        <v>0</v>
      </c>
      <c r="AS141" s="308">
        <f t="shared" si="55"/>
        <v>46995</v>
      </c>
      <c r="AT141" s="308">
        <f t="shared" si="70"/>
        <v>46995</v>
      </c>
      <c r="AU141" s="308"/>
      <c r="AV141" s="308">
        <f>ABS(IF($AQ141="Yes",$AF141*Inputs!E$50,Data!$AF141*Inputs!E$51))</f>
        <v>0</v>
      </c>
      <c r="AW141" s="308">
        <f>ABS(IF($AQ141="Yes",$AF141*Inputs!F$50,Data!$AF141*Inputs!F$51))</f>
        <v>279.63810000000001</v>
      </c>
      <c r="AX141" s="308">
        <f>ABS(IF($AQ141="Yes",$AF141*Inputs!G$50,Data!$AF141*Inputs!G$51))</f>
        <v>279.63810000000001</v>
      </c>
      <c r="AY141" s="308">
        <f>ABS(IF($AQ141="Yes",$AF141*Inputs!H$50,Data!$AF141*Inputs!H$51))</f>
        <v>279.63810000000001</v>
      </c>
      <c r="AZ141" s="308">
        <f>ABS(IF($AQ141="Yes",$AF141*Inputs!I$50,Data!$AF141*Inputs!I$51))</f>
        <v>279.63810000000001</v>
      </c>
      <c r="BA141" s="308">
        <f>ABS(IF($AQ141="Yes",$AF141*Inputs!J$50,Data!$AF141*Inputs!J$51))</f>
        <v>279.63810000000001</v>
      </c>
      <c r="BB141" s="308">
        <f>ABS(IF($AQ141="Yes",$AF141*Inputs!K$50,Data!$AF141*Inputs!K$51))</f>
        <v>279.63810000000001</v>
      </c>
      <c r="BC141" s="308">
        <f>ABS(IF($AQ141="Yes",$AF141*Inputs!L$50,Data!$AF141*Inputs!L$51))</f>
        <v>279.63810000000001</v>
      </c>
      <c r="BE141" s="308">
        <f t="shared" si="56"/>
        <v>46995</v>
      </c>
      <c r="BF141" s="308">
        <f t="shared" si="57"/>
        <v>46715.361900000004</v>
      </c>
      <c r="BG141" s="308">
        <f t="shared" si="58"/>
        <v>46435.723800000007</v>
      </c>
      <c r="BH141" s="308">
        <f t="shared" si="59"/>
        <v>46156.085700000011</v>
      </c>
      <c r="BI141" s="308">
        <f t="shared" si="60"/>
        <v>45876.447600000014</v>
      </c>
      <c r="BJ141" s="308">
        <f t="shared" si="61"/>
        <v>45596.809500000018</v>
      </c>
      <c r="BK141" s="308">
        <f t="shared" si="62"/>
        <v>45317.171400000021</v>
      </c>
      <c r="BL141" s="308">
        <f t="shared" si="63"/>
        <v>43254</v>
      </c>
      <c r="BN141" s="308">
        <f t="shared" si="71"/>
        <v>46995</v>
      </c>
      <c r="BO141" s="308">
        <f t="shared" si="72"/>
        <v>46715.361900000004</v>
      </c>
      <c r="BP141" s="308">
        <f t="shared" si="73"/>
        <v>46435.723800000007</v>
      </c>
      <c r="BQ141" s="308">
        <f t="shared" si="74"/>
        <v>46156.085700000011</v>
      </c>
      <c r="BR141" s="308">
        <f t="shared" si="75"/>
        <v>45876.447600000014</v>
      </c>
      <c r="BS141" s="308">
        <f t="shared" si="76"/>
        <v>45596.809500000018</v>
      </c>
      <c r="BT141" s="308">
        <f t="shared" si="77"/>
        <v>45317.171400000021</v>
      </c>
      <c r="BU141" s="308">
        <f t="shared" si="64"/>
        <v>43254</v>
      </c>
    </row>
    <row r="142" spans="1:73" ht="15" x14ac:dyDescent="0.2">
      <c r="A142" s="62" t="s">
        <v>140</v>
      </c>
      <c r="B142" s="55" t="s">
        <v>10</v>
      </c>
      <c r="C142" s="55"/>
      <c r="D142" s="55"/>
      <c r="E142" s="55"/>
      <c r="F142" s="55"/>
      <c r="G142" s="48">
        <v>3</v>
      </c>
      <c r="H142" s="55">
        <v>128</v>
      </c>
      <c r="I142" s="55">
        <f>INDEX('FY 22 OFA Shell'!$K$27:$K$195,MATCH(Data!H142,'FY 22 OFA Shell'!$H$27:$H$195,0))</f>
        <v>4021.22</v>
      </c>
      <c r="J142" s="55">
        <f>INDEX('FY 22 OFA Shell'!$N$27:$N$195,MATCH(Data!H142,'FY 22 OFA Shell'!$H$27:$H$195,0))</f>
        <v>526</v>
      </c>
      <c r="K142" s="64">
        <f>INDEX('FY 22 OFA Shell'!$S$27:$S$195,MATCH(Data!H142,'FY 22 OFA Shell'!$H$27:$H$195,0))</f>
        <v>63</v>
      </c>
      <c r="L142" s="150">
        <f t="shared" si="53"/>
        <v>0.13080607377860451</v>
      </c>
      <c r="M142" s="149">
        <f>MAX(((L142-Inputs!$E$23)*Data!I142)*Inputs!$E$24,0)</f>
        <v>0</v>
      </c>
      <c r="N142" s="151">
        <f>INDEX('FY 22 OFA Shell'!$V$27:$V$195,MATCH(Data!H142,'FY 22 OFA Shell'!$H$27:$H$195,0))</f>
        <v>3607618431.6700001</v>
      </c>
      <c r="O142" s="63">
        <f>INDEX('FY 22 OFA Shell'!$W$27:$W$195,MATCH(Data!H142,'FY 22 OFA Shell'!$H$27:$H$195,0))</f>
        <v>24519</v>
      </c>
      <c r="P142" s="65">
        <f>INDEX('FY 22 OFA Shell'!$Z$27:$Z$195,MATCH(Data!H142,'FY 22 OFA Shell'!$H$27:$H$195,0))</f>
        <v>119588</v>
      </c>
      <c r="Q142" s="63">
        <f>INDEX('FY 22 OFA Shell'!$AF$27:$AF$195,MATCH(Data!H142,'FY 22 OFA Shell'!$H$27:$H$195,0))</f>
        <v>0</v>
      </c>
      <c r="R142" s="66">
        <f>INDEX('FY 22 OFA Shell'!$AG$27:$AG$195,MATCH(Data!H142,'FY 22 OFA Shell'!$H$27:$H$195,0))</f>
        <v>0</v>
      </c>
      <c r="S142" s="66">
        <f>INDEX('FY 22 OFA Shell'!$AJ$27:$AJ$195,MATCH(Data!H142,'FY 22 OFA Shell'!$H$27:$H$195,0))</f>
        <v>0</v>
      </c>
      <c r="T142" s="66">
        <f>INDEX('FY 22 OFA Shell'!$AK$27:$AK$195,MATCH(Data!H142,'FY 22 OFA Shell'!$H$27:$H$195,0))</f>
        <v>0</v>
      </c>
      <c r="U142" s="135">
        <v>6087799</v>
      </c>
      <c r="V142" s="67">
        <f>ROUND(J142*Inputs!$E$22, 2)</f>
        <v>157.80000000000001</v>
      </c>
      <c r="W142" s="68">
        <f>I142+V142+K142*Inputs!$E$28+Data!M142</f>
        <v>4194.7699999999995</v>
      </c>
      <c r="X142" s="69">
        <f t="shared" si="65"/>
        <v>147135.63</v>
      </c>
      <c r="Y142" s="70">
        <f>ROUND(X142/Inputs!$E$32, 6)</f>
        <v>0.764235</v>
      </c>
      <c r="Z142" s="70">
        <f>ROUND(P142/Inputs!$E$33, 6)</f>
        <v>0.992479</v>
      </c>
      <c r="AA142" s="59">
        <f>ROUND(1-((Y142*Inputs!$E$29)+Z142*Inputs!$E$27), 6)</f>
        <v>0.167292</v>
      </c>
      <c r="AB142" s="59">
        <v>206.78128828824597</v>
      </c>
      <c r="AC142" s="73">
        <f>INDEX('FY 22 OFA Shell'!$G$27:$G$195,MATCH(Data!H142,'FY 22 OFA Shell'!$H$27:$H$195,0))</f>
        <v>137</v>
      </c>
      <c r="AD142" s="73">
        <f t="shared" si="54"/>
        <v>5</v>
      </c>
      <c r="AE142" s="65">
        <v>6087799</v>
      </c>
      <c r="AF142" s="65">
        <f t="shared" si="66"/>
        <v>1999887</v>
      </c>
      <c r="AG142" s="65">
        <f t="shared" si="67"/>
        <v>1999887</v>
      </c>
      <c r="AH142" s="52">
        <v>5269907</v>
      </c>
      <c r="AI142" s="107">
        <v>6039516.25</v>
      </c>
      <c r="AJ142"/>
      <c r="AK142">
        <v>0</v>
      </c>
      <c r="AL142" s="165">
        <f>INDEX('FY 22 OFA Shell'!$AU$27:$AU$195,MATCH(Data!H142,'FY 22 OFA Shell'!$H$27:$H$195,0))</f>
        <v>6317010</v>
      </c>
      <c r="AM142" s="165">
        <f>Outputs!H147</f>
        <v>8087686</v>
      </c>
      <c r="AN142" s="165">
        <f>Outputs!G147+Outputs!D147+Outputs!F147</f>
        <v>8087686</v>
      </c>
      <c r="AO142" s="165">
        <v>6129867</v>
      </c>
      <c r="AP142" s="165">
        <f t="shared" si="68"/>
        <v>6039516.25</v>
      </c>
      <c r="AQ142" s="52" t="str">
        <f t="shared" si="69"/>
        <v>Yes</v>
      </c>
      <c r="AR142" s="308">
        <f>ABS(IF(AQ142="Yes",AF142*Inputs!$D$50,Data!AF142*Inputs!$D$51))</f>
        <v>213187.95420000001</v>
      </c>
      <c r="AS142" s="308">
        <f t="shared" si="55"/>
        <v>6530197.9541999996</v>
      </c>
      <c r="AT142" s="308">
        <f t="shared" si="70"/>
        <v>6530197.9541999996</v>
      </c>
      <c r="AU142" s="308"/>
      <c r="AV142" s="308">
        <f>ABS(IF($AQ142="Yes",$AF142*Inputs!E$50,Data!$AF142*Inputs!E$51))</f>
        <v>213187.95420000001</v>
      </c>
      <c r="AW142" s="308">
        <f>ABS(IF($AQ142="Yes",$AF142*Inputs!F$50,Data!$AF142*Inputs!F$51))</f>
        <v>213187.95420000001</v>
      </c>
      <c r="AX142" s="308">
        <f>ABS(IF($AQ142="Yes",$AF142*Inputs!G$50,Data!$AF142*Inputs!G$51))</f>
        <v>213187.95420000001</v>
      </c>
      <c r="AY142" s="308">
        <f>ABS(IF($AQ142="Yes",$AF142*Inputs!H$50,Data!$AF142*Inputs!H$51))</f>
        <v>213187.95420000001</v>
      </c>
      <c r="AZ142" s="308">
        <f>ABS(IF($AQ142="Yes",$AF142*Inputs!I$50,Data!$AF142*Inputs!I$51))</f>
        <v>213187.95420000001</v>
      </c>
      <c r="BA142" s="308">
        <f>ABS(IF($AQ142="Yes",$AF142*Inputs!J$50,Data!$AF142*Inputs!J$51))</f>
        <v>213187.95420000001</v>
      </c>
      <c r="BB142" s="308">
        <f>ABS(IF($AQ142="Yes",$AF142*Inputs!K$50,Data!$AF142*Inputs!K$51))</f>
        <v>0</v>
      </c>
      <c r="BC142" s="308">
        <f>ABS(IF($AQ142="Yes",$AF142*Inputs!L$50,Data!$AF142*Inputs!L$51))</f>
        <v>0</v>
      </c>
      <c r="BE142" s="308">
        <f t="shared" si="56"/>
        <v>6743385.9083999991</v>
      </c>
      <c r="BF142" s="308">
        <f t="shared" si="57"/>
        <v>6956573.8625999987</v>
      </c>
      <c r="BG142" s="308">
        <f t="shared" si="58"/>
        <v>7169761.8167999983</v>
      </c>
      <c r="BH142" s="308">
        <f t="shared" si="59"/>
        <v>7382949.7709999979</v>
      </c>
      <c r="BI142" s="308">
        <f t="shared" si="60"/>
        <v>7596137.7251999974</v>
      </c>
      <c r="BJ142" s="308">
        <f t="shared" si="61"/>
        <v>8087686</v>
      </c>
      <c r="BK142" s="308">
        <f t="shared" si="62"/>
        <v>8087686</v>
      </c>
      <c r="BL142" s="308">
        <f t="shared" si="63"/>
        <v>8087686</v>
      </c>
      <c r="BN142" s="308">
        <f t="shared" si="71"/>
        <v>6743385.9083999991</v>
      </c>
      <c r="BO142" s="308">
        <f t="shared" si="72"/>
        <v>6956573.8625999987</v>
      </c>
      <c r="BP142" s="308">
        <f t="shared" si="73"/>
        <v>7169761.8167999983</v>
      </c>
      <c r="BQ142" s="308">
        <f t="shared" si="74"/>
        <v>7382949.7709999979</v>
      </c>
      <c r="BR142" s="308">
        <f t="shared" si="75"/>
        <v>7596137.7251999974</v>
      </c>
      <c r="BS142" s="308">
        <f t="shared" si="76"/>
        <v>8087686</v>
      </c>
      <c r="BT142" s="308">
        <f t="shared" si="77"/>
        <v>8087686</v>
      </c>
      <c r="BU142" s="308">
        <f t="shared" si="64"/>
        <v>8087686</v>
      </c>
    </row>
    <row r="143" spans="1:73" ht="15" x14ac:dyDescent="0.2">
      <c r="A143" s="62" t="s">
        <v>141</v>
      </c>
      <c r="B143" s="55" t="s">
        <v>4</v>
      </c>
      <c r="C143" s="55"/>
      <c r="D143" s="55"/>
      <c r="E143" s="55"/>
      <c r="F143" s="55"/>
      <c r="G143" s="48">
        <v>6</v>
      </c>
      <c r="H143" s="55">
        <v>129</v>
      </c>
      <c r="I143" s="55">
        <f>INDEX('FY 22 OFA Shell'!$K$27:$K$195,MATCH(Data!H143,'FY 22 OFA Shell'!$H$27:$H$195,0))</f>
        <v>1309.1300000000001</v>
      </c>
      <c r="J143" s="55">
        <f>INDEX('FY 22 OFA Shell'!$N$27:$N$195,MATCH(Data!H143,'FY 22 OFA Shell'!$H$27:$H$195,0))</f>
        <v>61</v>
      </c>
      <c r="K143" s="64">
        <f>INDEX('FY 22 OFA Shell'!$S$27:$S$195,MATCH(Data!H143,'FY 22 OFA Shell'!$H$27:$H$195,0))</f>
        <v>5</v>
      </c>
      <c r="L143" s="150">
        <f t="shared" si="53"/>
        <v>4.6595830818940823E-2</v>
      </c>
      <c r="M143" s="149">
        <f>MAX(((L143-Inputs!$E$23)*Data!I143)*Inputs!$E$24,0)</f>
        <v>0</v>
      </c>
      <c r="N143" s="151">
        <f>INDEX('FY 22 OFA Shell'!$V$27:$V$195,MATCH(Data!H143,'FY 22 OFA Shell'!$H$27:$H$195,0))</f>
        <v>1303644831.6700001</v>
      </c>
      <c r="O143" s="63">
        <f>INDEX('FY 22 OFA Shell'!$W$27:$W$195,MATCH(Data!H143,'FY 22 OFA Shell'!$H$27:$H$195,0))</f>
        <v>11137</v>
      </c>
      <c r="P143" s="65">
        <f>INDEX('FY 22 OFA Shell'!$Z$27:$Z$195,MATCH(Data!H143,'FY 22 OFA Shell'!$H$27:$H$195,0))</f>
        <v>105164</v>
      </c>
      <c r="Q143" s="63">
        <f>INDEX('FY 22 OFA Shell'!$AF$27:$AF$195,MATCH(Data!H143,'FY 22 OFA Shell'!$H$27:$H$195,0))</f>
        <v>0</v>
      </c>
      <c r="R143" s="66">
        <f>INDEX('FY 22 OFA Shell'!$AG$27:$AG$195,MATCH(Data!H143,'FY 22 OFA Shell'!$H$27:$H$195,0))</f>
        <v>0</v>
      </c>
      <c r="S143" s="66">
        <f>INDEX('FY 22 OFA Shell'!$AJ$27:$AJ$195,MATCH(Data!H143,'FY 22 OFA Shell'!$H$27:$H$195,0))</f>
        <v>0</v>
      </c>
      <c r="T143" s="66">
        <f>INDEX('FY 22 OFA Shell'!$AK$27:$AK$195,MATCH(Data!H143,'FY 22 OFA Shell'!$H$27:$H$195,0))</f>
        <v>0</v>
      </c>
      <c r="U143" s="135">
        <v>5929453</v>
      </c>
      <c r="V143" s="67">
        <f>ROUND(J143*Inputs!$E$22, 2)</f>
        <v>18.3</v>
      </c>
      <c r="W143" s="68">
        <f>I143+V143+K143*Inputs!$E$28+Data!M143</f>
        <v>1328.68</v>
      </c>
      <c r="X143" s="69">
        <f t="shared" ref="X143:X174" si="78">ROUND(N143/O143,2)</f>
        <v>117055.3</v>
      </c>
      <c r="Y143" s="70">
        <f>ROUND(X143/Inputs!$E$32, 6)</f>
        <v>0.60799499999999995</v>
      </c>
      <c r="Z143" s="70">
        <f>ROUND(P143/Inputs!$E$33, 6)</f>
        <v>0.87277199999999999</v>
      </c>
      <c r="AA143" s="59">
        <f>ROUND(1-((Y143*Inputs!$E$29)+Z143*Inputs!$E$27), 6)</f>
        <v>0.31257200000000002</v>
      </c>
      <c r="AB143" s="59">
        <v>230.24780279240755</v>
      </c>
      <c r="AC143" s="73">
        <f>INDEX('FY 22 OFA Shell'!$G$27:$G$195,MATCH(Data!H143,'FY 22 OFA Shell'!$H$27:$H$195,0))</f>
        <v>85</v>
      </c>
      <c r="AD143" s="73">
        <f t="shared" si="54"/>
        <v>5</v>
      </c>
      <c r="AE143" s="65">
        <v>5929453</v>
      </c>
      <c r="AF143" s="65">
        <f t="shared" ref="AF143:AF174" si="79">AN143-AE143</f>
        <v>-1143026</v>
      </c>
      <c r="AG143" s="65">
        <f t="shared" ref="AG143:AG174" si="80">AM143-AE143</f>
        <v>-1143026</v>
      </c>
      <c r="AH143" s="52">
        <v>5142187</v>
      </c>
      <c r="AI143" s="107">
        <v>5839613</v>
      </c>
      <c r="AJ143"/>
      <c r="AK143">
        <v>0</v>
      </c>
      <c r="AL143" s="165">
        <f>INDEX('FY 22 OFA Shell'!$AU$27:$AU$195,MATCH(Data!H143,'FY 22 OFA Shell'!$H$27:$H$195,0))</f>
        <v>5692630</v>
      </c>
      <c r="AM143" s="165">
        <f>Outputs!H148</f>
        <v>4786427</v>
      </c>
      <c r="AN143" s="165">
        <f>Outputs!G148+Outputs!D148+Outputs!F148</f>
        <v>4786427</v>
      </c>
      <c r="AO143" s="165">
        <v>5779513</v>
      </c>
      <c r="AP143" s="165">
        <f t="shared" si="68"/>
        <v>5839613</v>
      </c>
      <c r="AQ143" s="52" t="str">
        <f t="shared" ref="AQ143:AQ174" si="81">IF(AN143&gt;AE143,"Yes","No")</f>
        <v>No</v>
      </c>
      <c r="AR143" s="308">
        <f>ABS(IF(AQ143="Yes",AF143*Inputs!$D$50,Data!AF143*Inputs!$D$51))</f>
        <v>0</v>
      </c>
      <c r="AS143" s="308">
        <f t="shared" si="55"/>
        <v>5692630</v>
      </c>
      <c r="AT143" s="308">
        <f t="shared" ref="AT143:AT174" si="82">IF(D143=1,MAX(AS143,AE143),AS143)</f>
        <v>5692630</v>
      </c>
      <c r="AU143" s="308"/>
      <c r="AV143" s="308">
        <f>ABS(IF($AQ143="Yes",$AF143*Inputs!E$50,Data!$AF143*Inputs!E$51))</f>
        <v>0</v>
      </c>
      <c r="AW143" s="308">
        <f>ABS(IF($AQ143="Yes",$AF143*Inputs!F$50,Data!$AF143*Inputs!F$51))</f>
        <v>95214.065799999997</v>
      </c>
      <c r="AX143" s="308">
        <f>ABS(IF($AQ143="Yes",$AF143*Inputs!G$50,Data!$AF143*Inputs!G$51))</f>
        <v>95214.065799999997</v>
      </c>
      <c r="AY143" s="308">
        <f>ABS(IF($AQ143="Yes",$AF143*Inputs!H$50,Data!$AF143*Inputs!H$51))</f>
        <v>95214.065799999997</v>
      </c>
      <c r="AZ143" s="308">
        <f>ABS(IF($AQ143="Yes",$AF143*Inputs!I$50,Data!$AF143*Inputs!I$51))</f>
        <v>95214.065799999997</v>
      </c>
      <c r="BA143" s="308">
        <f>ABS(IF($AQ143="Yes",$AF143*Inputs!J$50,Data!$AF143*Inputs!J$51))</f>
        <v>95214.065799999997</v>
      </c>
      <c r="BB143" s="308">
        <f>ABS(IF($AQ143="Yes",$AF143*Inputs!K$50,Data!$AF143*Inputs!K$51))</f>
        <v>95214.065799999997</v>
      </c>
      <c r="BC143" s="308">
        <f>ABS(IF($AQ143="Yes",$AF143*Inputs!L$50,Data!$AF143*Inputs!L$51))</f>
        <v>95214.065799999997</v>
      </c>
      <c r="BE143" s="308">
        <f t="shared" si="56"/>
        <v>5692630</v>
      </c>
      <c r="BF143" s="308">
        <f t="shared" si="57"/>
        <v>5597415.9342</v>
      </c>
      <c r="BG143" s="308">
        <f t="shared" si="58"/>
        <v>5502201.8684</v>
      </c>
      <c r="BH143" s="308">
        <f t="shared" si="59"/>
        <v>5406987.8026000001</v>
      </c>
      <c r="BI143" s="308">
        <f t="shared" si="60"/>
        <v>5311773.7368000001</v>
      </c>
      <c r="BJ143" s="308">
        <f t="shared" si="61"/>
        <v>5216559.6710000001</v>
      </c>
      <c r="BK143" s="308">
        <f t="shared" si="62"/>
        <v>5121345.6052000001</v>
      </c>
      <c r="BL143" s="308">
        <f t="shared" si="63"/>
        <v>4786427</v>
      </c>
      <c r="BN143" s="308">
        <f t="shared" ref="BN143:BN174" si="83">IF($D143=1,MAX(BE143,$AE143),BE143)</f>
        <v>5692630</v>
      </c>
      <c r="BO143" s="308">
        <f t="shared" ref="BO143:BO174" si="84">IF($D143=1,MAX(BF143,$AE143),BF143)</f>
        <v>5597415.9342</v>
      </c>
      <c r="BP143" s="308">
        <f t="shared" ref="BP143:BP174" si="85">IF($D143=1,MAX(BG143,$AE143),BG143)</f>
        <v>5502201.8684</v>
      </c>
      <c r="BQ143" s="308">
        <f t="shared" ref="BQ143:BQ174" si="86">IF($D143=1,MAX(BH143,$AE143),BH143)</f>
        <v>5406987.8026000001</v>
      </c>
      <c r="BR143" s="308">
        <f t="shared" ref="BR143:BR174" si="87">IF($D143=1,MAX(BI143,$AE143),BI143)</f>
        <v>5311773.7368000001</v>
      </c>
      <c r="BS143" s="308">
        <f t="shared" ref="BS143:BS174" si="88">IF($D143=1,MAX(BJ143,$AE143),BJ143)</f>
        <v>5216559.6710000001</v>
      </c>
      <c r="BT143" s="308">
        <f t="shared" ref="BT143:BT174" si="89">IF($D143=1,MAX(BK143,$AE143),BK143)</f>
        <v>5121345.6052000001</v>
      </c>
      <c r="BU143" s="308">
        <f t="shared" si="64"/>
        <v>4786427</v>
      </c>
    </row>
    <row r="144" spans="1:73" ht="15" x14ac:dyDescent="0.2">
      <c r="A144" s="62" t="s">
        <v>142</v>
      </c>
      <c r="B144" s="55" t="s">
        <v>10</v>
      </c>
      <c r="C144" s="55"/>
      <c r="D144" s="55"/>
      <c r="E144" s="55"/>
      <c r="F144" s="55"/>
      <c r="G144" s="48">
        <v>5</v>
      </c>
      <c r="H144" s="55">
        <v>130</v>
      </c>
      <c r="I144" s="55">
        <f>INDEX('FY 22 OFA Shell'!$K$27:$K$195,MATCH(Data!H144,'FY 22 OFA Shell'!$H$27:$H$195,0))</f>
        <v>2344.64</v>
      </c>
      <c r="J144" s="55">
        <f>INDEX('FY 22 OFA Shell'!$N$27:$N$195,MATCH(Data!H144,'FY 22 OFA Shell'!$H$27:$H$195,0))</f>
        <v>290</v>
      </c>
      <c r="K144" s="64">
        <f>INDEX('FY 22 OFA Shell'!$S$27:$S$195,MATCH(Data!H144,'FY 22 OFA Shell'!$H$27:$H$195,0))</f>
        <v>20</v>
      </c>
      <c r="L144" s="150">
        <f t="shared" ref="L144:L183" si="90">J144/I144</f>
        <v>0.1236863654974751</v>
      </c>
      <c r="M144" s="149">
        <f>MAX(((L144-Inputs!$E$23)*Data!I144)*Inputs!$E$24,0)</f>
        <v>0</v>
      </c>
      <c r="N144" s="151">
        <f>INDEX('FY 22 OFA Shell'!$V$27:$V$195,MATCH(Data!H144,'FY 22 OFA Shell'!$H$27:$H$195,0))</f>
        <v>3166366217</v>
      </c>
      <c r="O144" s="63">
        <f>INDEX('FY 22 OFA Shell'!$W$27:$W$195,MATCH(Data!H144,'FY 22 OFA Shell'!$H$27:$H$195,0))</f>
        <v>19754</v>
      </c>
      <c r="P144" s="65">
        <f>INDEX('FY 22 OFA Shell'!$Z$27:$Z$195,MATCH(Data!H144,'FY 22 OFA Shell'!$H$27:$H$195,0))</f>
        <v>94176</v>
      </c>
      <c r="Q144" s="63">
        <f>INDEX('FY 22 OFA Shell'!$AF$27:$AF$195,MATCH(Data!H144,'FY 22 OFA Shell'!$H$27:$H$195,0))</f>
        <v>2359</v>
      </c>
      <c r="R144" s="66">
        <f>INDEX('FY 22 OFA Shell'!$AG$27:$AG$195,MATCH(Data!H144,'FY 22 OFA Shell'!$H$27:$H$195,0))</f>
        <v>13</v>
      </c>
      <c r="S144" s="66">
        <f>INDEX('FY 22 OFA Shell'!$AJ$27:$AJ$195,MATCH(Data!H144,'FY 22 OFA Shell'!$H$27:$H$195,0))</f>
        <v>0</v>
      </c>
      <c r="T144" s="66">
        <f>INDEX('FY 22 OFA Shell'!$AK$27:$AK$195,MATCH(Data!H144,'FY 22 OFA Shell'!$H$27:$H$195,0))</f>
        <v>0</v>
      </c>
      <c r="U144" s="135">
        <v>3458266</v>
      </c>
      <c r="V144" s="67">
        <f>ROUND(J144*Inputs!$E$22, 2)</f>
        <v>87</v>
      </c>
      <c r="W144" s="68">
        <f>I144+V144+K144*Inputs!$E$28+Data!M144</f>
        <v>2436.64</v>
      </c>
      <c r="X144" s="69">
        <f t="shared" si="78"/>
        <v>160289.88</v>
      </c>
      <c r="Y144" s="70">
        <f>ROUND(X144/Inputs!$E$32, 6)</f>
        <v>0.83255900000000005</v>
      </c>
      <c r="Z144" s="70">
        <f>ROUND(P144/Inputs!$E$33, 6)</f>
        <v>0.78158099999999997</v>
      </c>
      <c r="AA144" s="59">
        <f>ROUND(1-((Y144*Inputs!$E$29)+Z144*Inputs!$E$27), 6)</f>
        <v>0.18273400000000001</v>
      </c>
      <c r="AB144" s="59">
        <v>222.18954250479533</v>
      </c>
      <c r="AC144" s="73">
        <f>INDEX('FY 22 OFA Shell'!$G$27:$G$195,MATCH(Data!H144,'FY 22 OFA Shell'!$H$27:$H$195,0))</f>
        <v>98</v>
      </c>
      <c r="AD144" s="73">
        <f t="shared" ref="AD144:AD183" si="91">IF(AC144&gt;=1,IF(AC144&lt;=5,1,IF(AC144&lt;=10,2,IF(AC144&lt;=15,3,IF(AC144&lt;=19,4,5)))))</f>
        <v>5</v>
      </c>
      <c r="AE144" s="65">
        <v>3458266</v>
      </c>
      <c r="AF144" s="65">
        <f t="shared" si="79"/>
        <v>4740021</v>
      </c>
      <c r="AG144" s="65">
        <f t="shared" si="80"/>
        <v>4740021</v>
      </c>
      <c r="AH144" s="52">
        <v>2991567</v>
      </c>
      <c r="AI144" s="107">
        <v>3501461.304</v>
      </c>
      <c r="AJ144">
        <v>1</v>
      </c>
      <c r="AK144">
        <v>1272.4879333040808</v>
      </c>
      <c r="AL144" s="165">
        <f>INDEX('FY 22 OFA Shell'!$AU$27:$AU$195,MATCH(Data!H144,'FY 22 OFA Shell'!$H$27:$H$195,0))</f>
        <v>3785641</v>
      </c>
      <c r="AM144" s="165">
        <f>Outputs!H149</f>
        <v>8198287</v>
      </c>
      <c r="AN144" s="165">
        <f>Outputs!G149+Outputs!D149+Outputs!F149</f>
        <v>8198287</v>
      </c>
      <c r="AO144" s="165">
        <v>3628482</v>
      </c>
      <c r="AP144" s="165">
        <f t="shared" ref="AP144:AP183" si="92">AI144+AK144</f>
        <v>3502733.7919333042</v>
      </c>
      <c r="AQ144" s="52" t="str">
        <f t="shared" si="81"/>
        <v>Yes</v>
      </c>
      <c r="AR144" s="308">
        <f>ABS(IF(AQ144="Yes",AF144*Inputs!$D$50,Data!AF144*Inputs!$D$51))</f>
        <v>505286.23859999998</v>
      </c>
      <c r="AS144" s="308">
        <f t="shared" ref="AS144:AS183" si="93">IF(AQ144="Yes",AL144+AR144,AL144-AR144)</f>
        <v>4290927.2385999998</v>
      </c>
      <c r="AT144" s="308">
        <f t="shared" si="82"/>
        <v>4290927.2385999998</v>
      </c>
      <c r="AU144" s="308"/>
      <c r="AV144" s="308">
        <f>ABS(IF($AQ144="Yes",$AF144*Inputs!E$50,Data!$AF144*Inputs!E$51))</f>
        <v>505286.23859999998</v>
      </c>
      <c r="AW144" s="308">
        <f>ABS(IF($AQ144="Yes",$AF144*Inputs!F$50,Data!$AF144*Inputs!F$51))</f>
        <v>505286.23859999998</v>
      </c>
      <c r="AX144" s="308">
        <f>ABS(IF($AQ144="Yes",$AF144*Inputs!G$50,Data!$AF144*Inputs!G$51))</f>
        <v>505286.23859999998</v>
      </c>
      <c r="AY144" s="308">
        <f>ABS(IF($AQ144="Yes",$AF144*Inputs!H$50,Data!$AF144*Inputs!H$51))</f>
        <v>505286.23859999998</v>
      </c>
      <c r="AZ144" s="308">
        <f>ABS(IF($AQ144="Yes",$AF144*Inputs!I$50,Data!$AF144*Inputs!I$51))</f>
        <v>505286.23859999998</v>
      </c>
      <c r="BA144" s="308">
        <f>ABS(IF($AQ144="Yes",$AF144*Inputs!J$50,Data!$AF144*Inputs!J$51))</f>
        <v>505286.23859999998</v>
      </c>
      <c r="BB144" s="308">
        <f>ABS(IF($AQ144="Yes",$AF144*Inputs!K$50,Data!$AF144*Inputs!K$51))</f>
        <v>0</v>
      </c>
      <c r="BC144" s="308">
        <f>ABS(IF($AQ144="Yes",$AF144*Inputs!L$50,Data!$AF144*Inputs!L$51))</f>
        <v>0</v>
      </c>
      <c r="BE144" s="308">
        <f t="shared" ref="BE144:BE183" si="94">IF(AQ144="Yes",AT144+AV144,AT144-AV144)</f>
        <v>4796213.4771999996</v>
      </c>
      <c r="BF144" s="308">
        <f t="shared" ref="BF144:BF183" si="95">IF($AQ144="Yes",BE144+AW144,BE144-AW144)</f>
        <v>5301499.7157999994</v>
      </c>
      <c r="BG144" s="308">
        <f t="shared" ref="BG144:BG183" si="96">IF($AQ144="Yes",BF144+AX144,BF144-AX144)</f>
        <v>5806785.9543999992</v>
      </c>
      <c r="BH144" s="308">
        <f t="shared" ref="BH144:BH183" si="97">IF($AQ144="Yes",BG144+AY144,BG144-AY144)</f>
        <v>6312072.192999999</v>
      </c>
      <c r="BI144" s="308">
        <f t="shared" ref="BI144:BI183" si="98">IF($AQ144="Yes",BH144+AZ144,BH144-AZ144)</f>
        <v>6817358.4315999988</v>
      </c>
      <c r="BJ144" s="308">
        <f t="shared" ref="BJ144:BJ183" si="99">IF($AQ144="Yes",AN144,BI144-BA144)</f>
        <v>8198287</v>
      </c>
      <c r="BK144" s="308">
        <f t="shared" ref="BK144:BK183" si="100">IF($AQ144="Yes",BJ144,BJ144-BB144)</f>
        <v>8198287</v>
      </c>
      <c r="BL144" s="308">
        <f t="shared" ref="BL144:BL183" si="101">AN144</f>
        <v>8198287</v>
      </c>
      <c r="BN144" s="308">
        <f t="shared" si="83"/>
        <v>4796213.4771999996</v>
      </c>
      <c r="BO144" s="308">
        <f t="shared" si="84"/>
        <v>5301499.7157999994</v>
      </c>
      <c r="BP144" s="308">
        <f t="shared" si="85"/>
        <v>5806785.9543999992</v>
      </c>
      <c r="BQ144" s="308">
        <f t="shared" si="86"/>
        <v>6312072.192999999</v>
      </c>
      <c r="BR144" s="308">
        <f t="shared" si="87"/>
        <v>6817358.4315999988</v>
      </c>
      <c r="BS144" s="308">
        <f t="shared" si="88"/>
        <v>8198287</v>
      </c>
      <c r="BT144" s="308">
        <f t="shared" si="89"/>
        <v>8198287</v>
      </c>
      <c r="BU144" s="308">
        <f t="shared" ref="BU144:BU183" si="102">AM144</f>
        <v>8198287</v>
      </c>
    </row>
    <row r="145" spans="1:73" ht="15" x14ac:dyDescent="0.2">
      <c r="A145" s="62" t="s">
        <v>143</v>
      </c>
      <c r="B145" s="55" t="s">
        <v>14</v>
      </c>
      <c r="C145" s="55"/>
      <c r="D145" s="55"/>
      <c r="E145" s="55"/>
      <c r="F145" s="55"/>
      <c r="G145" s="48">
        <v>6</v>
      </c>
      <c r="H145" s="55">
        <v>131</v>
      </c>
      <c r="I145" s="55">
        <f>INDEX('FY 22 OFA Shell'!$K$27:$K$195,MATCH(Data!H145,'FY 22 OFA Shell'!$H$27:$H$195,0))</f>
        <v>6124.37</v>
      </c>
      <c r="J145" s="55">
        <f>INDEX('FY 22 OFA Shell'!$N$27:$N$195,MATCH(Data!H145,'FY 22 OFA Shell'!$H$27:$H$195,0))</f>
        <v>1415</v>
      </c>
      <c r="K145" s="64">
        <f>INDEX('FY 22 OFA Shell'!$S$27:$S$195,MATCH(Data!H145,'FY 22 OFA Shell'!$H$27:$H$195,0))</f>
        <v>139</v>
      </c>
      <c r="L145" s="150">
        <f t="shared" si="90"/>
        <v>0.23104417270674371</v>
      </c>
      <c r="M145" s="149">
        <f>MAX(((L145-Inputs!$E$23)*Data!I145)*Inputs!$E$24,0)</f>
        <v>0</v>
      </c>
      <c r="N145" s="151">
        <f>INDEX('FY 22 OFA Shell'!$V$27:$V$195,MATCH(Data!H145,'FY 22 OFA Shell'!$H$27:$H$195,0))</f>
        <v>6066041105</v>
      </c>
      <c r="O145" s="63">
        <f>INDEX('FY 22 OFA Shell'!$W$27:$W$195,MATCH(Data!H145,'FY 22 OFA Shell'!$H$27:$H$195,0))</f>
        <v>43763</v>
      </c>
      <c r="P145" s="65">
        <f>INDEX('FY 22 OFA Shell'!$Z$27:$Z$195,MATCH(Data!H145,'FY 22 OFA Shell'!$H$27:$H$195,0))</f>
        <v>92220</v>
      </c>
      <c r="Q145" s="63">
        <f>INDEX('FY 22 OFA Shell'!$AF$27:$AF$195,MATCH(Data!H145,'FY 22 OFA Shell'!$H$27:$H$195,0))</f>
        <v>0</v>
      </c>
      <c r="R145" s="66">
        <f>INDEX('FY 22 OFA Shell'!$AG$27:$AG$195,MATCH(Data!H145,'FY 22 OFA Shell'!$H$27:$H$195,0))</f>
        <v>0</v>
      </c>
      <c r="S145" s="66">
        <f>INDEX('FY 22 OFA Shell'!$AJ$27:$AJ$195,MATCH(Data!H145,'FY 22 OFA Shell'!$H$27:$H$195,0))</f>
        <v>0</v>
      </c>
      <c r="T145" s="66">
        <f>INDEX('FY 22 OFA Shell'!$AK$27:$AK$195,MATCH(Data!H145,'FY 22 OFA Shell'!$H$27:$H$195,0))</f>
        <v>0</v>
      </c>
      <c r="U145" s="135">
        <v>20268059</v>
      </c>
      <c r="V145" s="67">
        <f>ROUND(J145*Inputs!$E$22, 2)</f>
        <v>424.5</v>
      </c>
      <c r="W145" s="68">
        <f>I145+V145+K145*Inputs!$E$28+Data!M145</f>
        <v>6583.62</v>
      </c>
      <c r="X145" s="69">
        <f t="shared" si="78"/>
        <v>138611.18</v>
      </c>
      <c r="Y145" s="70">
        <f>ROUND(X145/Inputs!$E$32, 6)</f>
        <v>0.71995799999999999</v>
      </c>
      <c r="Z145" s="70">
        <f>ROUND(P145/Inputs!$E$33, 6)</f>
        <v>0.76534800000000003</v>
      </c>
      <c r="AA145" s="59">
        <f>ROUND(1-((Y145*Inputs!$E$29)+Z145*Inputs!$E$27), 6)</f>
        <v>0.26642500000000002</v>
      </c>
      <c r="AB145" s="59">
        <v>229.86539993654605</v>
      </c>
      <c r="AC145" s="73">
        <f>INDEX('FY 22 OFA Shell'!$G$27:$G$195,MATCH(Data!H145,'FY 22 OFA Shell'!$H$27:$H$195,0))</f>
        <v>83</v>
      </c>
      <c r="AD145" s="73">
        <f t="shared" si="91"/>
        <v>5</v>
      </c>
      <c r="AE145" s="65">
        <v>20268059</v>
      </c>
      <c r="AF145" s="65">
        <f t="shared" si="79"/>
        <v>-52737</v>
      </c>
      <c r="AG145" s="65">
        <f t="shared" si="80"/>
        <v>-52737</v>
      </c>
      <c r="AH145" s="52">
        <v>17540807</v>
      </c>
      <c r="AI145" s="107">
        <v>20348425.068</v>
      </c>
      <c r="AJ145">
        <v>4</v>
      </c>
      <c r="AK145">
        <v>5089.9517332163232</v>
      </c>
      <c r="AL145" s="165">
        <f>INDEX('FY 22 OFA Shell'!$AU$27:$AU$195,MATCH(Data!H145,'FY 22 OFA Shell'!$H$27:$H$195,0))</f>
        <v>20466417</v>
      </c>
      <c r="AM145" s="165">
        <f>Outputs!H150</f>
        <v>20215322</v>
      </c>
      <c r="AN145" s="165">
        <f>Outputs!G150+Outputs!D150+Outputs!F150</f>
        <v>20215322</v>
      </c>
      <c r="AO145" s="165">
        <v>20430243</v>
      </c>
      <c r="AP145" s="165">
        <f t="shared" si="92"/>
        <v>20353515.019733217</v>
      </c>
      <c r="AQ145" s="52" t="str">
        <f t="shared" si="81"/>
        <v>No</v>
      </c>
      <c r="AR145" s="308">
        <f>ABS(IF(AQ145="Yes",AF145*Inputs!$D$50,Data!AF145*Inputs!$D$51))</f>
        <v>0</v>
      </c>
      <c r="AS145" s="308">
        <f t="shared" si="93"/>
        <v>20466417</v>
      </c>
      <c r="AT145" s="308">
        <f t="shared" si="82"/>
        <v>20466417</v>
      </c>
      <c r="AU145" s="308"/>
      <c r="AV145" s="308">
        <f>ABS(IF($AQ145="Yes",$AF145*Inputs!E$50,Data!$AF145*Inputs!E$51))</f>
        <v>0</v>
      </c>
      <c r="AW145" s="308">
        <f>ABS(IF($AQ145="Yes",$AF145*Inputs!F$50,Data!$AF145*Inputs!F$51))</f>
        <v>4392.9921000000004</v>
      </c>
      <c r="AX145" s="308">
        <f>ABS(IF($AQ145="Yes",$AF145*Inputs!G$50,Data!$AF145*Inputs!G$51))</f>
        <v>4392.9921000000004</v>
      </c>
      <c r="AY145" s="308">
        <f>ABS(IF($AQ145="Yes",$AF145*Inputs!H$50,Data!$AF145*Inputs!H$51))</f>
        <v>4392.9921000000004</v>
      </c>
      <c r="AZ145" s="308">
        <f>ABS(IF($AQ145="Yes",$AF145*Inputs!I$50,Data!$AF145*Inputs!I$51))</f>
        <v>4392.9921000000004</v>
      </c>
      <c r="BA145" s="308">
        <f>ABS(IF($AQ145="Yes",$AF145*Inputs!J$50,Data!$AF145*Inputs!J$51))</f>
        <v>4392.9921000000004</v>
      </c>
      <c r="BB145" s="308">
        <f>ABS(IF($AQ145="Yes",$AF145*Inputs!K$50,Data!$AF145*Inputs!K$51))</f>
        <v>4392.9921000000004</v>
      </c>
      <c r="BC145" s="308">
        <f>ABS(IF($AQ145="Yes",$AF145*Inputs!L$50,Data!$AF145*Inputs!L$51))</f>
        <v>4392.9921000000004</v>
      </c>
      <c r="BE145" s="308">
        <f t="shared" si="94"/>
        <v>20466417</v>
      </c>
      <c r="BF145" s="308">
        <f t="shared" si="95"/>
        <v>20462024.0079</v>
      </c>
      <c r="BG145" s="308">
        <f t="shared" si="96"/>
        <v>20457631.015799999</v>
      </c>
      <c r="BH145" s="308">
        <f t="shared" si="97"/>
        <v>20453238.023699999</v>
      </c>
      <c r="BI145" s="308">
        <f t="shared" si="98"/>
        <v>20448845.031599998</v>
      </c>
      <c r="BJ145" s="308">
        <f t="shared" si="99"/>
        <v>20444452.039499998</v>
      </c>
      <c r="BK145" s="308">
        <f t="shared" si="100"/>
        <v>20440059.047399998</v>
      </c>
      <c r="BL145" s="308">
        <f t="shared" si="101"/>
        <v>20215322</v>
      </c>
      <c r="BN145" s="308">
        <f t="shared" si="83"/>
        <v>20466417</v>
      </c>
      <c r="BO145" s="308">
        <f t="shared" si="84"/>
        <v>20462024.0079</v>
      </c>
      <c r="BP145" s="308">
        <f t="shared" si="85"/>
        <v>20457631.015799999</v>
      </c>
      <c r="BQ145" s="308">
        <f t="shared" si="86"/>
        <v>20453238.023699999</v>
      </c>
      <c r="BR145" s="308">
        <f t="shared" si="87"/>
        <v>20448845.031599998</v>
      </c>
      <c r="BS145" s="308">
        <f t="shared" si="88"/>
        <v>20444452.039499998</v>
      </c>
      <c r="BT145" s="308">
        <f t="shared" si="89"/>
        <v>20440059.047399998</v>
      </c>
      <c r="BU145" s="308">
        <f t="shared" si="102"/>
        <v>20215322</v>
      </c>
    </row>
    <row r="146" spans="1:73" ht="15" x14ac:dyDescent="0.2">
      <c r="A146" s="62" t="s">
        <v>144</v>
      </c>
      <c r="B146" s="55" t="s">
        <v>10</v>
      </c>
      <c r="C146" s="55"/>
      <c r="D146" s="55"/>
      <c r="E146" s="55"/>
      <c r="F146" s="55"/>
      <c r="G146" s="48">
        <v>5</v>
      </c>
      <c r="H146" s="55">
        <v>132</v>
      </c>
      <c r="I146" s="55">
        <f>INDEX('FY 22 OFA Shell'!$K$27:$K$195,MATCH(Data!H146,'FY 22 OFA Shell'!$H$27:$H$195,0))</f>
        <v>4678.49</v>
      </c>
      <c r="J146" s="55">
        <f>INDEX('FY 22 OFA Shell'!$N$27:$N$195,MATCH(Data!H146,'FY 22 OFA Shell'!$H$27:$H$195,0))</f>
        <v>757</v>
      </c>
      <c r="K146" s="64">
        <f>INDEX('FY 22 OFA Shell'!$S$27:$S$195,MATCH(Data!H146,'FY 22 OFA Shell'!$H$27:$H$195,0))</f>
        <v>329</v>
      </c>
      <c r="L146" s="150">
        <f t="shared" si="90"/>
        <v>0.16180434285421152</v>
      </c>
      <c r="M146" s="149">
        <f>MAX(((L146-Inputs!$E$23)*Data!I146)*Inputs!$E$24,0)</f>
        <v>0</v>
      </c>
      <c r="N146" s="151">
        <f>INDEX('FY 22 OFA Shell'!$V$27:$V$195,MATCH(Data!H146,'FY 22 OFA Shell'!$H$27:$H$195,0))</f>
        <v>4036297127.6700001</v>
      </c>
      <c r="O146" s="63">
        <f>INDEX('FY 22 OFA Shell'!$W$27:$W$195,MATCH(Data!H146,'FY 22 OFA Shell'!$H$27:$H$195,0))</f>
        <v>25823</v>
      </c>
      <c r="P146" s="65">
        <f>INDEX('FY 22 OFA Shell'!$Z$27:$Z$195,MATCH(Data!H146,'FY 22 OFA Shell'!$H$27:$H$195,0))</f>
        <v>107088</v>
      </c>
      <c r="Q146" s="63">
        <f>INDEX('FY 22 OFA Shell'!$AF$27:$AF$195,MATCH(Data!H146,'FY 22 OFA Shell'!$H$27:$H$195,0))</f>
        <v>0</v>
      </c>
      <c r="R146" s="66">
        <f>INDEX('FY 22 OFA Shell'!$AG$27:$AG$195,MATCH(Data!H146,'FY 22 OFA Shell'!$H$27:$H$195,0))</f>
        <v>0</v>
      </c>
      <c r="S146" s="66">
        <f>INDEX('FY 22 OFA Shell'!$AJ$27:$AJ$195,MATCH(Data!H146,'FY 22 OFA Shell'!$H$27:$H$195,0))</f>
        <v>0</v>
      </c>
      <c r="T146" s="66">
        <f>INDEX('FY 22 OFA Shell'!$AK$27:$AK$195,MATCH(Data!H146,'FY 22 OFA Shell'!$H$27:$H$195,0))</f>
        <v>0</v>
      </c>
      <c r="U146" s="135">
        <v>12826469</v>
      </c>
      <c r="V146" s="67">
        <f>ROUND(J146*Inputs!$E$22, 2)</f>
        <v>227.1</v>
      </c>
      <c r="W146" s="68">
        <f>I146+V146+K146*Inputs!$E$28+Data!M146</f>
        <v>4987.84</v>
      </c>
      <c r="X146" s="69">
        <f t="shared" si="78"/>
        <v>156306.28</v>
      </c>
      <c r="Y146" s="70">
        <f>ROUND(X146/Inputs!$E$32, 6)</f>
        <v>0.81186800000000003</v>
      </c>
      <c r="Z146" s="70">
        <f>ROUND(P146/Inputs!$E$33, 6)</f>
        <v>0.88873999999999997</v>
      </c>
      <c r="AA146" s="59">
        <f>ROUND(1-((Y146*Inputs!$E$29)+Z146*Inputs!$E$27), 6)</f>
        <v>0.16506999999999999</v>
      </c>
      <c r="AB146" s="59">
        <v>234.46400371758025</v>
      </c>
      <c r="AC146" s="73">
        <f>INDEX('FY 22 OFA Shell'!$G$27:$G$195,MATCH(Data!H146,'FY 22 OFA Shell'!$H$27:$H$195,0))</f>
        <v>78</v>
      </c>
      <c r="AD146" s="73">
        <f t="shared" si="91"/>
        <v>5</v>
      </c>
      <c r="AE146" s="65">
        <v>12826469</v>
      </c>
      <c r="AF146" s="65">
        <f t="shared" si="79"/>
        <v>-3337444</v>
      </c>
      <c r="AG146" s="65">
        <f t="shared" si="80"/>
        <v>-3337444</v>
      </c>
      <c r="AH146" s="52">
        <v>11123226</v>
      </c>
      <c r="AI146" s="107">
        <v>11976417.5</v>
      </c>
      <c r="AJ146"/>
      <c r="AK146">
        <v>0</v>
      </c>
      <c r="AL146" s="165">
        <f>INDEX('FY 22 OFA Shell'!$AU$27:$AU$195,MATCH(Data!H146,'FY 22 OFA Shell'!$H$27:$H$195,0))</f>
        <v>11408078</v>
      </c>
      <c r="AM146" s="165">
        <f>Outputs!H151</f>
        <v>9489025</v>
      </c>
      <c r="AN146" s="165">
        <f>Outputs!G151+Outputs!D151+Outputs!F151</f>
        <v>9489025</v>
      </c>
      <c r="AO146" s="165">
        <v>11697813</v>
      </c>
      <c r="AP146" s="165">
        <f t="shared" si="92"/>
        <v>11976417.5</v>
      </c>
      <c r="AQ146" s="52" t="str">
        <f t="shared" si="81"/>
        <v>No</v>
      </c>
      <c r="AR146" s="308">
        <f>ABS(IF(AQ146="Yes",AF146*Inputs!$D$50,Data!AF146*Inputs!$D$51))</f>
        <v>0</v>
      </c>
      <c r="AS146" s="308">
        <f t="shared" si="93"/>
        <v>11408078</v>
      </c>
      <c r="AT146" s="308">
        <f t="shared" si="82"/>
        <v>11408078</v>
      </c>
      <c r="AU146" s="308"/>
      <c r="AV146" s="308">
        <f>ABS(IF($AQ146="Yes",$AF146*Inputs!E$50,Data!$AF146*Inputs!E$51))</f>
        <v>0</v>
      </c>
      <c r="AW146" s="308">
        <f>ABS(IF($AQ146="Yes",$AF146*Inputs!F$50,Data!$AF146*Inputs!F$51))</f>
        <v>278009.08519999997</v>
      </c>
      <c r="AX146" s="308">
        <f>ABS(IF($AQ146="Yes",$AF146*Inputs!G$50,Data!$AF146*Inputs!G$51))</f>
        <v>278009.08519999997</v>
      </c>
      <c r="AY146" s="308">
        <f>ABS(IF($AQ146="Yes",$AF146*Inputs!H$50,Data!$AF146*Inputs!H$51))</f>
        <v>278009.08519999997</v>
      </c>
      <c r="AZ146" s="308">
        <f>ABS(IF($AQ146="Yes",$AF146*Inputs!I$50,Data!$AF146*Inputs!I$51))</f>
        <v>278009.08519999997</v>
      </c>
      <c r="BA146" s="308">
        <f>ABS(IF($AQ146="Yes",$AF146*Inputs!J$50,Data!$AF146*Inputs!J$51))</f>
        <v>278009.08519999997</v>
      </c>
      <c r="BB146" s="308">
        <f>ABS(IF($AQ146="Yes",$AF146*Inputs!K$50,Data!$AF146*Inputs!K$51))</f>
        <v>278009.08519999997</v>
      </c>
      <c r="BC146" s="308">
        <f>ABS(IF($AQ146="Yes",$AF146*Inputs!L$50,Data!$AF146*Inputs!L$51))</f>
        <v>278009.08519999997</v>
      </c>
      <c r="BE146" s="308">
        <f t="shared" si="94"/>
        <v>11408078</v>
      </c>
      <c r="BF146" s="308">
        <f t="shared" si="95"/>
        <v>11130068.914799999</v>
      </c>
      <c r="BG146" s="308">
        <f t="shared" si="96"/>
        <v>10852059.829599999</v>
      </c>
      <c r="BH146" s="308">
        <f t="shared" si="97"/>
        <v>10574050.744399998</v>
      </c>
      <c r="BI146" s="308">
        <f t="shared" si="98"/>
        <v>10296041.659199998</v>
      </c>
      <c r="BJ146" s="308">
        <f t="shared" si="99"/>
        <v>10018032.573999997</v>
      </c>
      <c r="BK146" s="308">
        <f t="shared" si="100"/>
        <v>9740023.4887999967</v>
      </c>
      <c r="BL146" s="308">
        <f t="shared" si="101"/>
        <v>9489025</v>
      </c>
      <c r="BN146" s="308">
        <f t="shared" si="83"/>
        <v>11408078</v>
      </c>
      <c r="BO146" s="308">
        <f t="shared" si="84"/>
        <v>11130068.914799999</v>
      </c>
      <c r="BP146" s="308">
        <f t="shared" si="85"/>
        <v>10852059.829599999</v>
      </c>
      <c r="BQ146" s="308">
        <f t="shared" si="86"/>
        <v>10574050.744399998</v>
      </c>
      <c r="BR146" s="308">
        <f t="shared" si="87"/>
        <v>10296041.659199998</v>
      </c>
      <c r="BS146" s="308">
        <f t="shared" si="88"/>
        <v>10018032.573999997</v>
      </c>
      <c r="BT146" s="308">
        <f t="shared" si="89"/>
        <v>9740023.4887999967</v>
      </c>
      <c r="BU146" s="308">
        <f t="shared" si="102"/>
        <v>9489025</v>
      </c>
    </row>
    <row r="147" spans="1:73" ht="15" x14ac:dyDescent="0.2">
      <c r="A147" s="62" t="s">
        <v>145</v>
      </c>
      <c r="B147" s="55" t="s">
        <v>32</v>
      </c>
      <c r="C147" s="55"/>
      <c r="D147" s="55"/>
      <c r="E147" s="55"/>
      <c r="F147" s="55"/>
      <c r="G147" s="48">
        <v>9</v>
      </c>
      <c r="H147" s="55">
        <v>133</v>
      </c>
      <c r="I147" s="55">
        <f>INDEX('FY 22 OFA Shell'!$K$27:$K$195,MATCH(Data!H147,'FY 22 OFA Shell'!$H$27:$H$195,0))</f>
        <v>348</v>
      </c>
      <c r="J147" s="55">
        <f>INDEX('FY 22 OFA Shell'!$N$27:$N$195,MATCH(Data!H147,'FY 22 OFA Shell'!$H$27:$H$195,0))</f>
        <v>207</v>
      </c>
      <c r="K147" s="64">
        <f>INDEX('FY 22 OFA Shell'!$S$27:$S$195,MATCH(Data!H147,'FY 22 OFA Shell'!$H$27:$H$195,0))</f>
        <v>11</v>
      </c>
      <c r="L147" s="150">
        <f t="shared" si="90"/>
        <v>0.59482758620689657</v>
      </c>
      <c r="M147" s="149">
        <f>MAX(((L147-Inputs!$E$23)*Data!I147)*Inputs!$E$24,0)</f>
        <v>0</v>
      </c>
      <c r="N147" s="151">
        <f>INDEX('FY 22 OFA Shell'!$V$27:$V$195,MATCH(Data!H147,'FY 22 OFA Shell'!$H$27:$H$195,0))</f>
        <v>257741030.66999999</v>
      </c>
      <c r="O147" s="63">
        <f>INDEX('FY 22 OFA Shell'!$W$27:$W$195,MATCH(Data!H147,'FY 22 OFA Shell'!$H$27:$H$195,0))</f>
        <v>2929</v>
      </c>
      <c r="P147" s="65">
        <f>INDEX('FY 22 OFA Shell'!$Z$27:$Z$195,MATCH(Data!H147,'FY 22 OFA Shell'!$H$27:$H$195,0))</f>
        <v>65688</v>
      </c>
      <c r="Q147" s="63">
        <f>INDEX('FY 22 OFA Shell'!$AF$27:$AF$195,MATCH(Data!H147,'FY 22 OFA Shell'!$H$27:$H$195,0))</f>
        <v>0</v>
      </c>
      <c r="R147" s="66">
        <f>INDEX('FY 22 OFA Shell'!$AG$27:$AG$195,MATCH(Data!H147,'FY 22 OFA Shell'!$H$27:$H$195,0))</f>
        <v>0</v>
      </c>
      <c r="S147" s="66">
        <f>INDEX('FY 22 OFA Shell'!$AJ$27:$AJ$195,MATCH(Data!H147,'FY 22 OFA Shell'!$H$27:$H$195,0))</f>
        <v>79</v>
      </c>
      <c r="T147" s="66">
        <f>INDEX('FY 22 OFA Shell'!$AK$27:$AK$195,MATCH(Data!H147,'FY 22 OFA Shell'!$H$27:$H$195,0))</f>
        <v>4</v>
      </c>
      <c r="U147" s="135">
        <v>2612273</v>
      </c>
      <c r="V147" s="67">
        <f>ROUND(J147*Inputs!$E$22, 2)</f>
        <v>62.1</v>
      </c>
      <c r="W147" s="68">
        <f>I147+V147+K147*Inputs!$E$28+Data!M147</f>
        <v>412.85</v>
      </c>
      <c r="X147" s="69">
        <f t="shared" si="78"/>
        <v>87996.25</v>
      </c>
      <c r="Y147" s="70">
        <f>ROUND(X147/Inputs!$E$32, 6)</f>
        <v>0.45706000000000002</v>
      </c>
      <c r="Z147" s="70">
        <f>ROUND(P147/Inputs!$E$33, 6)</f>
        <v>0.54515499999999995</v>
      </c>
      <c r="AA147" s="59">
        <f>ROUND(1-((Y147*Inputs!$E$29)+Z147*Inputs!$E$27), 6)</f>
        <v>0.51651199999999997</v>
      </c>
      <c r="AB147" s="59">
        <v>311.46528590230724</v>
      </c>
      <c r="AC147" s="73">
        <f>INDEX('FY 22 OFA Shell'!$G$27:$G$195,MATCH(Data!H147,'FY 22 OFA Shell'!$H$27:$H$195,0))</f>
        <v>15</v>
      </c>
      <c r="AD147" s="73">
        <f t="shared" si="91"/>
        <v>3</v>
      </c>
      <c r="AE147" s="65">
        <v>2612273</v>
      </c>
      <c r="AF147" s="65">
        <f t="shared" si="79"/>
        <v>67265</v>
      </c>
      <c r="AG147" s="65">
        <f t="shared" si="80"/>
        <v>67265</v>
      </c>
      <c r="AH147" s="52">
        <v>2269571</v>
      </c>
      <c r="AI147" s="107">
        <v>2640814.33</v>
      </c>
      <c r="AJ147"/>
      <c r="AK147">
        <v>0</v>
      </c>
      <c r="AL147" s="165">
        <f>INDEX('FY 22 OFA Shell'!$AU$27:$AU$195,MATCH(Data!H147,'FY 22 OFA Shell'!$H$27:$H$195,0))</f>
        <v>2668094</v>
      </c>
      <c r="AM147" s="165">
        <f>Outputs!H152</f>
        <v>2679538</v>
      </c>
      <c r="AN147" s="165">
        <f>Outputs!G152+Outputs!D152+Outputs!F152</f>
        <v>2679538</v>
      </c>
      <c r="AO147" s="165">
        <v>2690079</v>
      </c>
      <c r="AP147" s="165">
        <f t="shared" si="92"/>
        <v>2640814.33</v>
      </c>
      <c r="AQ147" s="52" t="str">
        <f t="shared" si="81"/>
        <v>Yes</v>
      </c>
      <c r="AR147" s="308">
        <f>ABS(IF(AQ147="Yes",AF147*Inputs!$D$50,Data!AF147*Inputs!$D$51))</f>
        <v>7170.4489999999996</v>
      </c>
      <c r="AS147" s="308">
        <f t="shared" si="93"/>
        <v>2675264.449</v>
      </c>
      <c r="AT147" s="308">
        <f t="shared" si="82"/>
        <v>2675264.449</v>
      </c>
      <c r="AU147" s="308"/>
      <c r="AV147" s="308">
        <f>ABS(IF($AQ147="Yes",$AF147*Inputs!E$50,Data!$AF147*Inputs!E$51))</f>
        <v>7170.4489999999996</v>
      </c>
      <c r="AW147" s="308">
        <f>ABS(IF($AQ147="Yes",$AF147*Inputs!F$50,Data!$AF147*Inputs!F$51))</f>
        <v>7170.4489999999996</v>
      </c>
      <c r="AX147" s="308">
        <f>ABS(IF($AQ147="Yes",$AF147*Inputs!G$50,Data!$AF147*Inputs!G$51))</f>
        <v>7170.4489999999996</v>
      </c>
      <c r="AY147" s="308">
        <f>ABS(IF($AQ147="Yes",$AF147*Inputs!H$50,Data!$AF147*Inputs!H$51))</f>
        <v>7170.4489999999996</v>
      </c>
      <c r="AZ147" s="308">
        <f>ABS(IF($AQ147="Yes",$AF147*Inputs!I$50,Data!$AF147*Inputs!I$51))</f>
        <v>7170.4489999999996</v>
      </c>
      <c r="BA147" s="308">
        <f>ABS(IF($AQ147="Yes",$AF147*Inputs!J$50,Data!$AF147*Inputs!J$51))</f>
        <v>7170.4489999999996</v>
      </c>
      <c r="BB147" s="308">
        <f>ABS(IF($AQ147="Yes",$AF147*Inputs!K$50,Data!$AF147*Inputs!K$51))</f>
        <v>0</v>
      </c>
      <c r="BC147" s="308">
        <f>ABS(IF($AQ147="Yes",$AF147*Inputs!L$50,Data!$AF147*Inputs!L$51))</f>
        <v>0</v>
      </c>
      <c r="BE147" s="308">
        <f t="shared" si="94"/>
        <v>2682434.898</v>
      </c>
      <c r="BF147" s="308">
        <f t="shared" si="95"/>
        <v>2689605.3470000001</v>
      </c>
      <c r="BG147" s="308">
        <f t="shared" si="96"/>
        <v>2696775.7960000001</v>
      </c>
      <c r="BH147" s="308">
        <f t="shared" si="97"/>
        <v>2703946.2450000001</v>
      </c>
      <c r="BI147" s="308">
        <f t="shared" si="98"/>
        <v>2711116.6940000001</v>
      </c>
      <c r="BJ147" s="308">
        <f t="shared" si="99"/>
        <v>2679538</v>
      </c>
      <c r="BK147" s="308">
        <f t="shared" si="100"/>
        <v>2679538</v>
      </c>
      <c r="BL147" s="308">
        <f t="shared" si="101"/>
        <v>2679538</v>
      </c>
      <c r="BN147" s="308">
        <f t="shared" si="83"/>
        <v>2682434.898</v>
      </c>
      <c r="BO147" s="308">
        <f t="shared" si="84"/>
        <v>2689605.3470000001</v>
      </c>
      <c r="BP147" s="308">
        <f t="shared" si="85"/>
        <v>2696775.7960000001</v>
      </c>
      <c r="BQ147" s="308">
        <f t="shared" si="86"/>
        <v>2703946.2450000001</v>
      </c>
      <c r="BR147" s="308">
        <f t="shared" si="87"/>
        <v>2711116.6940000001</v>
      </c>
      <c r="BS147" s="308">
        <f t="shared" si="88"/>
        <v>2679538</v>
      </c>
      <c r="BT147" s="308">
        <f t="shared" si="89"/>
        <v>2679538</v>
      </c>
      <c r="BU147" s="308">
        <f t="shared" si="102"/>
        <v>2679538</v>
      </c>
    </row>
    <row r="148" spans="1:73" ht="15" x14ac:dyDescent="0.2">
      <c r="A148" s="62" t="s">
        <v>146</v>
      </c>
      <c r="B148" s="55" t="s">
        <v>32</v>
      </c>
      <c r="C148" s="55"/>
      <c r="D148" s="55"/>
      <c r="E148" s="55"/>
      <c r="F148" s="55"/>
      <c r="G148" s="48">
        <v>9</v>
      </c>
      <c r="H148" s="55">
        <v>134</v>
      </c>
      <c r="I148" s="55">
        <f>INDEX('FY 22 OFA Shell'!$K$27:$K$195,MATCH(Data!H148,'FY 22 OFA Shell'!$H$27:$H$195,0))</f>
        <v>1365.61</v>
      </c>
      <c r="J148" s="55">
        <f>INDEX('FY 22 OFA Shell'!$N$27:$N$195,MATCH(Data!H148,'FY 22 OFA Shell'!$H$27:$H$195,0))</f>
        <v>563</v>
      </c>
      <c r="K148" s="64">
        <f>INDEX('FY 22 OFA Shell'!$S$27:$S$195,MATCH(Data!H148,'FY 22 OFA Shell'!$H$27:$H$195,0))</f>
        <v>6</v>
      </c>
      <c r="L148" s="150">
        <f t="shared" si="90"/>
        <v>0.41226997459010994</v>
      </c>
      <c r="M148" s="149">
        <f>MAX(((L148-Inputs!$E$23)*Data!I148)*Inputs!$E$24,0)</f>
        <v>0</v>
      </c>
      <c r="N148" s="151">
        <f>INDEX('FY 22 OFA Shell'!$V$27:$V$195,MATCH(Data!H148,'FY 22 OFA Shell'!$H$27:$H$195,0))</f>
        <v>1165297456.6700001</v>
      </c>
      <c r="O148" s="63">
        <f>INDEX('FY 22 OFA Shell'!$W$27:$W$195,MATCH(Data!H148,'FY 22 OFA Shell'!$H$27:$H$195,0))</f>
        <v>11890</v>
      </c>
      <c r="P148" s="65">
        <f>INDEX('FY 22 OFA Shell'!$Z$27:$Z$195,MATCH(Data!H148,'FY 22 OFA Shell'!$H$27:$H$195,0))</f>
        <v>72806</v>
      </c>
      <c r="Q148" s="63">
        <f>INDEX('FY 22 OFA Shell'!$AF$27:$AF$195,MATCH(Data!H148,'FY 22 OFA Shell'!$H$27:$H$195,0))</f>
        <v>0</v>
      </c>
      <c r="R148" s="66">
        <f>INDEX('FY 22 OFA Shell'!$AG$27:$AG$195,MATCH(Data!H148,'FY 22 OFA Shell'!$H$27:$H$195,0))</f>
        <v>0</v>
      </c>
      <c r="S148" s="66">
        <f>INDEX('FY 22 OFA Shell'!$AJ$27:$AJ$195,MATCH(Data!H148,'FY 22 OFA Shell'!$H$27:$H$195,0))</f>
        <v>0</v>
      </c>
      <c r="T148" s="66">
        <f>INDEX('FY 22 OFA Shell'!$AK$27:$AK$195,MATCH(Data!H148,'FY 22 OFA Shell'!$H$27:$H$195,0))</f>
        <v>0</v>
      </c>
      <c r="U148" s="135">
        <v>9790490</v>
      </c>
      <c r="V148" s="67">
        <f>ROUND(J148*Inputs!$E$22, 2)</f>
        <v>168.9</v>
      </c>
      <c r="W148" s="68">
        <f>I148+V148+K148*Inputs!$E$28+Data!M148</f>
        <v>1536.01</v>
      </c>
      <c r="X148" s="69">
        <f t="shared" si="78"/>
        <v>98006.51</v>
      </c>
      <c r="Y148" s="70">
        <f>ROUND(X148/Inputs!$E$32, 6)</f>
        <v>0.50905400000000001</v>
      </c>
      <c r="Z148" s="70">
        <f>ROUND(P148/Inputs!$E$33, 6)</f>
        <v>0.60422799999999999</v>
      </c>
      <c r="AA148" s="59">
        <f>ROUND(1-((Y148*Inputs!$E$29)+Z148*Inputs!$E$27), 6)</f>
        <v>0.46239400000000003</v>
      </c>
      <c r="AB148" s="59">
        <v>285.94277919372996</v>
      </c>
      <c r="AC148" s="73">
        <f>INDEX('FY 22 OFA Shell'!$G$27:$G$195,MATCH(Data!H148,'FY 22 OFA Shell'!$H$27:$H$195,0))</f>
        <v>42</v>
      </c>
      <c r="AD148" s="73">
        <f t="shared" si="91"/>
        <v>5</v>
      </c>
      <c r="AE148" s="65">
        <v>9790490</v>
      </c>
      <c r="AF148" s="65">
        <f t="shared" si="79"/>
        <v>-1604953</v>
      </c>
      <c r="AG148" s="65">
        <f t="shared" si="80"/>
        <v>-1604953</v>
      </c>
      <c r="AH148" s="52">
        <v>8486254</v>
      </c>
      <c r="AI148" s="107">
        <v>9675670.25</v>
      </c>
      <c r="AJ148"/>
      <c r="AK148">
        <v>0</v>
      </c>
      <c r="AL148" s="165">
        <f>INDEX('FY 22 OFA Shell'!$AU$27:$AU$195,MATCH(Data!H148,'FY 22 OFA Shell'!$H$27:$H$195,0))</f>
        <v>9551487</v>
      </c>
      <c r="AM148" s="165">
        <f>Outputs!H153</f>
        <v>8185537</v>
      </c>
      <c r="AN148" s="165">
        <f>Outputs!G153+Outputs!D153+Outputs!F153</f>
        <v>8185537</v>
      </c>
      <c r="AO148" s="165">
        <v>9627289</v>
      </c>
      <c r="AP148" s="165">
        <f t="shared" si="92"/>
        <v>9675670.25</v>
      </c>
      <c r="AQ148" s="52" t="str">
        <f t="shared" si="81"/>
        <v>No</v>
      </c>
      <c r="AR148" s="308">
        <f>ABS(IF(AQ148="Yes",AF148*Inputs!$D$50,Data!AF148*Inputs!$D$51))</f>
        <v>0</v>
      </c>
      <c r="AS148" s="308">
        <f t="shared" si="93"/>
        <v>9551487</v>
      </c>
      <c r="AT148" s="308">
        <f t="shared" si="82"/>
        <v>9551487</v>
      </c>
      <c r="AU148" s="308"/>
      <c r="AV148" s="308">
        <f>ABS(IF($AQ148="Yes",$AF148*Inputs!E$50,Data!$AF148*Inputs!E$51))</f>
        <v>0</v>
      </c>
      <c r="AW148" s="308">
        <f>ABS(IF($AQ148="Yes",$AF148*Inputs!F$50,Data!$AF148*Inputs!F$51))</f>
        <v>133692.58489999999</v>
      </c>
      <c r="AX148" s="308">
        <f>ABS(IF($AQ148="Yes",$AF148*Inputs!G$50,Data!$AF148*Inputs!G$51))</f>
        <v>133692.58489999999</v>
      </c>
      <c r="AY148" s="308">
        <f>ABS(IF($AQ148="Yes",$AF148*Inputs!H$50,Data!$AF148*Inputs!H$51))</f>
        <v>133692.58489999999</v>
      </c>
      <c r="AZ148" s="308">
        <f>ABS(IF($AQ148="Yes",$AF148*Inputs!I$50,Data!$AF148*Inputs!I$51))</f>
        <v>133692.58489999999</v>
      </c>
      <c r="BA148" s="308">
        <f>ABS(IF($AQ148="Yes",$AF148*Inputs!J$50,Data!$AF148*Inputs!J$51))</f>
        <v>133692.58489999999</v>
      </c>
      <c r="BB148" s="308">
        <f>ABS(IF($AQ148="Yes",$AF148*Inputs!K$50,Data!$AF148*Inputs!K$51))</f>
        <v>133692.58489999999</v>
      </c>
      <c r="BC148" s="308">
        <f>ABS(IF($AQ148="Yes",$AF148*Inputs!L$50,Data!$AF148*Inputs!L$51))</f>
        <v>133692.58489999999</v>
      </c>
      <c r="BE148" s="308">
        <f t="shared" si="94"/>
        <v>9551487</v>
      </c>
      <c r="BF148" s="308">
        <f t="shared" si="95"/>
        <v>9417794.4151000008</v>
      </c>
      <c r="BG148" s="308">
        <f t="shared" si="96"/>
        <v>9284101.8302000016</v>
      </c>
      <c r="BH148" s="308">
        <f t="shared" si="97"/>
        <v>9150409.2453000024</v>
      </c>
      <c r="BI148" s="308">
        <f t="shared" si="98"/>
        <v>9016716.6604000032</v>
      </c>
      <c r="BJ148" s="308">
        <f t="shared" si="99"/>
        <v>8883024.075500004</v>
      </c>
      <c r="BK148" s="308">
        <f t="shared" si="100"/>
        <v>8749331.4906000048</v>
      </c>
      <c r="BL148" s="308">
        <f t="shared" si="101"/>
        <v>8185537</v>
      </c>
      <c r="BN148" s="308">
        <f t="shared" si="83"/>
        <v>9551487</v>
      </c>
      <c r="BO148" s="308">
        <f t="shared" si="84"/>
        <v>9417794.4151000008</v>
      </c>
      <c r="BP148" s="308">
        <f t="shared" si="85"/>
        <v>9284101.8302000016</v>
      </c>
      <c r="BQ148" s="308">
        <f t="shared" si="86"/>
        <v>9150409.2453000024</v>
      </c>
      <c r="BR148" s="308">
        <f t="shared" si="87"/>
        <v>9016716.6604000032</v>
      </c>
      <c r="BS148" s="308">
        <f t="shared" si="88"/>
        <v>8883024.075500004</v>
      </c>
      <c r="BT148" s="308">
        <f t="shared" si="89"/>
        <v>8749331.4906000048</v>
      </c>
      <c r="BU148" s="308">
        <f t="shared" si="102"/>
        <v>8185537</v>
      </c>
    </row>
    <row r="149" spans="1:73" ht="15" x14ac:dyDescent="0.2">
      <c r="A149" s="62" t="s">
        <v>147</v>
      </c>
      <c r="B149" s="55" t="s">
        <v>6</v>
      </c>
      <c r="C149" s="55">
        <v>1</v>
      </c>
      <c r="D149" s="55">
        <v>1</v>
      </c>
      <c r="E149" s="55">
        <v>1</v>
      </c>
      <c r="F149" s="55"/>
      <c r="G149" s="48">
        <v>2</v>
      </c>
      <c r="H149" s="55">
        <v>135</v>
      </c>
      <c r="I149" s="55">
        <f>INDEX('FY 22 OFA Shell'!$K$27:$K$195,MATCH(Data!H149,'FY 22 OFA Shell'!$H$27:$H$195,0))</f>
        <v>15732.61</v>
      </c>
      <c r="J149" s="55">
        <f>INDEX('FY 22 OFA Shell'!$N$27:$N$195,MATCH(Data!H149,'FY 22 OFA Shell'!$H$27:$H$195,0))</f>
        <v>9272</v>
      </c>
      <c r="K149" s="64">
        <f>INDEX('FY 22 OFA Shell'!$S$27:$S$195,MATCH(Data!H149,'FY 22 OFA Shell'!$H$27:$H$195,0))</f>
        <v>2168</v>
      </c>
      <c r="L149" s="150">
        <f t="shared" si="90"/>
        <v>0.58934912897478542</v>
      </c>
      <c r="M149" s="149">
        <f>MAX(((L149-Inputs!$E$23)*Data!I149)*Inputs!$E$24,0)</f>
        <v>0</v>
      </c>
      <c r="N149" s="151">
        <f>INDEX('FY 22 OFA Shell'!$V$27:$V$195,MATCH(Data!H149,'FY 22 OFA Shell'!$H$27:$H$195,0))</f>
        <v>32280069005.330002</v>
      </c>
      <c r="O149" s="63">
        <f>INDEX('FY 22 OFA Shell'!$W$27:$W$195,MATCH(Data!H149,'FY 22 OFA Shell'!$H$27:$H$195,0))</f>
        <v>129026</v>
      </c>
      <c r="P149" s="65">
        <f>INDEX('FY 22 OFA Shell'!$Z$27:$Z$195,MATCH(Data!H149,'FY 22 OFA Shell'!$H$27:$H$195,0))</f>
        <v>89309</v>
      </c>
      <c r="Q149" s="63">
        <f>INDEX('FY 22 OFA Shell'!$AF$27:$AF$195,MATCH(Data!H149,'FY 22 OFA Shell'!$H$27:$H$195,0))</f>
        <v>0</v>
      </c>
      <c r="R149" s="66">
        <f>INDEX('FY 22 OFA Shell'!$AG$27:$AG$195,MATCH(Data!H149,'FY 22 OFA Shell'!$H$27:$H$195,0))</f>
        <v>0</v>
      </c>
      <c r="S149" s="66">
        <f>INDEX('FY 22 OFA Shell'!$AJ$27:$AJ$195,MATCH(Data!H149,'FY 22 OFA Shell'!$H$27:$H$195,0))</f>
        <v>0</v>
      </c>
      <c r="T149" s="66">
        <f>INDEX('FY 22 OFA Shell'!$AK$27:$AK$195,MATCH(Data!H149,'FY 22 OFA Shell'!$H$27:$H$195,0))</f>
        <v>0</v>
      </c>
      <c r="U149" s="135">
        <v>10803759</v>
      </c>
      <c r="V149" s="67">
        <f>ROUND(J149*Inputs!$E$22, 2)</f>
        <v>2781.6</v>
      </c>
      <c r="W149" s="68">
        <f>I149+V149+K149*Inputs!$E$28+Data!M149</f>
        <v>19056.21</v>
      </c>
      <c r="X149" s="69">
        <f t="shared" si="78"/>
        <v>250182.67</v>
      </c>
      <c r="Y149" s="70">
        <f>ROUND(X149/Inputs!$E$32, 6)</f>
        <v>1.299469</v>
      </c>
      <c r="Z149" s="70">
        <f>ROUND(P149/Inputs!$E$33, 6)</f>
        <v>0.74118899999999999</v>
      </c>
      <c r="AA149" s="59">
        <f>ROUND(1-((Y149*Inputs!$E$29)+Z149*Inputs!$E$27), 6)</f>
        <v>-0.13198499999999999</v>
      </c>
      <c r="AB149" s="59">
        <v>218.14536878126304</v>
      </c>
      <c r="AC149" s="73">
        <f>INDEX('FY 22 OFA Shell'!$G$27:$G$195,MATCH(Data!H149,'FY 22 OFA Shell'!$H$27:$H$195,0))</f>
        <v>117</v>
      </c>
      <c r="AD149" s="73">
        <f t="shared" si="91"/>
        <v>5</v>
      </c>
      <c r="AE149" s="65">
        <v>10803759</v>
      </c>
      <c r="AF149" s="65">
        <f t="shared" si="79"/>
        <v>11158523</v>
      </c>
      <c r="AG149" s="65">
        <f t="shared" si="80"/>
        <v>11158523</v>
      </c>
      <c r="AH149" s="52">
        <v>10553759</v>
      </c>
      <c r="AI149" s="107">
        <v>11228324.865</v>
      </c>
      <c r="AJ149">
        <v>19</v>
      </c>
      <c r="AK149">
        <v>24177.270732777535</v>
      </c>
      <c r="AL149" s="165">
        <f>INDEX('FY 22 OFA Shell'!$AU$27:$AU$195,MATCH(Data!H149,'FY 22 OFA Shell'!$H$27:$H$195,0))</f>
        <v>13590585</v>
      </c>
      <c r="AM149" s="165">
        <f>Outputs!H154</f>
        <v>21962282</v>
      </c>
      <c r="AN149" s="165">
        <f>Outputs!G154+Outputs!D154+Outputs!F154</f>
        <v>21962282</v>
      </c>
      <c r="AO149" s="165">
        <v>12362916</v>
      </c>
      <c r="AP149" s="165">
        <f t="shared" si="92"/>
        <v>11252502.135732777</v>
      </c>
      <c r="AQ149" s="52" t="str">
        <f t="shared" si="81"/>
        <v>Yes</v>
      </c>
      <c r="AR149" s="308">
        <f>ABS(IF(AQ149="Yes",AF149*Inputs!$D$50,Data!AF149*Inputs!$D$51))</f>
        <v>1189498.5518</v>
      </c>
      <c r="AS149" s="308">
        <f t="shared" si="93"/>
        <v>14780083.5518</v>
      </c>
      <c r="AT149" s="308">
        <f t="shared" si="82"/>
        <v>14780083.5518</v>
      </c>
      <c r="AU149" s="308"/>
      <c r="AV149" s="308">
        <f>ABS(IF($AQ149="Yes",$AF149*Inputs!E$50,Data!$AF149*Inputs!E$51))</f>
        <v>1189498.5518</v>
      </c>
      <c r="AW149" s="308">
        <f>ABS(IF($AQ149="Yes",$AF149*Inputs!F$50,Data!$AF149*Inputs!F$51))</f>
        <v>1189498.5518</v>
      </c>
      <c r="AX149" s="308">
        <f>ABS(IF($AQ149="Yes",$AF149*Inputs!G$50,Data!$AF149*Inputs!G$51))</f>
        <v>1189498.5518</v>
      </c>
      <c r="AY149" s="308">
        <f>ABS(IF($AQ149="Yes",$AF149*Inputs!H$50,Data!$AF149*Inputs!H$51))</f>
        <v>1189498.5518</v>
      </c>
      <c r="AZ149" s="308">
        <f>ABS(IF($AQ149="Yes",$AF149*Inputs!I$50,Data!$AF149*Inputs!I$51))</f>
        <v>1189498.5518</v>
      </c>
      <c r="BA149" s="308">
        <f>ABS(IF($AQ149="Yes",$AF149*Inputs!J$50,Data!$AF149*Inputs!J$51))</f>
        <v>1189498.5518</v>
      </c>
      <c r="BB149" s="308">
        <f>ABS(IF($AQ149="Yes",$AF149*Inputs!K$50,Data!$AF149*Inputs!K$51))</f>
        <v>0</v>
      </c>
      <c r="BC149" s="308">
        <f>ABS(IF($AQ149="Yes",$AF149*Inputs!L$50,Data!$AF149*Inputs!L$51))</f>
        <v>0</v>
      </c>
      <c r="BE149" s="308">
        <f t="shared" si="94"/>
        <v>15969582.103599999</v>
      </c>
      <c r="BF149" s="308">
        <f t="shared" si="95"/>
        <v>17159080.655400001</v>
      </c>
      <c r="BG149" s="308">
        <f t="shared" si="96"/>
        <v>18348579.207200002</v>
      </c>
      <c r="BH149" s="308">
        <f t="shared" si="97"/>
        <v>19538077.759000003</v>
      </c>
      <c r="BI149" s="308">
        <f t="shared" si="98"/>
        <v>20727576.310800005</v>
      </c>
      <c r="BJ149" s="308">
        <f t="shared" si="99"/>
        <v>21962282</v>
      </c>
      <c r="BK149" s="308">
        <f t="shared" si="100"/>
        <v>21962282</v>
      </c>
      <c r="BL149" s="308">
        <f t="shared" si="101"/>
        <v>21962282</v>
      </c>
      <c r="BN149" s="308">
        <f t="shared" si="83"/>
        <v>15969582.103599999</v>
      </c>
      <c r="BO149" s="308">
        <f t="shared" si="84"/>
        <v>17159080.655400001</v>
      </c>
      <c r="BP149" s="308">
        <f t="shared" si="85"/>
        <v>18348579.207200002</v>
      </c>
      <c r="BQ149" s="308">
        <f t="shared" si="86"/>
        <v>19538077.759000003</v>
      </c>
      <c r="BR149" s="308">
        <f t="shared" si="87"/>
        <v>20727576.310800005</v>
      </c>
      <c r="BS149" s="308">
        <f t="shared" si="88"/>
        <v>21962282</v>
      </c>
      <c r="BT149" s="308">
        <f t="shared" si="89"/>
        <v>21962282</v>
      </c>
      <c r="BU149" s="308">
        <f t="shared" si="102"/>
        <v>21962282</v>
      </c>
    </row>
    <row r="150" spans="1:73" ht="15" x14ac:dyDescent="0.2">
      <c r="A150" s="62" t="s">
        <v>148</v>
      </c>
      <c r="B150" s="55" t="s">
        <v>32</v>
      </c>
      <c r="C150" s="55"/>
      <c r="D150" s="55"/>
      <c r="E150" s="55"/>
      <c r="F150" s="55"/>
      <c r="G150" s="48">
        <v>9</v>
      </c>
      <c r="H150" s="55">
        <v>136</v>
      </c>
      <c r="I150" s="55">
        <f>INDEX('FY 22 OFA Shell'!$K$27:$K$195,MATCH(Data!H150,'FY 22 OFA Shell'!$H$27:$H$195,0))</f>
        <v>428.64</v>
      </c>
      <c r="J150" s="55">
        <f>INDEX('FY 22 OFA Shell'!$N$27:$N$195,MATCH(Data!H150,'FY 22 OFA Shell'!$H$27:$H$195,0))</f>
        <v>147</v>
      </c>
      <c r="K150" s="64">
        <f>INDEX('FY 22 OFA Shell'!$S$27:$S$195,MATCH(Data!H150,'FY 22 OFA Shell'!$H$27:$H$195,0))</f>
        <v>0</v>
      </c>
      <c r="L150" s="150">
        <f t="shared" si="90"/>
        <v>0.34294512877939531</v>
      </c>
      <c r="M150" s="149">
        <f>MAX(((L150-Inputs!$E$23)*Data!I150)*Inputs!$E$24,0)</f>
        <v>0</v>
      </c>
      <c r="N150" s="151">
        <f>INDEX('FY 22 OFA Shell'!$V$27:$V$195,MATCH(Data!H150,'FY 22 OFA Shell'!$H$27:$H$195,0))</f>
        <v>355883350.32999998</v>
      </c>
      <c r="O150" s="63">
        <f>INDEX('FY 22 OFA Shell'!$W$27:$W$195,MATCH(Data!H150,'FY 22 OFA Shell'!$H$27:$H$195,0))</f>
        <v>3762</v>
      </c>
      <c r="P150" s="65">
        <f>INDEX('FY 22 OFA Shell'!$Z$27:$Z$195,MATCH(Data!H150,'FY 22 OFA Shell'!$H$27:$H$195,0))</f>
        <v>77985</v>
      </c>
      <c r="Q150" s="63">
        <f>INDEX('FY 22 OFA Shell'!$AF$27:$AF$195,MATCH(Data!H150,'FY 22 OFA Shell'!$H$27:$H$195,0))</f>
        <v>0</v>
      </c>
      <c r="R150" s="66">
        <f>INDEX('FY 22 OFA Shell'!$AG$27:$AG$195,MATCH(Data!H150,'FY 22 OFA Shell'!$H$27:$H$195,0))</f>
        <v>0</v>
      </c>
      <c r="S150" s="66">
        <f>INDEX('FY 22 OFA Shell'!$AJ$27:$AJ$195,MATCH(Data!H150,'FY 22 OFA Shell'!$H$27:$H$195,0))</f>
        <v>0</v>
      </c>
      <c r="T150" s="66">
        <f>INDEX('FY 22 OFA Shell'!$AK$27:$AK$195,MATCH(Data!H150,'FY 22 OFA Shell'!$H$27:$H$195,0))</f>
        <v>0</v>
      </c>
      <c r="U150" s="135">
        <v>3196216</v>
      </c>
      <c r="V150" s="67">
        <f>ROUND(J150*Inputs!$E$22, 2)</f>
        <v>44.1</v>
      </c>
      <c r="W150" s="68">
        <f>I150+V150+K150*Inputs!$E$28+Data!M150</f>
        <v>472.74</v>
      </c>
      <c r="X150" s="69">
        <f t="shared" si="78"/>
        <v>94599.51</v>
      </c>
      <c r="Y150" s="70">
        <f>ROUND(X150/Inputs!$E$32, 6)</f>
        <v>0.49135800000000002</v>
      </c>
      <c r="Z150" s="70">
        <f>ROUND(P150/Inputs!$E$33, 6)</f>
        <v>0.64720900000000003</v>
      </c>
      <c r="AA150" s="59">
        <f>ROUND(1-((Y150*Inputs!$E$29)+Z150*Inputs!$E$27), 6)</f>
        <v>0.46188699999999999</v>
      </c>
      <c r="AB150" s="59">
        <v>303.31011438393699</v>
      </c>
      <c r="AC150" s="73">
        <f>INDEX('FY 22 OFA Shell'!$G$27:$G$195,MATCH(Data!H150,'FY 22 OFA Shell'!$H$27:$H$195,0))</f>
        <v>27</v>
      </c>
      <c r="AD150" s="73">
        <f t="shared" si="91"/>
        <v>5</v>
      </c>
      <c r="AE150" s="65">
        <v>3196216</v>
      </c>
      <c r="AF150" s="65">
        <f t="shared" si="79"/>
        <v>-679704</v>
      </c>
      <c r="AG150" s="65">
        <f t="shared" si="80"/>
        <v>-679704</v>
      </c>
      <c r="AH150" s="52">
        <v>2780960</v>
      </c>
      <c r="AI150" s="107">
        <v>3200473.44</v>
      </c>
      <c r="AJ150"/>
      <c r="AK150">
        <v>0</v>
      </c>
      <c r="AL150" s="165">
        <f>INDEX('FY 22 OFA Shell'!$AU$27:$AU$195,MATCH(Data!H150,'FY 22 OFA Shell'!$H$27:$H$195,0))</f>
        <v>3174585</v>
      </c>
      <c r="AM150" s="165">
        <f>Outputs!H155</f>
        <v>2516512</v>
      </c>
      <c r="AN150" s="165">
        <f>Outputs!G155+Outputs!D155+Outputs!F155</f>
        <v>2516512</v>
      </c>
      <c r="AO150" s="165">
        <v>3208039</v>
      </c>
      <c r="AP150" s="165">
        <f t="shared" si="92"/>
        <v>3200473.44</v>
      </c>
      <c r="AQ150" s="52" t="str">
        <f t="shared" si="81"/>
        <v>No</v>
      </c>
      <c r="AR150" s="308">
        <f>ABS(IF(AQ150="Yes",AF150*Inputs!$D$50,Data!AF150*Inputs!$D$51))</f>
        <v>0</v>
      </c>
      <c r="AS150" s="308">
        <f t="shared" si="93"/>
        <v>3174585</v>
      </c>
      <c r="AT150" s="308">
        <f t="shared" si="82"/>
        <v>3174585</v>
      </c>
      <c r="AU150" s="308"/>
      <c r="AV150" s="308">
        <f>ABS(IF($AQ150="Yes",$AF150*Inputs!E$50,Data!$AF150*Inputs!E$51))</f>
        <v>0</v>
      </c>
      <c r="AW150" s="308">
        <f>ABS(IF($AQ150="Yes",$AF150*Inputs!F$50,Data!$AF150*Inputs!F$51))</f>
        <v>56619.343200000003</v>
      </c>
      <c r="AX150" s="308">
        <f>ABS(IF($AQ150="Yes",$AF150*Inputs!G$50,Data!$AF150*Inputs!G$51))</f>
        <v>56619.343200000003</v>
      </c>
      <c r="AY150" s="308">
        <f>ABS(IF($AQ150="Yes",$AF150*Inputs!H$50,Data!$AF150*Inputs!H$51))</f>
        <v>56619.343200000003</v>
      </c>
      <c r="AZ150" s="308">
        <f>ABS(IF($AQ150="Yes",$AF150*Inputs!I$50,Data!$AF150*Inputs!I$51))</f>
        <v>56619.343200000003</v>
      </c>
      <c r="BA150" s="308">
        <f>ABS(IF($AQ150="Yes",$AF150*Inputs!J$50,Data!$AF150*Inputs!J$51))</f>
        <v>56619.343200000003</v>
      </c>
      <c r="BB150" s="308">
        <f>ABS(IF($AQ150="Yes",$AF150*Inputs!K$50,Data!$AF150*Inputs!K$51))</f>
        <v>56619.343200000003</v>
      </c>
      <c r="BC150" s="308">
        <f>ABS(IF($AQ150="Yes",$AF150*Inputs!L$50,Data!$AF150*Inputs!L$51))</f>
        <v>56619.343200000003</v>
      </c>
      <c r="BE150" s="308">
        <f t="shared" si="94"/>
        <v>3174585</v>
      </c>
      <c r="BF150" s="308">
        <f t="shared" si="95"/>
        <v>3117965.6568</v>
      </c>
      <c r="BG150" s="308">
        <f t="shared" si="96"/>
        <v>3061346.3136</v>
      </c>
      <c r="BH150" s="308">
        <f t="shared" si="97"/>
        <v>3004726.9704</v>
      </c>
      <c r="BI150" s="308">
        <f t="shared" si="98"/>
        <v>2948107.6272</v>
      </c>
      <c r="BJ150" s="308">
        <f t="shared" si="99"/>
        <v>2891488.284</v>
      </c>
      <c r="BK150" s="308">
        <f t="shared" si="100"/>
        <v>2834868.9408</v>
      </c>
      <c r="BL150" s="308">
        <f t="shared" si="101"/>
        <v>2516512</v>
      </c>
      <c r="BN150" s="308">
        <f t="shared" si="83"/>
        <v>3174585</v>
      </c>
      <c r="BO150" s="308">
        <f t="shared" si="84"/>
        <v>3117965.6568</v>
      </c>
      <c r="BP150" s="308">
        <f t="shared" si="85"/>
        <v>3061346.3136</v>
      </c>
      <c r="BQ150" s="308">
        <f t="shared" si="86"/>
        <v>3004726.9704</v>
      </c>
      <c r="BR150" s="308">
        <f t="shared" si="87"/>
        <v>2948107.6272</v>
      </c>
      <c r="BS150" s="308">
        <f t="shared" si="88"/>
        <v>2891488.284</v>
      </c>
      <c r="BT150" s="308">
        <f t="shared" si="89"/>
        <v>2834868.9408</v>
      </c>
      <c r="BU150" s="308">
        <f t="shared" si="102"/>
        <v>2516512</v>
      </c>
    </row>
    <row r="151" spans="1:73" ht="15" x14ac:dyDescent="0.2">
      <c r="A151" s="62" t="s">
        <v>149</v>
      </c>
      <c r="B151" s="55" t="s">
        <v>14</v>
      </c>
      <c r="C151" s="55"/>
      <c r="D151" s="55"/>
      <c r="E151" s="55"/>
      <c r="F151" s="55"/>
      <c r="G151" s="48">
        <v>3</v>
      </c>
      <c r="H151" s="55">
        <v>137</v>
      </c>
      <c r="I151" s="55">
        <f>INDEX('FY 22 OFA Shell'!$K$27:$K$195,MATCH(Data!H151,'FY 22 OFA Shell'!$H$27:$H$195,0))</f>
        <v>1956.72</v>
      </c>
      <c r="J151" s="55">
        <f>INDEX('FY 22 OFA Shell'!$N$27:$N$195,MATCH(Data!H151,'FY 22 OFA Shell'!$H$27:$H$195,0))</f>
        <v>541</v>
      </c>
      <c r="K151" s="64">
        <f>INDEX('FY 22 OFA Shell'!$S$27:$S$195,MATCH(Data!H151,'FY 22 OFA Shell'!$H$27:$H$195,0))</f>
        <v>10</v>
      </c>
      <c r="L151" s="150">
        <f t="shared" si="90"/>
        <v>0.27648309415756983</v>
      </c>
      <c r="M151" s="149">
        <f>MAX(((L151-Inputs!$E$23)*Data!I151)*Inputs!$E$24,0)</f>
        <v>0</v>
      </c>
      <c r="N151" s="151">
        <f>INDEX('FY 22 OFA Shell'!$V$27:$V$195,MATCH(Data!H151,'FY 22 OFA Shell'!$H$27:$H$195,0))</f>
        <v>4041442120.3299999</v>
      </c>
      <c r="O151" s="63">
        <f>INDEX('FY 22 OFA Shell'!$W$27:$W$195,MATCH(Data!H151,'FY 22 OFA Shell'!$H$27:$H$195,0))</f>
        <v>18436</v>
      </c>
      <c r="P151" s="65">
        <f>INDEX('FY 22 OFA Shell'!$Z$27:$Z$195,MATCH(Data!H151,'FY 22 OFA Shell'!$H$27:$H$195,0))</f>
        <v>79250</v>
      </c>
      <c r="Q151" s="63">
        <f>INDEX('FY 22 OFA Shell'!$AF$27:$AF$195,MATCH(Data!H151,'FY 22 OFA Shell'!$H$27:$H$195,0))</f>
        <v>0</v>
      </c>
      <c r="R151" s="66">
        <f>INDEX('FY 22 OFA Shell'!$AG$27:$AG$195,MATCH(Data!H151,'FY 22 OFA Shell'!$H$27:$H$195,0))</f>
        <v>0</v>
      </c>
      <c r="S151" s="66">
        <f>INDEX('FY 22 OFA Shell'!$AJ$27:$AJ$195,MATCH(Data!H151,'FY 22 OFA Shell'!$H$27:$H$195,0))</f>
        <v>0</v>
      </c>
      <c r="T151" s="66">
        <f>INDEX('FY 22 OFA Shell'!$AK$27:$AK$195,MATCH(Data!H151,'FY 22 OFA Shell'!$H$27:$H$195,0))</f>
        <v>0</v>
      </c>
      <c r="U151" s="135">
        <v>1649159</v>
      </c>
      <c r="V151" s="67">
        <f>ROUND(J151*Inputs!$E$22, 2)</f>
        <v>162.30000000000001</v>
      </c>
      <c r="W151" s="68">
        <f>I151+V151+K151*Inputs!$E$28+Data!M151</f>
        <v>2121.52</v>
      </c>
      <c r="X151" s="69">
        <f t="shared" si="78"/>
        <v>219214.7</v>
      </c>
      <c r="Y151" s="70">
        <f>ROUND(X151/Inputs!$E$32, 6)</f>
        <v>1.138619</v>
      </c>
      <c r="Z151" s="70">
        <f>ROUND(P151/Inputs!$E$33, 6)</f>
        <v>0.65770799999999996</v>
      </c>
      <c r="AA151" s="59">
        <f>ROUND(1-((Y151*Inputs!$E$29)+Z151*Inputs!$E$27), 6)</f>
        <v>5.6540000000000002E-3</v>
      </c>
      <c r="AB151" s="59">
        <v>209.03615075568842</v>
      </c>
      <c r="AC151" s="73">
        <f>INDEX('FY 22 OFA Shell'!$G$27:$G$195,MATCH(Data!H151,'FY 22 OFA Shell'!$H$27:$H$195,0))</f>
        <v>125</v>
      </c>
      <c r="AD151" s="73">
        <f t="shared" si="91"/>
        <v>5</v>
      </c>
      <c r="AE151" s="65">
        <v>1649159</v>
      </c>
      <c r="AF151" s="65">
        <f t="shared" si="79"/>
        <v>-1404654</v>
      </c>
      <c r="AG151" s="65">
        <f t="shared" si="80"/>
        <v>-1404654</v>
      </c>
      <c r="AH151" s="52">
        <v>1378842</v>
      </c>
      <c r="AI151" s="107">
        <v>1304052.25</v>
      </c>
      <c r="AJ151">
        <v>4</v>
      </c>
      <c r="AK151">
        <v>5089.9517332163232</v>
      </c>
      <c r="AL151" s="165">
        <f>INDEX('FY 22 OFA Shell'!$AU$27:$AU$195,MATCH(Data!H151,'FY 22 OFA Shell'!$H$27:$H$195,0))</f>
        <v>1073011</v>
      </c>
      <c r="AM151" s="165">
        <f>Outputs!H156</f>
        <v>244505</v>
      </c>
      <c r="AN151" s="165">
        <f>Outputs!G156+Outputs!D156+Outputs!F156</f>
        <v>244505</v>
      </c>
      <c r="AO151" s="165">
        <v>1188816</v>
      </c>
      <c r="AP151" s="165">
        <f t="shared" si="92"/>
        <v>1309142.2017332164</v>
      </c>
      <c r="AQ151" s="52" t="str">
        <f t="shared" si="81"/>
        <v>No</v>
      </c>
      <c r="AR151" s="308">
        <f>ABS(IF(AQ151="Yes",AF151*Inputs!$D$50,Data!AF151*Inputs!$D$51))</f>
        <v>0</v>
      </c>
      <c r="AS151" s="308">
        <f t="shared" si="93"/>
        <v>1073011</v>
      </c>
      <c r="AT151" s="308">
        <f t="shared" si="82"/>
        <v>1073011</v>
      </c>
      <c r="AU151" s="308"/>
      <c r="AV151" s="308">
        <f>ABS(IF($AQ151="Yes",$AF151*Inputs!E$50,Data!$AF151*Inputs!E$51))</f>
        <v>0</v>
      </c>
      <c r="AW151" s="308">
        <f>ABS(IF($AQ151="Yes",$AF151*Inputs!F$50,Data!$AF151*Inputs!F$51))</f>
        <v>117007.67819999999</v>
      </c>
      <c r="AX151" s="308">
        <f>ABS(IF($AQ151="Yes",$AF151*Inputs!G$50,Data!$AF151*Inputs!G$51))</f>
        <v>117007.67819999999</v>
      </c>
      <c r="AY151" s="308">
        <f>ABS(IF($AQ151="Yes",$AF151*Inputs!H$50,Data!$AF151*Inputs!H$51))</f>
        <v>117007.67819999999</v>
      </c>
      <c r="AZ151" s="308">
        <f>ABS(IF($AQ151="Yes",$AF151*Inputs!I$50,Data!$AF151*Inputs!I$51))</f>
        <v>117007.67819999999</v>
      </c>
      <c r="BA151" s="308">
        <f>ABS(IF($AQ151="Yes",$AF151*Inputs!J$50,Data!$AF151*Inputs!J$51))</f>
        <v>117007.67819999999</v>
      </c>
      <c r="BB151" s="308">
        <f>ABS(IF($AQ151="Yes",$AF151*Inputs!K$50,Data!$AF151*Inputs!K$51))</f>
        <v>117007.67819999999</v>
      </c>
      <c r="BC151" s="308">
        <f>ABS(IF($AQ151="Yes",$AF151*Inputs!L$50,Data!$AF151*Inputs!L$51))</f>
        <v>117007.67819999999</v>
      </c>
      <c r="BE151" s="308">
        <f t="shared" si="94"/>
        <v>1073011</v>
      </c>
      <c r="BF151" s="308">
        <f t="shared" si="95"/>
        <v>956003.32180000003</v>
      </c>
      <c r="BG151" s="308">
        <f t="shared" si="96"/>
        <v>838995.64360000007</v>
      </c>
      <c r="BH151" s="308">
        <f t="shared" si="97"/>
        <v>721987.9654000001</v>
      </c>
      <c r="BI151" s="308">
        <f t="shared" si="98"/>
        <v>604980.28720000014</v>
      </c>
      <c r="BJ151" s="308">
        <f t="shared" si="99"/>
        <v>487972.60900000017</v>
      </c>
      <c r="BK151" s="308">
        <f t="shared" si="100"/>
        <v>370964.93080000021</v>
      </c>
      <c r="BL151" s="308">
        <f t="shared" si="101"/>
        <v>244505</v>
      </c>
      <c r="BN151" s="308">
        <f t="shared" si="83"/>
        <v>1073011</v>
      </c>
      <c r="BO151" s="308">
        <f t="shared" si="84"/>
        <v>956003.32180000003</v>
      </c>
      <c r="BP151" s="308">
        <f t="shared" si="85"/>
        <v>838995.64360000007</v>
      </c>
      <c r="BQ151" s="308">
        <f t="shared" si="86"/>
        <v>721987.9654000001</v>
      </c>
      <c r="BR151" s="308">
        <f t="shared" si="87"/>
        <v>604980.28720000014</v>
      </c>
      <c r="BS151" s="308">
        <f t="shared" si="88"/>
        <v>487972.60900000017</v>
      </c>
      <c r="BT151" s="308">
        <f t="shared" si="89"/>
        <v>370964.93080000021</v>
      </c>
      <c r="BU151" s="308">
        <f t="shared" si="102"/>
        <v>244505</v>
      </c>
    </row>
    <row r="152" spans="1:73" ht="15" x14ac:dyDescent="0.2">
      <c r="A152" s="62" t="s">
        <v>150</v>
      </c>
      <c r="B152" s="55" t="s">
        <v>19</v>
      </c>
      <c r="C152" s="55"/>
      <c r="D152" s="55"/>
      <c r="E152" s="55"/>
      <c r="F152" s="55"/>
      <c r="G152" s="48">
        <v>8</v>
      </c>
      <c r="H152" s="55">
        <v>138</v>
      </c>
      <c r="I152" s="55">
        <f>INDEX('FY 22 OFA Shell'!$K$27:$K$195,MATCH(Data!H152,'FY 22 OFA Shell'!$H$27:$H$195,0))</f>
        <v>6957.09</v>
      </c>
      <c r="J152" s="55">
        <f>INDEX('FY 22 OFA Shell'!$N$27:$N$195,MATCH(Data!H152,'FY 22 OFA Shell'!$H$27:$H$195,0))</f>
        <v>3203</v>
      </c>
      <c r="K152" s="64">
        <f>INDEX('FY 22 OFA Shell'!$S$27:$S$195,MATCH(Data!H152,'FY 22 OFA Shell'!$H$27:$H$195,0))</f>
        <v>447</v>
      </c>
      <c r="L152" s="150">
        <f t="shared" si="90"/>
        <v>0.46039364159440227</v>
      </c>
      <c r="M152" s="149">
        <f>MAX(((L152-Inputs!$E$23)*Data!I152)*Inputs!$E$24,0)</f>
        <v>0</v>
      </c>
      <c r="N152" s="151">
        <f>INDEX('FY 22 OFA Shell'!$V$27:$V$195,MATCH(Data!H152,'FY 22 OFA Shell'!$H$27:$H$195,0))</f>
        <v>6825288860.6700001</v>
      </c>
      <c r="O152" s="63">
        <f>INDEX('FY 22 OFA Shell'!$W$27:$W$195,MATCH(Data!H152,'FY 22 OFA Shell'!$H$27:$H$195,0))</f>
        <v>52279</v>
      </c>
      <c r="P152" s="65">
        <f>INDEX('FY 22 OFA Shell'!$Z$27:$Z$195,MATCH(Data!H152,'FY 22 OFA Shell'!$H$27:$H$195,0))</f>
        <v>75845</v>
      </c>
      <c r="Q152" s="63">
        <f>INDEX('FY 22 OFA Shell'!$AF$27:$AF$195,MATCH(Data!H152,'FY 22 OFA Shell'!$H$27:$H$195,0))</f>
        <v>0</v>
      </c>
      <c r="R152" s="66">
        <f>INDEX('FY 22 OFA Shell'!$AG$27:$AG$195,MATCH(Data!H152,'FY 22 OFA Shell'!$H$27:$H$195,0))</f>
        <v>0</v>
      </c>
      <c r="S152" s="66">
        <f>INDEX('FY 22 OFA Shell'!$AJ$27:$AJ$195,MATCH(Data!H152,'FY 22 OFA Shell'!$H$27:$H$195,0))</f>
        <v>0</v>
      </c>
      <c r="T152" s="66">
        <f>INDEX('FY 22 OFA Shell'!$AK$27:$AK$195,MATCH(Data!H152,'FY 22 OFA Shell'!$H$27:$H$195,0))</f>
        <v>0</v>
      </c>
      <c r="U152" s="135">
        <v>21461782</v>
      </c>
      <c r="V152" s="67">
        <f>ROUND(J152*Inputs!$E$22, 2)</f>
        <v>960.9</v>
      </c>
      <c r="W152" s="68">
        <f>I152+V152+K152*Inputs!$E$28+Data!M152</f>
        <v>8029.74</v>
      </c>
      <c r="X152" s="69">
        <f t="shared" si="78"/>
        <v>130555.08</v>
      </c>
      <c r="Y152" s="70">
        <f>ROUND(X152/Inputs!$E$32, 6)</f>
        <v>0.67811399999999999</v>
      </c>
      <c r="Z152" s="70">
        <f>ROUND(P152/Inputs!$E$33, 6)</f>
        <v>0.62944900000000004</v>
      </c>
      <c r="AA152" s="59">
        <f>ROUND(1-((Y152*Inputs!$E$29)+Z152*Inputs!$E$27), 6)</f>
        <v>0.33648600000000001</v>
      </c>
      <c r="AB152" s="59">
        <v>279.70853543103243</v>
      </c>
      <c r="AC152" s="73">
        <f>INDEX('FY 22 OFA Shell'!$G$27:$G$195,MATCH(Data!H152,'FY 22 OFA Shell'!$H$27:$H$195,0))</f>
        <v>24</v>
      </c>
      <c r="AD152" s="73">
        <f t="shared" si="91"/>
        <v>5</v>
      </c>
      <c r="AE152" s="65">
        <v>21461782</v>
      </c>
      <c r="AF152" s="65">
        <f t="shared" si="79"/>
        <v>9677559</v>
      </c>
      <c r="AG152" s="65">
        <f t="shared" si="80"/>
        <v>9677559</v>
      </c>
      <c r="AH152" s="52">
        <v>18567523</v>
      </c>
      <c r="AI152" s="107">
        <v>21887269.995999999</v>
      </c>
      <c r="AJ152">
        <v>5</v>
      </c>
      <c r="AK152">
        <v>6362.439666520404</v>
      </c>
      <c r="AL152" s="165">
        <f>INDEX('FY 22 OFA Shell'!$AU$27:$AU$195,MATCH(Data!H152,'FY 22 OFA Shell'!$H$27:$H$195,0))</f>
        <v>24116337</v>
      </c>
      <c r="AM152" s="165">
        <f>Outputs!H157</f>
        <v>31139341</v>
      </c>
      <c r="AN152" s="165">
        <f>Outputs!G157+Outputs!D157+Outputs!F157</f>
        <v>31139341</v>
      </c>
      <c r="AO152" s="165">
        <v>23024433</v>
      </c>
      <c r="AP152" s="165">
        <f t="shared" si="92"/>
        <v>21893632.43566652</v>
      </c>
      <c r="AQ152" s="52" t="str">
        <f t="shared" si="81"/>
        <v>Yes</v>
      </c>
      <c r="AR152" s="308">
        <f>ABS(IF(AQ152="Yes",AF152*Inputs!$D$50,Data!AF152*Inputs!$D$51))</f>
        <v>1031627.7894</v>
      </c>
      <c r="AS152" s="308">
        <f t="shared" si="93"/>
        <v>25147964.7894</v>
      </c>
      <c r="AT152" s="308">
        <f t="shared" si="82"/>
        <v>25147964.7894</v>
      </c>
      <c r="AU152" s="308"/>
      <c r="AV152" s="308">
        <f>ABS(IF($AQ152="Yes",$AF152*Inputs!E$50,Data!$AF152*Inputs!E$51))</f>
        <v>1031627.7894</v>
      </c>
      <c r="AW152" s="308">
        <f>ABS(IF($AQ152="Yes",$AF152*Inputs!F$50,Data!$AF152*Inputs!F$51))</f>
        <v>1031627.7894</v>
      </c>
      <c r="AX152" s="308">
        <f>ABS(IF($AQ152="Yes",$AF152*Inputs!G$50,Data!$AF152*Inputs!G$51))</f>
        <v>1031627.7894</v>
      </c>
      <c r="AY152" s="308">
        <f>ABS(IF($AQ152="Yes",$AF152*Inputs!H$50,Data!$AF152*Inputs!H$51))</f>
        <v>1031627.7894</v>
      </c>
      <c r="AZ152" s="308">
        <f>ABS(IF($AQ152="Yes",$AF152*Inputs!I$50,Data!$AF152*Inputs!I$51))</f>
        <v>1031627.7894</v>
      </c>
      <c r="BA152" s="308">
        <f>ABS(IF($AQ152="Yes",$AF152*Inputs!J$50,Data!$AF152*Inputs!J$51))</f>
        <v>1031627.7894</v>
      </c>
      <c r="BB152" s="308">
        <f>ABS(IF($AQ152="Yes",$AF152*Inputs!K$50,Data!$AF152*Inputs!K$51))</f>
        <v>0</v>
      </c>
      <c r="BC152" s="308">
        <f>ABS(IF($AQ152="Yes",$AF152*Inputs!L$50,Data!$AF152*Inputs!L$51))</f>
        <v>0</v>
      </c>
      <c r="BE152" s="308">
        <f t="shared" si="94"/>
        <v>26179592.5788</v>
      </c>
      <c r="BF152" s="308">
        <f t="shared" si="95"/>
        <v>27211220.3682</v>
      </c>
      <c r="BG152" s="308">
        <f t="shared" si="96"/>
        <v>28242848.157600001</v>
      </c>
      <c r="BH152" s="308">
        <f t="shared" si="97"/>
        <v>29274475.947000001</v>
      </c>
      <c r="BI152" s="308">
        <f t="shared" si="98"/>
        <v>30306103.736400001</v>
      </c>
      <c r="BJ152" s="308">
        <f t="shared" si="99"/>
        <v>31139341</v>
      </c>
      <c r="BK152" s="308">
        <f t="shared" si="100"/>
        <v>31139341</v>
      </c>
      <c r="BL152" s="308">
        <f t="shared" si="101"/>
        <v>31139341</v>
      </c>
      <c r="BN152" s="308">
        <f t="shared" si="83"/>
        <v>26179592.5788</v>
      </c>
      <c r="BO152" s="308">
        <f t="shared" si="84"/>
        <v>27211220.3682</v>
      </c>
      <c r="BP152" s="308">
        <f t="shared" si="85"/>
        <v>28242848.157600001</v>
      </c>
      <c r="BQ152" s="308">
        <f t="shared" si="86"/>
        <v>29274475.947000001</v>
      </c>
      <c r="BR152" s="308">
        <f t="shared" si="87"/>
        <v>30306103.736400001</v>
      </c>
      <c r="BS152" s="308">
        <f t="shared" si="88"/>
        <v>31139341</v>
      </c>
      <c r="BT152" s="308">
        <f t="shared" si="89"/>
        <v>31139341</v>
      </c>
      <c r="BU152" s="308">
        <f t="shared" si="102"/>
        <v>31139341</v>
      </c>
    </row>
    <row r="153" spans="1:73" ht="15" x14ac:dyDescent="0.2">
      <c r="A153" s="62" t="s">
        <v>151</v>
      </c>
      <c r="B153" s="55" t="s">
        <v>4</v>
      </c>
      <c r="C153" s="55"/>
      <c r="D153" s="55"/>
      <c r="E153" s="55"/>
      <c r="F153" s="55"/>
      <c r="G153" s="48">
        <v>5</v>
      </c>
      <c r="H153" s="55">
        <v>139</v>
      </c>
      <c r="I153" s="55">
        <f>INDEX('FY 22 OFA Shell'!$K$27:$K$195,MATCH(Data!H153,'FY 22 OFA Shell'!$H$27:$H$195,0))</f>
        <v>1991.04</v>
      </c>
      <c r="J153" s="55">
        <f>INDEX('FY 22 OFA Shell'!$N$27:$N$195,MATCH(Data!H153,'FY 22 OFA Shell'!$H$27:$H$195,0))</f>
        <v>309</v>
      </c>
      <c r="K153" s="64">
        <f>INDEX('FY 22 OFA Shell'!$S$27:$S$195,MATCH(Data!H153,'FY 22 OFA Shell'!$H$27:$H$195,0))</f>
        <v>44</v>
      </c>
      <c r="L153" s="150">
        <f t="shared" si="90"/>
        <v>0.15519527483124398</v>
      </c>
      <c r="M153" s="149">
        <f>MAX(((L153-Inputs!$E$23)*Data!I153)*Inputs!$E$24,0)</f>
        <v>0</v>
      </c>
      <c r="N153" s="151">
        <f>INDEX('FY 22 OFA Shell'!$V$27:$V$195,MATCH(Data!H153,'FY 22 OFA Shell'!$H$27:$H$195,0))</f>
        <v>2084652065.3299999</v>
      </c>
      <c r="O153" s="63">
        <f>INDEX('FY 22 OFA Shell'!$W$27:$W$195,MATCH(Data!H153,'FY 22 OFA Shell'!$H$27:$H$195,0))</f>
        <v>15662</v>
      </c>
      <c r="P153" s="65">
        <f>INDEX('FY 22 OFA Shell'!$Z$27:$Z$195,MATCH(Data!H153,'FY 22 OFA Shell'!$H$27:$H$195,0))</f>
        <v>111573</v>
      </c>
      <c r="Q153" s="63">
        <f>INDEX('FY 22 OFA Shell'!$AF$27:$AF$195,MATCH(Data!H153,'FY 22 OFA Shell'!$H$27:$H$195,0))</f>
        <v>0</v>
      </c>
      <c r="R153" s="66">
        <f>INDEX('FY 22 OFA Shell'!$AG$27:$AG$195,MATCH(Data!H153,'FY 22 OFA Shell'!$H$27:$H$195,0))</f>
        <v>0</v>
      </c>
      <c r="S153" s="66">
        <f>INDEX('FY 22 OFA Shell'!$AJ$27:$AJ$195,MATCH(Data!H153,'FY 22 OFA Shell'!$H$27:$H$195,0))</f>
        <v>0</v>
      </c>
      <c r="T153" s="66">
        <f>INDEX('FY 22 OFA Shell'!$AK$27:$AK$195,MATCH(Data!H153,'FY 22 OFA Shell'!$H$27:$H$195,0))</f>
        <v>0</v>
      </c>
      <c r="U153" s="135">
        <v>6221145</v>
      </c>
      <c r="V153" s="67">
        <f>ROUND(J153*Inputs!$E$22, 2)</f>
        <v>92.7</v>
      </c>
      <c r="W153" s="68">
        <f>I153+V153+K153*Inputs!$E$28+Data!M153</f>
        <v>2094.7399999999998</v>
      </c>
      <c r="X153" s="69">
        <f t="shared" si="78"/>
        <v>133102.54999999999</v>
      </c>
      <c r="Y153" s="70">
        <f>ROUND(X153/Inputs!$E$32, 6)</f>
        <v>0.69134600000000002</v>
      </c>
      <c r="Z153" s="70">
        <f>ROUND(P153/Inputs!$E$33, 6)</f>
        <v>0.92596100000000003</v>
      </c>
      <c r="AA153" s="59">
        <f>ROUND(1-((Y153*Inputs!$E$29)+Z153*Inputs!$E$27), 6)</f>
        <v>0.23827000000000001</v>
      </c>
      <c r="AB153" s="59">
        <v>224.84158030695627</v>
      </c>
      <c r="AC153" s="73">
        <f>INDEX('FY 22 OFA Shell'!$G$27:$G$195,MATCH(Data!H153,'FY 22 OFA Shell'!$H$27:$H$195,0))</f>
        <v>99</v>
      </c>
      <c r="AD153" s="73">
        <f t="shared" si="91"/>
        <v>5</v>
      </c>
      <c r="AE153" s="65">
        <v>6221145</v>
      </c>
      <c r="AF153" s="65">
        <f t="shared" si="79"/>
        <v>-468860</v>
      </c>
      <c r="AG153" s="65">
        <f t="shared" si="80"/>
        <v>-468860</v>
      </c>
      <c r="AH153" s="52">
        <v>5393592</v>
      </c>
      <c r="AI153" s="107">
        <v>6196188.25</v>
      </c>
      <c r="AJ153">
        <v>1</v>
      </c>
      <c r="AK153">
        <v>1272.4879333040808</v>
      </c>
      <c r="AL153" s="165">
        <f>INDEX('FY 22 OFA Shell'!$AU$27:$AU$195,MATCH(Data!H153,'FY 22 OFA Shell'!$H$27:$H$195,0))</f>
        <v>6148151</v>
      </c>
      <c r="AM153" s="165">
        <f>Outputs!H158</f>
        <v>5752285</v>
      </c>
      <c r="AN153" s="165">
        <f>Outputs!G158+Outputs!D158+Outputs!F158</f>
        <v>5752285</v>
      </c>
      <c r="AO153" s="165">
        <v>6181618</v>
      </c>
      <c r="AP153" s="165">
        <f t="shared" si="92"/>
        <v>6197460.7379333042</v>
      </c>
      <c r="AQ153" s="52" t="str">
        <f t="shared" si="81"/>
        <v>No</v>
      </c>
      <c r="AR153" s="308">
        <f>ABS(IF(AQ153="Yes",AF153*Inputs!$D$50,Data!AF153*Inputs!$D$51))</f>
        <v>0</v>
      </c>
      <c r="AS153" s="308">
        <f t="shared" si="93"/>
        <v>6148151</v>
      </c>
      <c r="AT153" s="308">
        <f t="shared" si="82"/>
        <v>6148151</v>
      </c>
      <c r="AU153" s="308"/>
      <c r="AV153" s="308">
        <f>ABS(IF($AQ153="Yes",$AF153*Inputs!E$50,Data!$AF153*Inputs!E$51))</f>
        <v>0</v>
      </c>
      <c r="AW153" s="308">
        <f>ABS(IF($AQ153="Yes",$AF153*Inputs!F$50,Data!$AF153*Inputs!F$51))</f>
        <v>39056.038</v>
      </c>
      <c r="AX153" s="308">
        <f>ABS(IF($AQ153="Yes",$AF153*Inputs!G$50,Data!$AF153*Inputs!G$51))</f>
        <v>39056.038</v>
      </c>
      <c r="AY153" s="308">
        <f>ABS(IF($AQ153="Yes",$AF153*Inputs!H$50,Data!$AF153*Inputs!H$51))</f>
        <v>39056.038</v>
      </c>
      <c r="AZ153" s="308">
        <f>ABS(IF($AQ153="Yes",$AF153*Inputs!I$50,Data!$AF153*Inputs!I$51))</f>
        <v>39056.038</v>
      </c>
      <c r="BA153" s="308">
        <f>ABS(IF($AQ153="Yes",$AF153*Inputs!J$50,Data!$AF153*Inputs!J$51))</f>
        <v>39056.038</v>
      </c>
      <c r="BB153" s="308">
        <f>ABS(IF($AQ153="Yes",$AF153*Inputs!K$50,Data!$AF153*Inputs!K$51))</f>
        <v>39056.038</v>
      </c>
      <c r="BC153" s="308">
        <f>ABS(IF($AQ153="Yes",$AF153*Inputs!L$50,Data!$AF153*Inputs!L$51))</f>
        <v>39056.038</v>
      </c>
      <c r="BE153" s="308">
        <f t="shared" si="94"/>
        <v>6148151</v>
      </c>
      <c r="BF153" s="308">
        <f t="shared" si="95"/>
        <v>6109094.9620000003</v>
      </c>
      <c r="BG153" s="308">
        <f t="shared" si="96"/>
        <v>6070038.9240000006</v>
      </c>
      <c r="BH153" s="308">
        <f t="shared" si="97"/>
        <v>6030982.8860000009</v>
      </c>
      <c r="BI153" s="308">
        <f t="shared" si="98"/>
        <v>5991926.8480000012</v>
      </c>
      <c r="BJ153" s="308">
        <f t="shared" si="99"/>
        <v>5952870.8100000015</v>
      </c>
      <c r="BK153" s="308">
        <f t="shared" si="100"/>
        <v>5913814.7720000017</v>
      </c>
      <c r="BL153" s="308">
        <f t="shared" si="101"/>
        <v>5752285</v>
      </c>
      <c r="BN153" s="308">
        <f t="shared" si="83"/>
        <v>6148151</v>
      </c>
      <c r="BO153" s="308">
        <f t="shared" si="84"/>
        <v>6109094.9620000003</v>
      </c>
      <c r="BP153" s="308">
        <f t="shared" si="85"/>
        <v>6070038.9240000006</v>
      </c>
      <c r="BQ153" s="308">
        <f t="shared" si="86"/>
        <v>6030982.8860000009</v>
      </c>
      <c r="BR153" s="308">
        <f t="shared" si="87"/>
        <v>5991926.8480000012</v>
      </c>
      <c r="BS153" s="308">
        <f t="shared" si="88"/>
        <v>5952870.8100000015</v>
      </c>
      <c r="BT153" s="308">
        <f t="shared" si="89"/>
        <v>5913814.7720000017</v>
      </c>
      <c r="BU153" s="308">
        <f t="shared" si="102"/>
        <v>5752285</v>
      </c>
    </row>
    <row r="154" spans="1:73" ht="15" x14ac:dyDescent="0.2">
      <c r="A154" s="62" t="s">
        <v>152</v>
      </c>
      <c r="B154" s="55" t="s">
        <v>8</v>
      </c>
      <c r="C154" s="55"/>
      <c r="D154" s="55"/>
      <c r="E154" s="55"/>
      <c r="F154" s="55"/>
      <c r="G154" s="48">
        <v>9</v>
      </c>
      <c r="H154" s="55">
        <v>140</v>
      </c>
      <c r="I154" s="55">
        <f>INDEX('FY 22 OFA Shell'!$K$27:$K$195,MATCH(Data!H154,'FY 22 OFA Shell'!$H$27:$H$195,0))</f>
        <v>945.86</v>
      </c>
      <c r="J154" s="55">
        <f>INDEX('FY 22 OFA Shell'!$N$27:$N$195,MATCH(Data!H154,'FY 22 OFA Shell'!$H$27:$H$195,0))</f>
        <v>318</v>
      </c>
      <c r="K154" s="64">
        <f>INDEX('FY 22 OFA Shell'!$S$27:$S$195,MATCH(Data!H154,'FY 22 OFA Shell'!$H$27:$H$195,0))</f>
        <v>14</v>
      </c>
      <c r="L154" s="150">
        <f t="shared" si="90"/>
        <v>0.33620197492229292</v>
      </c>
      <c r="M154" s="149">
        <f>MAX(((L154-Inputs!$E$23)*Data!I154)*Inputs!$E$24,0)</f>
        <v>0</v>
      </c>
      <c r="N154" s="151">
        <f>INDEX('FY 22 OFA Shell'!$V$27:$V$195,MATCH(Data!H154,'FY 22 OFA Shell'!$H$27:$H$195,0))</f>
        <v>804263908</v>
      </c>
      <c r="O154" s="63">
        <f>INDEX('FY 22 OFA Shell'!$W$27:$W$195,MATCH(Data!H154,'FY 22 OFA Shell'!$H$27:$H$195,0))</f>
        <v>7623</v>
      </c>
      <c r="P154" s="65">
        <f>INDEX('FY 22 OFA Shell'!$Z$27:$Z$195,MATCH(Data!H154,'FY 22 OFA Shell'!$H$27:$H$195,0))</f>
        <v>67862</v>
      </c>
      <c r="Q154" s="63">
        <f>INDEX('FY 22 OFA Shell'!$AF$27:$AF$195,MATCH(Data!H154,'FY 22 OFA Shell'!$H$27:$H$195,0))</f>
        <v>0</v>
      </c>
      <c r="R154" s="66">
        <f>INDEX('FY 22 OFA Shell'!$AG$27:$AG$195,MATCH(Data!H154,'FY 22 OFA Shell'!$H$27:$H$195,0))</f>
        <v>0</v>
      </c>
      <c r="S154" s="66">
        <f>INDEX('FY 22 OFA Shell'!$AJ$27:$AJ$195,MATCH(Data!H154,'FY 22 OFA Shell'!$H$27:$H$195,0))</f>
        <v>0</v>
      </c>
      <c r="T154" s="66">
        <f>INDEX('FY 22 OFA Shell'!$AK$27:$AK$195,MATCH(Data!H154,'FY 22 OFA Shell'!$H$27:$H$195,0))</f>
        <v>0</v>
      </c>
      <c r="U154" s="135">
        <v>5624815</v>
      </c>
      <c r="V154" s="67">
        <f>ROUND(J154*Inputs!$E$22, 2)</f>
        <v>95.4</v>
      </c>
      <c r="W154" s="68">
        <f>I154+V154+K154*Inputs!$E$28+Data!M154</f>
        <v>1044.76</v>
      </c>
      <c r="X154" s="69">
        <f t="shared" si="78"/>
        <v>105504.91</v>
      </c>
      <c r="Y154" s="70">
        <f>ROUND(X154/Inputs!$E$32, 6)</f>
        <v>0.54800099999999996</v>
      </c>
      <c r="Z154" s="70">
        <f>ROUND(P154/Inputs!$E$33, 6)</f>
        <v>0.56319699999999995</v>
      </c>
      <c r="AA154" s="59">
        <f>ROUND(1-((Y154*Inputs!$E$29)+Z154*Inputs!$E$27), 6)</f>
        <v>0.44744</v>
      </c>
      <c r="AB154" s="59">
        <v>255.13456865561227</v>
      </c>
      <c r="AC154" s="73">
        <f>INDEX('FY 22 OFA Shell'!$G$27:$G$195,MATCH(Data!H154,'FY 22 OFA Shell'!$H$27:$H$195,0))</f>
        <v>43</v>
      </c>
      <c r="AD154" s="73">
        <f t="shared" si="91"/>
        <v>5</v>
      </c>
      <c r="AE154" s="65">
        <v>5624815</v>
      </c>
      <c r="AF154" s="65">
        <f t="shared" si="79"/>
        <v>-237253</v>
      </c>
      <c r="AG154" s="65">
        <f t="shared" si="80"/>
        <v>-237253</v>
      </c>
      <c r="AH154" s="52">
        <v>4875285</v>
      </c>
      <c r="AI154" s="107">
        <v>5525825</v>
      </c>
      <c r="AJ154"/>
      <c r="AK154">
        <v>0</v>
      </c>
      <c r="AL154" s="165">
        <f>INDEX('FY 22 OFA Shell'!$AU$27:$AU$195,MATCH(Data!H154,'FY 22 OFA Shell'!$H$27:$H$195,0))</f>
        <v>5481226</v>
      </c>
      <c r="AM154" s="165">
        <f>Outputs!H159</f>
        <v>5387562</v>
      </c>
      <c r="AN154" s="165">
        <f>Outputs!G159+Outputs!D159+Outputs!F159</f>
        <v>5387562</v>
      </c>
      <c r="AO154" s="165">
        <v>5500105</v>
      </c>
      <c r="AP154" s="165">
        <f t="shared" si="92"/>
        <v>5525825</v>
      </c>
      <c r="AQ154" s="52" t="str">
        <f t="shared" si="81"/>
        <v>No</v>
      </c>
      <c r="AR154" s="308">
        <f>ABS(IF(AQ154="Yes",AF154*Inputs!$D$50,Data!AF154*Inputs!$D$51))</f>
        <v>0</v>
      </c>
      <c r="AS154" s="308">
        <f t="shared" si="93"/>
        <v>5481226</v>
      </c>
      <c r="AT154" s="308">
        <f t="shared" si="82"/>
        <v>5481226</v>
      </c>
      <c r="AU154" s="308"/>
      <c r="AV154" s="308">
        <f>ABS(IF($AQ154="Yes",$AF154*Inputs!E$50,Data!$AF154*Inputs!E$51))</f>
        <v>0</v>
      </c>
      <c r="AW154" s="308">
        <f>ABS(IF($AQ154="Yes",$AF154*Inputs!F$50,Data!$AF154*Inputs!F$51))</f>
        <v>19763.174899999998</v>
      </c>
      <c r="AX154" s="308">
        <f>ABS(IF($AQ154="Yes",$AF154*Inputs!G$50,Data!$AF154*Inputs!G$51))</f>
        <v>19763.174899999998</v>
      </c>
      <c r="AY154" s="308">
        <f>ABS(IF($AQ154="Yes",$AF154*Inputs!H$50,Data!$AF154*Inputs!H$51))</f>
        <v>19763.174899999998</v>
      </c>
      <c r="AZ154" s="308">
        <f>ABS(IF($AQ154="Yes",$AF154*Inputs!I$50,Data!$AF154*Inputs!I$51))</f>
        <v>19763.174899999998</v>
      </c>
      <c r="BA154" s="308">
        <f>ABS(IF($AQ154="Yes",$AF154*Inputs!J$50,Data!$AF154*Inputs!J$51))</f>
        <v>19763.174899999998</v>
      </c>
      <c r="BB154" s="308">
        <f>ABS(IF($AQ154="Yes",$AF154*Inputs!K$50,Data!$AF154*Inputs!K$51))</f>
        <v>19763.174899999998</v>
      </c>
      <c r="BC154" s="308">
        <f>ABS(IF($AQ154="Yes",$AF154*Inputs!L$50,Data!$AF154*Inputs!L$51))</f>
        <v>19763.174899999998</v>
      </c>
      <c r="BE154" s="308">
        <f t="shared" si="94"/>
        <v>5481226</v>
      </c>
      <c r="BF154" s="308">
        <f t="shared" si="95"/>
        <v>5461462.8251</v>
      </c>
      <c r="BG154" s="308">
        <f t="shared" si="96"/>
        <v>5441699.6502</v>
      </c>
      <c r="BH154" s="308">
        <f t="shared" si="97"/>
        <v>5421936.4753</v>
      </c>
      <c r="BI154" s="308">
        <f t="shared" si="98"/>
        <v>5402173.3004000001</v>
      </c>
      <c r="BJ154" s="308">
        <f t="shared" si="99"/>
        <v>5382410.1255000001</v>
      </c>
      <c r="BK154" s="308">
        <f t="shared" si="100"/>
        <v>5362646.9506000001</v>
      </c>
      <c r="BL154" s="308">
        <f t="shared" si="101"/>
        <v>5387562</v>
      </c>
      <c r="BN154" s="308">
        <f t="shared" si="83"/>
        <v>5481226</v>
      </c>
      <c r="BO154" s="308">
        <f t="shared" si="84"/>
        <v>5461462.8251</v>
      </c>
      <c r="BP154" s="308">
        <f t="shared" si="85"/>
        <v>5441699.6502</v>
      </c>
      <c r="BQ154" s="308">
        <f t="shared" si="86"/>
        <v>5421936.4753</v>
      </c>
      <c r="BR154" s="308">
        <f t="shared" si="87"/>
        <v>5402173.3004000001</v>
      </c>
      <c r="BS154" s="308">
        <f t="shared" si="88"/>
        <v>5382410.1255000001</v>
      </c>
      <c r="BT154" s="308">
        <f t="shared" si="89"/>
        <v>5362646.9506000001</v>
      </c>
      <c r="BU154" s="308">
        <f t="shared" si="102"/>
        <v>5387562</v>
      </c>
    </row>
    <row r="155" spans="1:73" ht="15" x14ac:dyDescent="0.2">
      <c r="A155" s="62" t="s">
        <v>153</v>
      </c>
      <c r="B155" s="55" t="s">
        <v>32</v>
      </c>
      <c r="C155" s="55"/>
      <c r="D155" s="55">
        <v>1</v>
      </c>
      <c r="E155" s="55"/>
      <c r="F155" s="55"/>
      <c r="G155" s="48">
        <v>9</v>
      </c>
      <c r="H155" s="55">
        <v>141</v>
      </c>
      <c r="I155" s="55">
        <f>INDEX('FY 22 OFA Shell'!$K$27:$K$195,MATCH(Data!H155,'FY 22 OFA Shell'!$H$27:$H$195,0))</f>
        <v>988.77</v>
      </c>
      <c r="J155" s="55">
        <f>INDEX('FY 22 OFA Shell'!$N$27:$N$195,MATCH(Data!H155,'FY 22 OFA Shell'!$H$27:$H$195,0))</f>
        <v>469</v>
      </c>
      <c r="K155" s="64">
        <f>INDEX('FY 22 OFA Shell'!$S$27:$S$195,MATCH(Data!H155,'FY 22 OFA Shell'!$H$27:$H$195,0))</f>
        <v>1</v>
      </c>
      <c r="L155" s="150">
        <f t="shared" si="90"/>
        <v>0.47432668871426115</v>
      </c>
      <c r="M155" s="149">
        <f>MAX(((L155-Inputs!$E$23)*Data!I155)*Inputs!$E$24,0)</f>
        <v>0</v>
      </c>
      <c r="N155" s="151">
        <f>INDEX('FY 22 OFA Shell'!$V$27:$V$195,MATCH(Data!H155,'FY 22 OFA Shell'!$H$27:$H$195,0))</f>
        <v>1024599748.67</v>
      </c>
      <c r="O155" s="63">
        <f>INDEX('FY 22 OFA Shell'!$W$27:$W$195,MATCH(Data!H155,'FY 22 OFA Shell'!$H$27:$H$195,0))</f>
        <v>9343</v>
      </c>
      <c r="P155" s="65">
        <f>INDEX('FY 22 OFA Shell'!$Z$27:$Z$195,MATCH(Data!H155,'FY 22 OFA Shell'!$H$27:$H$195,0))</f>
        <v>80941</v>
      </c>
      <c r="Q155" s="63">
        <f>INDEX('FY 22 OFA Shell'!$AF$27:$AF$195,MATCH(Data!H155,'FY 22 OFA Shell'!$H$27:$H$195,0))</f>
        <v>0</v>
      </c>
      <c r="R155" s="66">
        <f>INDEX('FY 22 OFA Shell'!$AG$27:$AG$195,MATCH(Data!H155,'FY 22 OFA Shell'!$H$27:$H$195,0))</f>
        <v>0</v>
      </c>
      <c r="S155" s="66">
        <f>INDEX('FY 22 OFA Shell'!$AJ$27:$AJ$195,MATCH(Data!H155,'FY 22 OFA Shell'!$H$27:$H$195,0))</f>
        <v>0</v>
      </c>
      <c r="T155" s="66">
        <f>INDEX('FY 22 OFA Shell'!$AK$27:$AK$195,MATCH(Data!H155,'FY 22 OFA Shell'!$H$27:$H$195,0))</f>
        <v>0</v>
      </c>
      <c r="U155" s="135">
        <v>7534704</v>
      </c>
      <c r="V155" s="67">
        <f>ROUND(J155*Inputs!$E$22, 2)</f>
        <v>140.69999999999999</v>
      </c>
      <c r="W155" s="68">
        <f>I155+V155+K155*Inputs!$E$28+Data!M155</f>
        <v>1129.72</v>
      </c>
      <c r="X155" s="69">
        <f t="shared" si="78"/>
        <v>109664.96000000001</v>
      </c>
      <c r="Y155" s="70">
        <f>ROUND(X155/Inputs!$E$32, 6)</f>
        <v>0.56960900000000003</v>
      </c>
      <c r="Z155" s="70">
        <f>ROUND(P155/Inputs!$E$33, 6)</f>
        <v>0.67174199999999995</v>
      </c>
      <c r="AA155" s="59">
        <f>ROUND(1-((Y155*Inputs!$E$29)+Z155*Inputs!$E$27), 6)</f>
        <v>0.39975100000000002</v>
      </c>
      <c r="AB155" s="59">
        <v>250.7764350117676</v>
      </c>
      <c r="AC155" s="73">
        <f>INDEX('FY 22 OFA Shell'!$G$27:$G$195,MATCH(Data!H155,'FY 22 OFA Shell'!$H$27:$H$195,0))</f>
        <v>55</v>
      </c>
      <c r="AD155" s="73">
        <f t="shared" si="91"/>
        <v>5</v>
      </c>
      <c r="AE155" s="65">
        <v>7534704</v>
      </c>
      <c r="AF155" s="65">
        <f t="shared" si="79"/>
        <v>-2329937</v>
      </c>
      <c r="AG155" s="65">
        <f t="shared" si="80"/>
        <v>0</v>
      </c>
      <c r="AH155" s="52">
        <v>7521311</v>
      </c>
      <c r="AI155" s="107">
        <v>7534704</v>
      </c>
      <c r="AJ155">
        <v>2</v>
      </c>
      <c r="AK155">
        <v>2544.9758666081616</v>
      </c>
      <c r="AL155" s="165">
        <f>INDEX('FY 22 OFA Shell'!$AU$27:$AU$195,MATCH(Data!H155,'FY 22 OFA Shell'!$H$27:$H$195,0))</f>
        <v>7534704</v>
      </c>
      <c r="AM155" s="165">
        <f>Outputs!H160</f>
        <v>7534704</v>
      </c>
      <c r="AN155" s="165">
        <f>Outputs!G160+Outputs!D160+Outputs!F160</f>
        <v>5204767</v>
      </c>
      <c r="AO155" s="165">
        <v>7534704</v>
      </c>
      <c r="AP155" s="165">
        <f t="shared" si="92"/>
        <v>7537248.9758666083</v>
      </c>
      <c r="AQ155" s="52" t="str">
        <f t="shared" si="81"/>
        <v>No</v>
      </c>
      <c r="AR155" s="308">
        <f>ABS(IF(AQ155="Yes",AF155*Inputs!$D$50,Data!AF155*Inputs!$D$51))</f>
        <v>0</v>
      </c>
      <c r="AS155" s="308">
        <f t="shared" si="93"/>
        <v>7534704</v>
      </c>
      <c r="AT155" s="308">
        <f t="shared" si="82"/>
        <v>7534704</v>
      </c>
      <c r="AU155" s="308"/>
      <c r="AV155" s="308">
        <f>ABS(IF($AQ155="Yes",$AF155*Inputs!E$50,Data!$AF155*Inputs!E$51))</f>
        <v>0</v>
      </c>
      <c r="AW155" s="308">
        <f>ABS(IF($AQ155="Yes",$AF155*Inputs!F$50,Data!$AF155*Inputs!F$51))</f>
        <v>194083.75209999998</v>
      </c>
      <c r="AX155" s="308">
        <f>ABS(IF($AQ155="Yes",$AF155*Inputs!G$50,Data!$AF155*Inputs!G$51))</f>
        <v>194083.75209999998</v>
      </c>
      <c r="AY155" s="308">
        <f>ABS(IF($AQ155="Yes",$AF155*Inputs!H$50,Data!$AF155*Inputs!H$51))</f>
        <v>194083.75209999998</v>
      </c>
      <c r="AZ155" s="308">
        <f>ABS(IF($AQ155="Yes",$AF155*Inputs!I$50,Data!$AF155*Inputs!I$51))</f>
        <v>194083.75209999998</v>
      </c>
      <c r="BA155" s="308">
        <f>ABS(IF($AQ155="Yes",$AF155*Inputs!J$50,Data!$AF155*Inputs!J$51))</f>
        <v>194083.75209999998</v>
      </c>
      <c r="BB155" s="308">
        <f>ABS(IF($AQ155="Yes",$AF155*Inputs!K$50,Data!$AF155*Inputs!K$51))</f>
        <v>194083.75209999998</v>
      </c>
      <c r="BC155" s="308">
        <f>ABS(IF($AQ155="Yes",$AF155*Inputs!L$50,Data!$AF155*Inputs!L$51))</f>
        <v>194083.75209999998</v>
      </c>
      <c r="BE155" s="308">
        <f t="shared" si="94"/>
        <v>7534704</v>
      </c>
      <c r="BF155" s="308">
        <f t="shared" si="95"/>
        <v>7340620.2478999998</v>
      </c>
      <c r="BG155" s="308">
        <f t="shared" si="96"/>
        <v>7146536.4957999997</v>
      </c>
      <c r="BH155" s="308">
        <f t="shared" si="97"/>
        <v>6952452.7436999995</v>
      </c>
      <c r="BI155" s="308">
        <f t="shared" si="98"/>
        <v>6758368.9915999994</v>
      </c>
      <c r="BJ155" s="308">
        <f t="shared" si="99"/>
        <v>6564285.2394999992</v>
      </c>
      <c r="BK155" s="308">
        <f t="shared" si="100"/>
        <v>6370201.4873999991</v>
      </c>
      <c r="BL155" s="308">
        <f t="shared" si="101"/>
        <v>5204767</v>
      </c>
      <c r="BN155" s="308">
        <f t="shared" si="83"/>
        <v>7534704</v>
      </c>
      <c r="BO155" s="308">
        <f t="shared" si="84"/>
        <v>7534704</v>
      </c>
      <c r="BP155" s="308">
        <f t="shared" si="85"/>
        <v>7534704</v>
      </c>
      <c r="BQ155" s="308">
        <f t="shared" si="86"/>
        <v>7534704</v>
      </c>
      <c r="BR155" s="308">
        <f t="shared" si="87"/>
        <v>7534704</v>
      </c>
      <c r="BS155" s="308">
        <f t="shared" si="88"/>
        <v>7534704</v>
      </c>
      <c r="BT155" s="308">
        <f t="shared" si="89"/>
        <v>7534704</v>
      </c>
      <c r="BU155" s="308">
        <f t="shared" si="102"/>
        <v>7534704</v>
      </c>
    </row>
    <row r="156" spans="1:73" ht="15" x14ac:dyDescent="0.2">
      <c r="A156" s="62" t="s">
        <v>154</v>
      </c>
      <c r="B156" s="55" t="s">
        <v>4</v>
      </c>
      <c r="C156" s="55"/>
      <c r="D156" s="55"/>
      <c r="E156" s="55"/>
      <c r="F156" s="55"/>
      <c r="G156" s="48">
        <v>5</v>
      </c>
      <c r="H156" s="55">
        <v>142</v>
      </c>
      <c r="I156" s="55">
        <f>INDEX('FY 22 OFA Shell'!$K$27:$K$195,MATCH(Data!H156,'FY 22 OFA Shell'!$H$27:$H$195,0))</f>
        <v>2325.67</v>
      </c>
      <c r="J156" s="55">
        <f>INDEX('FY 22 OFA Shell'!$N$27:$N$195,MATCH(Data!H156,'FY 22 OFA Shell'!$H$27:$H$195,0))</f>
        <v>310</v>
      </c>
      <c r="K156" s="64">
        <f>INDEX('FY 22 OFA Shell'!$S$27:$S$195,MATCH(Data!H156,'FY 22 OFA Shell'!$H$27:$H$195,0))</f>
        <v>17</v>
      </c>
      <c r="L156" s="150">
        <f t="shared" si="90"/>
        <v>0.13329492146349223</v>
      </c>
      <c r="M156" s="149">
        <f>MAX(((L156-Inputs!$E$23)*Data!I156)*Inputs!$E$24,0)</f>
        <v>0</v>
      </c>
      <c r="N156" s="151">
        <f>INDEX('FY 22 OFA Shell'!$V$27:$V$195,MATCH(Data!H156,'FY 22 OFA Shell'!$H$27:$H$195,0))</f>
        <v>1883111152.3299999</v>
      </c>
      <c r="O156" s="63">
        <f>INDEX('FY 22 OFA Shell'!$W$27:$W$195,MATCH(Data!H156,'FY 22 OFA Shell'!$H$27:$H$195,0))</f>
        <v>14766</v>
      </c>
      <c r="P156" s="65">
        <f>INDEX('FY 22 OFA Shell'!$Z$27:$Z$195,MATCH(Data!H156,'FY 22 OFA Shell'!$H$27:$H$195,0))</f>
        <v>115718</v>
      </c>
      <c r="Q156" s="63">
        <f>INDEX('FY 22 OFA Shell'!$AF$27:$AF$195,MATCH(Data!H156,'FY 22 OFA Shell'!$H$27:$H$195,0))</f>
        <v>0</v>
      </c>
      <c r="R156" s="66">
        <f>INDEX('FY 22 OFA Shell'!$AG$27:$AG$195,MATCH(Data!H156,'FY 22 OFA Shell'!$H$27:$H$195,0))</f>
        <v>0</v>
      </c>
      <c r="S156" s="66">
        <f>INDEX('FY 22 OFA Shell'!$AJ$27:$AJ$195,MATCH(Data!H156,'FY 22 OFA Shell'!$H$27:$H$195,0))</f>
        <v>0</v>
      </c>
      <c r="T156" s="66">
        <f>INDEX('FY 22 OFA Shell'!$AK$27:$AK$195,MATCH(Data!H156,'FY 22 OFA Shell'!$H$27:$H$195,0))</f>
        <v>0</v>
      </c>
      <c r="U156" s="135">
        <v>10699177</v>
      </c>
      <c r="V156" s="67">
        <f>ROUND(J156*Inputs!$E$22, 2)</f>
        <v>93</v>
      </c>
      <c r="W156" s="68">
        <f>I156+V156+K156*Inputs!$E$28+Data!M156</f>
        <v>2422.92</v>
      </c>
      <c r="X156" s="69">
        <f t="shared" si="78"/>
        <v>127530.21</v>
      </c>
      <c r="Y156" s="70">
        <f>ROUND(X156/Inputs!$E$32, 6)</f>
        <v>0.66240200000000005</v>
      </c>
      <c r="Z156" s="70">
        <f>ROUND(P156/Inputs!$E$33, 6)</f>
        <v>0.96036100000000002</v>
      </c>
      <c r="AA156" s="59">
        <f>ROUND(1-((Y156*Inputs!$E$29)+Z156*Inputs!$E$27), 6)</f>
        <v>0.24820999999999999</v>
      </c>
      <c r="AB156" s="59">
        <v>216.23936178687032</v>
      </c>
      <c r="AC156" s="73">
        <f>INDEX('FY 22 OFA Shell'!$G$27:$G$195,MATCH(Data!H156,'FY 22 OFA Shell'!$H$27:$H$195,0))</f>
        <v>108</v>
      </c>
      <c r="AD156" s="73">
        <f t="shared" si="91"/>
        <v>5</v>
      </c>
      <c r="AE156" s="65">
        <v>10699177</v>
      </c>
      <c r="AF156" s="65">
        <f t="shared" si="79"/>
        <v>-3768123</v>
      </c>
      <c r="AG156" s="65">
        <f t="shared" si="80"/>
        <v>-3768123</v>
      </c>
      <c r="AH156" s="52">
        <v>9298501</v>
      </c>
      <c r="AI156" s="107">
        <v>9736833</v>
      </c>
      <c r="AJ156"/>
      <c r="AK156">
        <v>0</v>
      </c>
      <c r="AL156" s="165">
        <f>INDEX('FY 22 OFA Shell'!$AU$27:$AU$195,MATCH(Data!H156,'FY 22 OFA Shell'!$H$27:$H$195,0))</f>
        <v>9105528</v>
      </c>
      <c r="AM156" s="165">
        <f>Outputs!H161</f>
        <v>6931054</v>
      </c>
      <c r="AN156" s="165">
        <f>Outputs!G161+Outputs!D161+Outputs!F161</f>
        <v>6931054</v>
      </c>
      <c r="AO156" s="165">
        <v>9435837</v>
      </c>
      <c r="AP156" s="165">
        <f t="shared" si="92"/>
        <v>9736833</v>
      </c>
      <c r="AQ156" s="52" t="str">
        <f t="shared" si="81"/>
        <v>No</v>
      </c>
      <c r="AR156" s="308">
        <f>ABS(IF(AQ156="Yes",AF156*Inputs!$D$50,Data!AF156*Inputs!$D$51))</f>
        <v>0</v>
      </c>
      <c r="AS156" s="308">
        <f t="shared" si="93"/>
        <v>9105528</v>
      </c>
      <c r="AT156" s="308">
        <f t="shared" si="82"/>
        <v>9105528</v>
      </c>
      <c r="AU156" s="308"/>
      <c r="AV156" s="308">
        <f>ABS(IF($AQ156="Yes",$AF156*Inputs!E$50,Data!$AF156*Inputs!E$51))</f>
        <v>0</v>
      </c>
      <c r="AW156" s="308">
        <f>ABS(IF($AQ156="Yes",$AF156*Inputs!F$50,Data!$AF156*Inputs!F$51))</f>
        <v>313884.6459</v>
      </c>
      <c r="AX156" s="308">
        <f>ABS(IF($AQ156="Yes",$AF156*Inputs!G$50,Data!$AF156*Inputs!G$51))</f>
        <v>313884.6459</v>
      </c>
      <c r="AY156" s="308">
        <f>ABS(IF($AQ156="Yes",$AF156*Inputs!H$50,Data!$AF156*Inputs!H$51))</f>
        <v>313884.6459</v>
      </c>
      <c r="AZ156" s="308">
        <f>ABS(IF($AQ156="Yes",$AF156*Inputs!I$50,Data!$AF156*Inputs!I$51))</f>
        <v>313884.6459</v>
      </c>
      <c r="BA156" s="308">
        <f>ABS(IF($AQ156="Yes",$AF156*Inputs!J$50,Data!$AF156*Inputs!J$51))</f>
        <v>313884.6459</v>
      </c>
      <c r="BB156" s="308">
        <f>ABS(IF($AQ156="Yes",$AF156*Inputs!K$50,Data!$AF156*Inputs!K$51))</f>
        <v>313884.6459</v>
      </c>
      <c r="BC156" s="308">
        <f>ABS(IF($AQ156="Yes",$AF156*Inputs!L$50,Data!$AF156*Inputs!L$51))</f>
        <v>313884.6459</v>
      </c>
      <c r="BE156" s="308">
        <f t="shared" si="94"/>
        <v>9105528</v>
      </c>
      <c r="BF156" s="308">
        <f t="shared" si="95"/>
        <v>8791643.3541000001</v>
      </c>
      <c r="BG156" s="308">
        <f t="shared" si="96"/>
        <v>8477758.7082000002</v>
      </c>
      <c r="BH156" s="308">
        <f t="shared" si="97"/>
        <v>8163874.0623000003</v>
      </c>
      <c r="BI156" s="308">
        <f t="shared" si="98"/>
        <v>7849989.4164000005</v>
      </c>
      <c r="BJ156" s="308">
        <f t="shared" si="99"/>
        <v>7536104.7705000006</v>
      </c>
      <c r="BK156" s="308">
        <f t="shared" si="100"/>
        <v>7222220.1246000007</v>
      </c>
      <c r="BL156" s="308">
        <f t="shared" si="101"/>
        <v>6931054</v>
      </c>
      <c r="BN156" s="308">
        <f t="shared" si="83"/>
        <v>9105528</v>
      </c>
      <c r="BO156" s="308">
        <f t="shared" si="84"/>
        <v>8791643.3541000001</v>
      </c>
      <c r="BP156" s="308">
        <f t="shared" si="85"/>
        <v>8477758.7082000002</v>
      </c>
      <c r="BQ156" s="308">
        <f t="shared" si="86"/>
        <v>8163874.0623000003</v>
      </c>
      <c r="BR156" s="308">
        <f t="shared" si="87"/>
        <v>7849989.4164000005</v>
      </c>
      <c r="BS156" s="308">
        <f t="shared" si="88"/>
        <v>7536104.7705000006</v>
      </c>
      <c r="BT156" s="308">
        <f t="shared" si="89"/>
        <v>7222220.1246000007</v>
      </c>
      <c r="BU156" s="308">
        <f t="shared" si="102"/>
        <v>6931054</v>
      </c>
    </row>
    <row r="157" spans="1:73" ht="15" x14ac:dyDescent="0.2">
      <c r="A157" s="62" t="s">
        <v>155</v>
      </c>
      <c r="B157" s="55" t="s">
        <v>19</v>
      </c>
      <c r="C157" s="55"/>
      <c r="D157" s="55">
        <v>1</v>
      </c>
      <c r="E157" s="55"/>
      <c r="F157" s="55"/>
      <c r="G157" s="48">
        <v>10</v>
      </c>
      <c r="H157" s="55">
        <v>143</v>
      </c>
      <c r="I157" s="55">
        <f>INDEX('FY 22 OFA Shell'!$K$27:$K$195,MATCH(Data!H157,'FY 22 OFA Shell'!$H$27:$H$195,0))</f>
        <v>4025.42</v>
      </c>
      <c r="J157" s="55">
        <f>INDEX('FY 22 OFA Shell'!$N$27:$N$195,MATCH(Data!H157,'FY 22 OFA Shell'!$H$27:$H$195,0))</f>
        <v>2677</v>
      </c>
      <c r="K157" s="64">
        <f>INDEX('FY 22 OFA Shell'!$S$27:$S$195,MATCH(Data!H157,'FY 22 OFA Shell'!$H$27:$H$195,0))</f>
        <v>391</v>
      </c>
      <c r="L157" s="150">
        <f t="shared" si="90"/>
        <v>0.66502377391675893</v>
      </c>
      <c r="M157" s="149">
        <f>MAX(((L157-Inputs!$E$23)*Data!I157)*Inputs!$E$24,0)</f>
        <v>39.262199999999972</v>
      </c>
      <c r="N157" s="151">
        <f>INDEX('FY 22 OFA Shell'!$V$27:$V$195,MATCH(Data!H157,'FY 22 OFA Shell'!$H$27:$H$195,0))</f>
        <v>2838568528</v>
      </c>
      <c r="O157" s="63">
        <f>INDEX('FY 22 OFA Shell'!$W$27:$W$195,MATCH(Data!H157,'FY 22 OFA Shell'!$H$27:$H$195,0))</f>
        <v>34737</v>
      </c>
      <c r="P157" s="65">
        <f>INDEX('FY 22 OFA Shell'!$Z$27:$Z$195,MATCH(Data!H157,'FY 22 OFA Shell'!$H$27:$H$195,0))</f>
        <v>63576</v>
      </c>
      <c r="Q157" s="63">
        <f>INDEX('FY 22 OFA Shell'!$AF$27:$AF$195,MATCH(Data!H157,'FY 22 OFA Shell'!$H$27:$H$195,0))</f>
        <v>0</v>
      </c>
      <c r="R157" s="66">
        <f>INDEX('FY 22 OFA Shell'!$AG$27:$AG$195,MATCH(Data!H157,'FY 22 OFA Shell'!$H$27:$H$195,0))</f>
        <v>0</v>
      </c>
      <c r="S157" s="66">
        <f>INDEX('FY 22 OFA Shell'!$AJ$27:$AJ$195,MATCH(Data!H157,'FY 22 OFA Shell'!$H$27:$H$195,0))</f>
        <v>0</v>
      </c>
      <c r="T157" s="66">
        <f>INDEX('FY 22 OFA Shell'!$AK$27:$AK$195,MATCH(Data!H157,'FY 22 OFA Shell'!$H$27:$H$195,0))</f>
        <v>0</v>
      </c>
      <c r="U157" s="135">
        <v>24482865</v>
      </c>
      <c r="V157" s="67">
        <f>ROUND(J157*Inputs!$E$22, 2)</f>
        <v>803.1</v>
      </c>
      <c r="W157" s="68">
        <f>I157+V157+K157*Inputs!$E$28+Data!M157</f>
        <v>4965.5322000000006</v>
      </c>
      <c r="X157" s="69">
        <f t="shared" si="78"/>
        <v>81716</v>
      </c>
      <c r="Y157" s="70">
        <f>ROUND(X157/Inputs!$E$32, 6)</f>
        <v>0.42443999999999998</v>
      </c>
      <c r="Z157" s="70">
        <f>ROUND(P157/Inputs!$E$33, 6)</f>
        <v>0.52762699999999996</v>
      </c>
      <c r="AA157" s="59">
        <f>ROUND(1-((Y157*Inputs!$E$29)+Z157*Inputs!$E$27), 6)</f>
        <v>0.54460399999999998</v>
      </c>
      <c r="AB157" s="59">
        <v>302.81153524981949</v>
      </c>
      <c r="AC157" s="73">
        <f>INDEX('FY 22 OFA Shell'!$G$27:$G$195,MATCH(Data!H157,'FY 22 OFA Shell'!$H$27:$H$195,0))</f>
        <v>16</v>
      </c>
      <c r="AD157" s="73">
        <f t="shared" si="91"/>
        <v>4</v>
      </c>
      <c r="AE157" s="65">
        <v>24482865</v>
      </c>
      <c r="AF157" s="65">
        <f t="shared" si="79"/>
        <v>8400434</v>
      </c>
      <c r="AG157" s="65">
        <f t="shared" si="80"/>
        <v>8400434</v>
      </c>
      <c r="AH157" s="52">
        <v>24335148</v>
      </c>
      <c r="AI157" s="107">
        <v>24837719.015999999</v>
      </c>
      <c r="AJ157">
        <v>2</v>
      </c>
      <c r="AK157">
        <v>2544.9758666081616</v>
      </c>
      <c r="AL157" s="165">
        <f>INDEX('FY 22 OFA Shell'!$AU$27:$AU$195,MATCH(Data!H157,'FY 22 OFA Shell'!$H$27:$H$195,0))</f>
        <v>26958170</v>
      </c>
      <c r="AM157" s="165">
        <f>Outputs!H162</f>
        <v>32883299</v>
      </c>
      <c r="AN157" s="165">
        <f>Outputs!G162+Outputs!D162+Outputs!F162</f>
        <v>32883299</v>
      </c>
      <c r="AO157" s="165">
        <v>25859123</v>
      </c>
      <c r="AP157" s="165">
        <f t="shared" si="92"/>
        <v>24840263.991866607</v>
      </c>
      <c r="AQ157" s="52" t="str">
        <f t="shared" si="81"/>
        <v>Yes</v>
      </c>
      <c r="AR157" s="308">
        <f>ABS(IF(AQ157="Yes",AF157*Inputs!$D$50,Data!AF157*Inputs!$D$51))</f>
        <v>895486.26439999999</v>
      </c>
      <c r="AS157" s="308">
        <f t="shared" si="93"/>
        <v>27853656.264400002</v>
      </c>
      <c r="AT157" s="308">
        <f t="shared" si="82"/>
        <v>27853656.264400002</v>
      </c>
      <c r="AU157" s="308"/>
      <c r="AV157" s="308">
        <f>ABS(IF($AQ157="Yes",$AF157*Inputs!E$50,Data!$AF157*Inputs!E$51))</f>
        <v>895486.26439999999</v>
      </c>
      <c r="AW157" s="308">
        <f>ABS(IF($AQ157="Yes",$AF157*Inputs!F$50,Data!$AF157*Inputs!F$51))</f>
        <v>895486.26439999999</v>
      </c>
      <c r="AX157" s="308">
        <f>ABS(IF($AQ157="Yes",$AF157*Inputs!G$50,Data!$AF157*Inputs!G$51))</f>
        <v>895486.26439999999</v>
      </c>
      <c r="AY157" s="308">
        <f>ABS(IF($AQ157="Yes",$AF157*Inputs!H$50,Data!$AF157*Inputs!H$51))</f>
        <v>895486.26439999999</v>
      </c>
      <c r="AZ157" s="308">
        <f>ABS(IF($AQ157="Yes",$AF157*Inputs!I$50,Data!$AF157*Inputs!I$51))</f>
        <v>895486.26439999999</v>
      </c>
      <c r="BA157" s="308">
        <f>ABS(IF($AQ157="Yes",$AF157*Inputs!J$50,Data!$AF157*Inputs!J$51))</f>
        <v>895486.26439999999</v>
      </c>
      <c r="BB157" s="308">
        <f>ABS(IF($AQ157="Yes",$AF157*Inputs!K$50,Data!$AF157*Inputs!K$51))</f>
        <v>0</v>
      </c>
      <c r="BC157" s="308">
        <f>ABS(IF($AQ157="Yes",$AF157*Inputs!L$50,Data!$AF157*Inputs!L$51))</f>
        <v>0</v>
      </c>
      <c r="BE157" s="308">
        <f t="shared" si="94"/>
        <v>28749142.528800003</v>
      </c>
      <c r="BF157" s="308">
        <f t="shared" si="95"/>
        <v>29644628.793200005</v>
      </c>
      <c r="BG157" s="308">
        <f t="shared" si="96"/>
        <v>30540115.057600006</v>
      </c>
      <c r="BH157" s="308">
        <f t="shared" si="97"/>
        <v>31435601.322000008</v>
      </c>
      <c r="BI157" s="308">
        <f t="shared" si="98"/>
        <v>32331087.58640001</v>
      </c>
      <c r="BJ157" s="308">
        <f t="shared" si="99"/>
        <v>32883299</v>
      </c>
      <c r="BK157" s="308">
        <f t="shared" si="100"/>
        <v>32883299</v>
      </c>
      <c r="BL157" s="308">
        <f t="shared" si="101"/>
        <v>32883299</v>
      </c>
      <c r="BN157" s="308">
        <f t="shared" si="83"/>
        <v>28749142.528800003</v>
      </c>
      <c r="BO157" s="308">
        <f t="shared" si="84"/>
        <v>29644628.793200005</v>
      </c>
      <c r="BP157" s="308">
        <f t="shared" si="85"/>
        <v>30540115.057600006</v>
      </c>
      <c r="BQ157" s="308">
        <f t="shared" si="86"/>
        <v>31435601.322000008</v>
      </c>
      <c r="BR157" s="308">
        <f t="shared" si="87"/>
        <v>32331087.58640001</v>
      </c>
      <c r="BS157" s="308">
        <f t="shared" si="88"/>
        <v>32883299</v>
      </c>
      <c r="BT157" s="308">
        <f t="shared" si="89"/>
        <v>32883299</v>
      </c>
      <c r="BU157" s="308">
        <f t="shared" si="102"/>
        <v>32883299</v>
      </c>
    </row>
    <row r="158" spans="1:73" ht="15" x14ac:dyDescent="0.2">
      <c r="A158" s="62" t="s">
        <v>156</v>
      </c>
      <c r="B158" s="55" t="s">
        <v>10</v>
      </c>
      <c r="C158" s="55"/>
      <c r="D158" s="55"/>
      <c r="E158" s="55"/>
      <c r="F158" s="55"/>
      <c r="G158" s="48">
        <v>3</v>
      </c>
      <c r="H158" s="55">
        <v>144</v>
      </c>
      <c r="I158" s="55">
        <f>INDEX('FY 22 OFA Shell'!$K$27:$K$195,MATCH(Data!H158,'FY 22 OFA Shell'!$H$27:$H$195,0))</f>
        <v>6574.91</v>
      </c>
      <c r="J158" s="55">
        <f>INDEX('FY 22 OFA Shell'!$N$27:$N$195,MATCH(Data!H158,'FY 22 OFA Shell'!$H$27:$H$195,0))</f>
        <v>1182</v>
      </c>
      <c r="K158" s="64">
        <f>INDEX('FY 22 OFA Shell'!$S$27:$S$195,MATCH(Data!H158,'FY 22 OFA Shell'!$H$27:$H$195,0))</f>
        <v>278</v>
      </c>
      <c r="L158" s="150">
        <f t="shared" si="90"/>
        <v>0.1797743239070953</v>
      </c>
      <c r="M158" s="149">
        <f>MAX(((L158-Inputs!$E$23)*Data!I158)*Inputs!$E$24,0)</f>
        <v>0</v>
      </c>
      <c r="N158" s="151">
        <f>INDEX('FY 22 OFA Shell'!$V$27:$V$195,MATCH(Data!H158,'FY 22 OFA Shell'!$H$27:$H$195,0))</f>
        <v>6977094664.6700001</v>
      </c>
      <c r="O158" s="63">
        <f>INDEX('FY 22 OFA Shell'!$W$27:$W$195,MATCH(Data!H158,'FY 22 OFA Shell'!$H$27:$H$195,0))</f>
        <v>36174</v>
      </c>
      <c r="P158" s="65">
        <f>INDEX('FY 22 OFA Shell'!$Z$27:$Z$195,MATCH(Data!H158,'FY 22 OFA Shell'!$H$27:$H$195,0))</f>
        <v>118707</v>
      </c>
      <c r="Q158" s="63">
        <f>INDEX('FY 22 OFA Shell'!$AF$27:$AF$195,MATCH(Data!H158,'FY 22 OFA Shell'!$H$27:$H$195,0))</f>
        <v>0</v>
      </c>
      <c r="R158" s="66">
        <f>INDEX('FY 22 OFA Shell'!$AG$27:$AG$195,MATCH(Data!H158,'FY 22 OFA Shell'!$H$27:$H$195,0))</f>
        <v>0</v>
      </c>
      <c r="S158" s="66">
        <f>INDEX('FY 22 OFA Shell'!$AJ$27:$AJ$195,MATCH(Data!H158,'FY 22 OFA Shell'!$H$27:$H$195,0))</f>
        <v>0</v>
      </c>
      <c r="T158" s="66">
        <f>INDEX('FY 22 OFA Shell'!$AK$27:$AK$195,MATCH(Data!H158,'FY 22 OFA Shell'!$H$27:$H$195,0))</f>
        <v>0</v>
      </c>
      <c r="U158" s="135">
        <v>3418401</v>
      </c>
      <c r="V158" s="67">
        <f>ROUND(J158*Inputs!$E$22, 2)</f>
        <v>354.6</v>
      </c>
      <c r="W158" s="68">
        <f>I158+V158+K158*Inputs!$E$28+Data!M158</f>
        <v>6999.01</v>
      </c>
      <c r="X158" s="69">
        <f t="shared" si="78"/>
        <v>192875.95</v>
      </c>
      <c r="Y158" s="70">
        <f>ROUND(X158/Inputs!$E$32, 6)</f>
        <v>1.001814</v>
      </c>
      <c r="Z158" s="70">
        <f>ROUND(P158/Inputs!$E$33, 6)</f>
        <v>0.98516700000000001</v>
      </c>
      <c r="AA158" s="59">
        <f>ROUND(1-((Y158*Inputs!$E$29)+Z158*Inputs!$E$27), 6)</f>
        <v>3.1800000000000001E-3</v>
      </c>
      <c r="AB158" s="59">
        <v>217.6285489845896</v>
      </c>
      <c r="AC158" s="73">
        <f>INDEX('FY 22 OFA Shell'!$G$27:$G$195,MATCH(Data!H158,'FY 22 OFA Shell'!$H$27:$H$195,0))</f>
        <v>103</v>
      </c>
      <c r="AD158" s="73">
        <f t="shared" si="91"/>
        <v>5</v>
      </c>
      <c r="AE158" s="65">
        <v>3418401</v>
      </c>
      <c r="AF158" s="65">
        <f t="shared" si="79"/>
        <v>-2611765</v>
      </c>
      <c r="AG158" s="65">
        <f t="shared" si="80"/>
        <v>-2611765</v>
      </c>
      <c r="AH158" s="52">
        <v>2936881</v>
      </c>
      <c r="AI158" s="107">
        <v>2759291</v>
      </c>
      <c r="AJ158">
        <v>1</v>
      </c>
      <c r="AK158">
        <v>1272.4879333040808</v>
      </c>
      <c r="AL158" s="165">
        <f>INDEX('FY 22 OFA Shell'!$AU$27:$AU$195,MATCH(Data!H158,'FY 22 OFA Shell'!$H$27:$H$195,0))</f>
        <v>2323541</v>
      </c>
      <c r="AM158" s="165">
        <f>Outputs!H163</f>
        <v>806636</v>
      </c>
      <c r="AN158" s="165">
        <f>Outputs!G163+Outputs!D163+Outputs!F163</f>
        <v>806636</v>
      </c>
      <c r="AO158" s="165">
        <v>2540838</v>
      </c>
      <c r="AP158" s="165">
        <f t="shared" si="92"/>
        <v>2760563.4879333042</v>
      </c>
      <c r="AQ158" s="52" t="str">
        <f t="shared" si="81"/>
        <v>No</v>
      </c>
      <c r="AR158" s="308">
        <f>ABS(IF(AQ158="Yes",AF158*Inputs!$D$50,Data!AF158*Inputs!$D$51))</f>
        <v>0</v>
      </c>
      <c r="AS158" s="308">
        <f t="shared" si="93"/>
        <v>2323541</v>
      </c>
      <c r="AT158" s="308">
        <f t="shared" si="82"/>
        <v>2323541</v>
      </c>
      <c r="AU158" s="308"/>
      <c r="AV158" s="308">
        <f>ABS(IF($AQ158="Yes",$AF158*Inputs!E$50,Data!$AF158*Inputs!E$51))</f>
        <v>0</v>
      </c>
      <c r="AW158" s="308">
        <f>ABS(IF($AQ158="Yes",$AF158*Inputs!F$50,Data!$AF158*Inputs!F$51))</f>
        <v>217560.0245</v>
      </c>
      <c r="AX158" s="308">
        <f>ABS(IF($AQ158="Yes",$AF158*Inputs!G$50,Data!$AF158*Inputs!G$51))</f>
        <v>217560.0245</v>
      </c>
      <c r="AY158" s="308">
        <f>ABS(IF($AQ158="Yes",$AF158*Inputs!H$50,Data!$AF158*Inputs!H$51))</f>
        <v>217560.0245</v>
      </c>
      <c r="AZ158" s="308">
        <f>ABS(IF($AQ158="Yes",$AF158*Inputs!I$50,Data!$AF158*Inputs!I$51))</f>
        <v>217560.0245</v>
      </c>
      <c r="BA158" s="308">
        <f>ABS(IF($AQ158="Yes",$AF158*Inputs!J$50,Data!$AF158*Inputs!J$51))</f>
        <v>217560.0245</v>
      </c>
      <c r="BB158" s="308">
        <f>ABS(IF($AQ158="Yes",$AF158*Inputs!K$50,Data!$AF158*Inputs!K$51))</f>
        <v>217560.0245</v>
      </c>
      <c r="BC158" s="308">
        <f>ABS(IF($AQ158="Yes",$AF158*Inputs!L$50,Data!$AF158*Inputs!L$51))</f>
        <v>217560.0245</v>
      </c>
      <c r="BE158" s="308">
        <f t="shared" si="94"/>
        <v>2323541</v>
      </c>
      <c r="BF158" s="308">
        <f t="shared" si="95"/>
        <v>2105980.9755000002</v>
      </c>
      <c r="BG158" s="308">
        <f t="shared" si="96"/>
        <v>1888420.9510000001</v>
      </c>
      <c r="BH158" s="308">
        <f t="shared" si="97"/>
        <v>1670860.9265000001</v>
      </c>
      <c r="BI158" s="308">
        <f t="shared" si="98"/>
        <v>1453300.902</v>
      </c>
      <c r="BJ158" s="308">
        <f t="shared" si="99"/>
        <v>1235740.8774999999</v>
      </c>
      <c r="BK158" s="308">
        <f t="shared" si="100"/>
        <v>1018180.8529999999</v>
      </c>
      <c r="BL158" s="308">
        <f t="shared" si="101"/>
        <v>806636</v>
      </c>
      <c r="BN158" s="308">
        <f t="shared" si="83"/>
        <v>2323541</v>
      </c>
      <c r="BO158" s="308">
        <f t="shared" si="84"/>
        <v>2105980.9755000002</v>
      </c>
      <c r="BP158" s="308">
        <f t="shared" si="85"/>
        <v>1888420.9510000001</v>
      </c>
      <c r="BQ158" s="308">
        <f t="shared" si="86"/>
        <v>1670860.9265000001</v>
      </c>
      <c r="BR158" s="308">
        <f t="shared" si="87"/>
        <v>1453300.902</v>
      </c>
      <c r="BS158" s="308">
        <f t="shared" si="88"/>
        <v>1235740.8774999999</v>
      </c>
      <c r="BT158" s="308">
        <f t="shared" si="89"/>
        <v>1018180.8529999999</v>
      </c>
      <c r="BU158" s="308">
        <f t="shared" si="102"/>
        <v>806636</v>
      </c>
    </row>
    <row r="159" spans="1:73" ht="15" x14ac:dyDescent="0.2">
      <c r="A159" s="62" t="s">
        <v>157</v>
      </c>
      <c r="B159" s="55" t="s">
        <v>8</v>
      </c>
      <c r="C159" s="55"/>
      <c r="D159" s="55"/>
      <c r="E159" s="55"/>
      <c r="F159" s="55"/>
      <c r="G159" s="48">
        <v>4</v>
      </c>
      <c r="H159" s="55">
        <v>145</v>
      </c>
      <c r="I159" s="55">
        <f>INDEX('FY 22 OFA Shell'!$K$27:$K$195,MATCH(Data!H159,'FY 22 OFA Shell'!$H$27:$H$195,0))</f>
        <v>79.930000000000007</v>
      </c>
      <c r="J159" s="55">
        <f>INDEX('FY 22 OFA Shell'!$N$27:$N$195,MATCH(Data!H159,'FY 22 OFA Shell'!$H$27:$H$195,0))</f>
        <v>6</v>
      </c>
      <c r="K159" s="64">
        <f>INDEX('FY 22 OFA Shell'!$S$27:$S$195,MATCH(Data!H159,'FY 22 OFA Shell'!$H$27:$H$195,0))</f>
        <v>0</v>
      </c>
      <c r="L159" s="150">
        <f t="shared" si="90"/>
        <v>7.5065682472163137E-2</v>
      </c>
      <c r="M159" s="149">
        <f>MAX(((L159-Inputs!$E$23)*Data!I159)*Inputs!$E$24,0)</f>
        <v>0</v>
      </c>
      <c r="N159" s="151">
        <f>INDEX('FY 22 OFA Shell'!$V$27:$V$195,MATCH(Data!H159,'FY 22 OFA Shell'!$H$27:$H$195,0))</f>
        <v>132622186</v>
      </c>
      <c r="O159" s="63">
        <f>INDEX('FY 22 OFA Shell'!$W$27:$W$195,MATCH(Data!H159,'FY 22 OFA Shell'!$H$27:$H$195,0))</f>
        <v>873</v>
      </c>
      <c r="P159" s="65">
        <f>INDEX('FY 22 OFA Shell'!$Z$27:$Z$195,MATCH(Data!H159,'FY 22 OFA Shell'!$H$27:$H$195,0))</f>
        <v>90714</v>
      </c>
      <c r="Q159" s="63">
        <f>INDEX('FY 22 OFA Shell'!$AF$27:$AF$195,MATCH(Data!H159,'FY 22 OFA Shell'!$H$27:$H$195,0))</f>
        <v>0</v>
      </c>
      <c r="R159" s="66">
        <f>INDEX('FY 22 OFA Shell'!$AG$27:$AG$195,MATCH(Data!H159,'FY 22 OFA Shell'!$H$27:$H$195,0))</f>
        <v>0</v>
      </c>
      <c r="S159" s="66">
        <f>INDEX('FY 22 OFA Shell'!$AJ$27:$AJ$195,MATCH(Data!H159,'FY 22 OFA Shell'!$H$27:$H$195,0))</f>
        <v>34</v>
      </c>
      <c r="T159" s="66">
        <f>INDEX('FY 22 OFA Shell'!$AK$27:$AK$195,MATCH(Data!H159,'FY 22 OFA Shell'!$H$27:$H$195,0))</f>
        <v>4</v>
      </c>
      <c r="U159" s="135">
        <v>237166</v>
      </c>
      <c r="V159" s="67">
        <f>ROUND(J159*Inputs!$E$22, 2)</f>
        <v>1.8</v>
      </c>
      <c r="W159" s="68">
        <f>I159+V159+K159*Inputs!$E$28+Data!M159</f>
        <v>81.73</v>
      </c>
      <c r="X159" s="69">
        <f t="shared" si="78"/>
        <v>151915.45000000001</v>
      </c>
      <c r="Y159" s="70">
        <f>ROUND(X159/Inputs!$E$32, 6)</f>
        <v>0.78906100000000001</v>
      </c>
      <c r="Z159" s="70">
        <f>ROUND(P159/Inputs!$E$33, 6)</f>
        <v>0.75284899999999999</v>
      </c>
      <c r="AA159" s="59">
        <f>ROUND(1-((Y159*Inputs!$E$29)+Z159*Inputs!$E$27), 6)</f>
        <v>0.221803</v>
      </c>
      <c r="AB159" s="59">
        <v>227.71497425918034</v>
      </c>
      <c r="AC159" s="73">
        <f>INDEX('FY 22 OFA Shell'!$G$27:$G$195,MATCH(Data!H159,'FY 22 OFA Shell'!$H$27:$H$195,0))</f>
        <v>115</v>
      </c>
      <c r="AD159" s="73">
        <f t="shared" si="91"/>
        <v>5</v>
      </c>
      <c r="AE159" s="65">
        <v>237166</v>
      </c>
      <c r="AF159" s="65">
        <f t="shared" si="79"/>
        <v>-14641</v>
      </c>
      <c r="AG159" s="65">
        <f t="shared" si="80"/>
        <v>-14641</v>
      </c>
      <c r="AH159" s="52">
        <v>206383</v>
      </c>
      <c r="AI159" s="107">
        <v>220822</v>
      </c>
      <c r="AJ159"/>
      <c r="AK159">
        <v>0</v>
      </c>
      <c r="AL159" s="165">
        <f>INDEX('FY 22 OFA Shell'!$AU$27:$AU$195,MATCH(Data!H159,'FY 22 OFA Shell'!$H$27:$H$195,0))</f>
        <v>211728</v>
      </c>
      <c r="AM159" s="165">
        <f>Outputs!H164</f>
        <v>222525</v>
      </c>
      <c r="AN159" s="165">
        <f>Outputs!G164+Outputs!D164+Outputs!F164</f>
        <v>222525</v>
      </c>
      <c r="AO159" s="165">
        <v>218095</v>
      </c>
      <c r="AP159" s="165">
        <f t="shared" si="92"/>
        <v>220822</v>
      </c>
      <c r="AQ159" s="52" t="str">
        <f t="shared" si="81"/>
        <v>No</v>
      </c>
      <c r="AR159" s="308">
        <f>ABS(IF(AQ159="Yes",AF159*Inputs!$D$50,Data!AF159*Inputs!$D$51))</f>
        <v>0</v>
      </c>
      <c r="AS159" s="308">
        <f t="shared" si="93"/>
        <v>211728</v>
      </c>
      <c r="AT159" s="308">
        <f t="shared" si="82"/>
        <v>211728</v>
      </c>
      <c r="AU159" s="308"/>
      <c r="AV159" s="308">
        <f>ABS(IF($AQ159="Yes",$AF159*Inputs!E$50,Data!$AF159*Inputs!E$51))</f>
        <v>0</v>
      </c>
      <c r="AW159" s="308">
        <f>ABS(IF($AQ159="Yes",$AF159*Inputs!F$50,Data!$AF159*Inputs!F$51))</f>
        <v>1219.5953</v>
      </c>
      <c r="AX159" s="308">
        <f>ABS(IF($AQ159="Yes",$AF159*Inputs!G$50,Data!$AF159*Inputs!G$51))</f>
        <v>1219.5953</v>
      </c>
      <c r="AY159" s="308">
        <f>ABS(IF($AQ159="Yes",$AF159*Inputs!H$50,Data!$AF159*Inputs!H$51))</f>
        <v>1219.5953</v>
      </c>
      <c r="AZ159" s="308">
        <f>ABS(IF($AQ159="Yes",$AF159*Inputs!I$50,Data!$AF159*Inputs!I$51))</f>
        <v>1219.5953</v>
      </c>
      <c r="BA159" s="308">
        <f>ABS(IF($AQ159="Yes",$AF159*Inputs!J$50,Data!$AF159*Inputs!J$51))</f>
        <v>1219.5953</v>
      </c>
      <c r="BB159" s="308">
        <f>ABS(IF($AQ159="Yes",$AF159*Inputs!K$50,Data!$AF159*Inputs!K$51))</f>
        <v>1219.5953</v>
      </c>
      <c r="BC159" s="308">
        <f>ABS(IF($AQ159="Yes",$AF159*Inputs!L$50,Data!$AF159*Inputs!L$51))</f>
        <v>1219.5953</v>
      </c>
      <c r="BE159" s="308">
        <f t="shared" si="94"/>
        <v>211728</v>
      </c>
      <c r="BF159" s="308">
        <f t="shared" si="95"/>
        <v>210508.40470000001</v>
      </c>
      <c r="BG159" s="308">
        <f t="shared" si="96"/>
        <v>209288.80940000003</v>
      </c>
      <c r="BH159" s="308">
        <f t="shared" si="97"/>
        <v>208069.21410000004</v>
      </c>
      <c r="BI159" s="308">
        <f t="shared" si="98"/>
        <v>206849.61880000005</v>
      </c>
      <c r="BJ159" s="308">
        <f t="shared" si="99"/>
        <v>205630.02350000007</v>
      </c>
      <c r="BK159" s="308">
        <f t="shared" si="100"/>
        <v>204410.42820000008</v>
      </c>
      <c r="BL159" s="308">
        <f t="shared" si="101"/>
        <v>222525</v>
      </c>
      <c r="BN159" s="308">
        <f t="shared" si="83"/>
        <v>211728</v>
      </c>
      <c r="BO159" s="308">
        <f t="shared" si="84"/>
        <v>210508.40470000001</v>
      </c>
      <c r="BP159" s="308">
        <f t="shared" si="85"/>
        <v>209288.80940000003</v>
      </c>
      <c r="BQ159" s="308">
        <f t="shared" si="86"/>
        <v>208069.21410000004</v>
      </c>
      <c r="BR159" s="308">
        <f t="shared" si="87"/>
        <v>206849.61880000005</v>
      </c>
      <c r="BS159" s="308">
        <f t="shared" si="88"/>
        <v>205630.02350000007</v>
      </c>
      <c r="BT159" s="308">
        <f t="shared" si="89"/>
        <v>204410.42820000008</v>
      </c>
      <c r="BU159" s="308">
        <f t="shared" si="102"/>
        <v>222525</v>
      </c>
    </row>
    <row r="160" spans="1:73" ht="15" x14ac:dyDescent="0.2">
      <c r="A160" s="62" t="s">
        <v>158</v>
      </c>
      <c r="B160" s="55" t="s">
        <v>19</v>
      </c>
      <c r="C160" s="55"/>
      <c r="D160" s="55">
        <v>1</v>
      </c>
      <c r="E160" s="55">
        <v>1</v>
      </c>
      <c r="F160" s="55"/>
      <c r="G160" s="48">
        <v>9</v>
      </c>
      <c r="H160" s="55">
        <v>146</v>
      </c>
      <c r="I160" s="55">
        <f>INDEX('FY 22 OFA Shell'!$K$27:$K$195,MATCH(Data!H160,'FY 22 OFA Shell'!$H$27:$H$195,0))</f>
        <v>3254.16</v>
      </c>
      <c r="J160" s="55">
        <f>INDEX('FY 22 OFA Shell'!$N$27:$N$195,MATCH(Data!H160,'FY 22 OFA Shell'!$H$27:$H$195,0))</f>
        <v>1797</v>
      </c>
      <c r="K160" s="64">
        <f>INDEX('FY 22 OFA Shell'!$S$27:$S$195,MATCH(Data!H160,'FY 22 OFA Shell'!$H$27:$H$195,0))</f>
        <v>126</v>
      </c>
      <c r="L160" s="150">
        <f t="shared" si="90"/>
        <v>0.55221624013570325</v>
      </c>
      <c r="M160" s="149">
        <f>MAX(((L160-Inputs!$E$23)*Data!I160)*Inputs!$E$24,0)</f>
        <v>0</v>
      </c>
      <c r="N160" s="151">
        <f>INDEX('FY 22 OFA Shell'!$V$27:$V$195,MATCH(Data!H160,'FY 22 OFA Shell'!$H$27:$H$195,0))</f>
        <v>2787214755.3299999</v>
      </c>
      <c r="O160" s="63">
        <f>INDEX('FY 22 OFA Shell'!$W$27:$W$195,MATCH(Data!H160,'FY 22 OFA Shell'!$H$27:$H$195,0))</f>
        <v>29157</v>
      </c>
      <c r="P160" s="65">
        <f>INDEX('FY 22 OFA Shell'!$Z$27:$Z$195,MATCH(Data!H160,'FY 22 OFA Shell'!$H$27:$H$195,0))</f>
        <v>62566</v>
      </c>
      <c r="Q160" s="63">
        <f>INDEX('FY 22 OFA Shell'!$AF$27:$AF$195,MATCH(Data!H160,'FY 22 OFA Shell'!$H$27:$H$195,0))</f>
        <v>0</v>
      </c>
      <c r="R160" s="66">
        <f>INDEX('FY 22 OFA Shell'!$AG$27:$AG$195,MATCH(Data!H160,'FY 22 OFA Shell'!$H$27:$H$195,0))</f>
        <v>0</v>
      </c>
      <c r="S160" s="66">
        <f>INDEX('FY 22 OFA Shell'!$AJ$27:$AJ$195,MATCH(Data!H160,'FY 22 OFA Shell'!$H$27:$H$195,0))</f>
        <v>0</v>
      </c>
      <c r="T160" s="66">
        <f>INDEX('FY 22 OFA Shell'!$AK$27:$AK$195,MATCH(Data!H160,'FY 22 OFA Shell'!$H$27:$H$195,0))</f>
        <v>0</v>
      </c>
      <c r="U160" s="135">
        <v>19250233</v>
      </c>
      <c r="V160" s="67">
        <f>ROUND(J160*Inputs!$E$22, 2)</f>
        <v>539.1</v>
      </c>
      <c r="W160" s="68">
        <f>I160+V160+K160*Inputs!$E$28+Data!M160</f>
        <v>3824.7599999999998</v>
      </c>
      <c r="X160" s="69">
        <f t="shared" si="78"/>
        <v>95593.33</v>
      </c>
      <c r="Y160" s="70">
        <f>ROUND(X160/Inputs!$E$32, 6)</f>
        <v>0.49652000000000002</v>
      </c>
      <c r="Z160" s="70">
        <f>ROUND(P160/Inputs!$E$33, 6)</f>
        <v>0.51924499999999996</v>
      </c>
      <c r="AA160" s="59">
        <f>ROUND(1-((Y160*Inputs!$E$29)+Z160*Inputs!$E$27), 6)</f>
        <v>0.49666300000000002</v>
      </c>
      <c r="AB160" s="59">
        <v>283.13078146263609</v>
      </c>
      <c r="AC160" s="73">
        <f>INDEX('FY 22 OFA Shell'!$G$27:$G$195,MATCH(Data!H160,'FY 22 OFA Shell'!$H$27:$H$195,0))</f>
        <v>19</v>
      </c>
      <c r="AD160" s="73">
        <f t="shared" si="91"/>
        <v>4</v>
      </c>
      <c r="AE160" s="65">
        <v>19250233</v>
      </c>
      <c r="AF160" s="65">
        <f t="shared" si="79"/>
        <v>3965261</v>
      </c>
      <c r="AG160" s="65">
        <f t="shared" si="80"/>
        <v>3965261</v>
      </c>
      <c r="AH160" s="52">
        <v>19099380</v>
      </c>
      <c r="AI160" s="107">
        <v>19374119.460999999</v>
      </c>
      <c r="AJ160">
        <v>7</v>
      </c>
      <c r="AK160">
        <v>8907.4155331285656</v>
      </c>
      <c r="AL160" s="165">
        <f>INDEX('FY 22 OFA Shell'!$AU$27:$AU$195,MATCH(Data!H160,'FY 22 OFA Shell'!$H$27:$H$195,0))</f>
        <v>20170089</v>
      </c>
      <c r="AM160" s="165">
        <f>Outputs!H165</f>
        <v>23215494</v>
      </c>
      <c r="AN160" s="165">
        <f>Outputs!G165+Outputs!D165+Outputs!F165</f>
        <v>23215494</v>
      </c>
      <c r="AO160" s="165">
        <v>19782981</v>
      </c>
      <c r="AP160" s="165">
        <f t="shared" si="92"/>
        <v>19383026.876533128</v>
      </c>
      <c r="AQ160" s="52" t="str">
        <f t="shared" si="81"/>
        <v>Yes</v>
      </c>
      <c r="AR160" s="308">
        <f>ABS(IF(AQ160="Yes",AF160*Inputs!$D$50,Data!AF160*Inputs!$D$51))</f>
        <v>422696.82260000001</v>
      </c>
      <c r="AS160" s="308">
        <f t="shared" si="93"/>
        <v>20592785.8226</v>
      </c>
      <c r="AT160" s="308">
        <f t="shared" si="82"/>
        <v>20592785.8226</v>
      </c>
      <c r="AU160" s="308"/>
      <c r="AV160" s="308">
        <f>ABS(IF($AQ160="Yes",$AF160*Inputs!E$50,Data!$AF160*Inputs!E$51))</f>
        <v>422696.82260000001</v>
      </c>
      <c r="AW160" s="308">
        <f>ABS(IF($AQ160="Yes",$AF160*Inputs!F$50,Data!$AF160*Inputs!F$51))</f>
        <v>422696.82260000001</v>
      </c>
      <c r="AX160" s="308">
        <f>ABS(IF($AQ160="Yes",$AF160*Inputs!G$50,Data!$AF160*Inputs!G$51))</f>
        <v>422696.82260000001</v>
      </c>
      <c r="AY160" s="308">
        <f>ABS(IF($AQ160="Yes",$AF160*Inputs!H$50,Data!$AF160*Inputs!H$51))</f>
        <v>422696.82260000001</v>
      </c>
      <c r="AZ160" s="308">
        <f>ABS(IF($AQ160="Yes",$AF160*Inputs!I$50,Data!$AF160*Inputs!I$51))</f>
        <v>422696.82260000001</v>
      </c>
      <c r="BA160" s="308">
        <f>ABS(IF($AQ160="Yes",$AF160*Inputs!J$50,Data!$AF160*Inputs!J$51))</f>
        <v>422696.82260000001</v>
      </c>
      <c r="BB160" s="308">
        <f>ABS(IF($AQ160="Yes",$AF160*Inputs!K$50,Data!$AF160*Inputs!K$51))</f>
        <v>0</v>
      </c>
      <c r="BC160" s="308">
        <f>ABS(IF($AQ160="Yes",$AF160*Inputs!L$50,Data!$AF160*Inputs!L$51))</f>
        <v>0</v>
      </c>
      <c r="BE160" s="308">
        <f t="shared" si="94"/>
        <v>21015482.645199999</v>
      </c>
      <c r="BF160" s="308">
        <f t="shared" si="95"/>
        <v>21438179.467799999</v>
      </c>
      <c r="BG160" s="308">
        <f t="shared" si="96"/>
        <v>21860876.290399998</v>
      </c>
      <c r="BH160" s="308">
        <f t="shared" si="97"/>
        <v>22283573.112999998</v>
      </c>
      <c r="BI160" s="308">
        <f t="shared" si="98"/>
        <v>22706269.935599998</v>
      </c>
      <c r="BJ160" s="308">
        <f t="shared" si="99"/>
        <v>23215494</v>
      </c>
      <c r="BK160" s="308">
        <f t="shared" si="100"/>
        <v>23215494</v>
      </c>
      <c r="BL160" s="308">
        <f t="shared" si="101"/>
        <v>23215494</v>
      </c>
      <c r="BN160" s="308">
        <f t="shared" si="83"/>
        <v>21015482.645199999</v>
      </c>
      <c r="BO160" s="308">
        <f t="shared" si="84"/>
        <v>21438179.467799999</v>
      </c>
      <c r="BP160" s="308">
        <f t="shared" si="85"/>
        <v>21860876.290399998</v>
      </c>
      <c r="BQ160" s="308">
        <f t="shared" si="86"/>
        <v>22283573.112999998</v>
      </c>
      <c r="BR160" s="308">
        <f t="shared" si="87"/>
        <v>22706269.935599998</v>
      </c>
      <c r="BS160" s="308">
        <f t="shared" si="88"/>
        <v>23215494</v>
      </c>
      <c r="BT160" s="308">
        <f t="shared" si="89"/>
        <v>23215494</v>
      </c>
      <c r="BU160" s="308">
        <f t="shared" si="102"/>
        <v>23215494</v>
      </c>
    </row>
    <row r="161" spans="1:73" ht="15" x14ac:dyDescent="0.2">
      <c r="A161" s="62" t="s">
        <v>159</v>
      </c>
      <c r="B161" s="55" t="s">
        <v>32</v>
      </c>
      <c r="C161" s="55"/>
      <c r="D161" s="55"/>
      <c r="E161" s="55"/>
      <c r="F161" s="55"/>
      <c r="G161" s="48">
        <v>8</v>
      </c>
      <c r="H161" s="55">
        <v>147</v>
      </c>
      <c r="I161" s="55">
        <f>INDEX('FY 22 OFA Shell'!$K$27:$K$195,MATCH(Data!H161,'FY 22 OFA Shell'!$H$27:$H$195,0))</f>
        <v>317.20999999999998</v>
      </c>
      <c r="J161" s="55">
        <f>INDEX('FY 22 OFA Shell'!$N$27:$N$195,MATCH(Data!H161,'FY 22 OFA Shell'!$H$27:$H$195,0))</f>
        <v>85</v>
      </c>
      <c r="K161" s="64">
        <f>INDEX('FY 22 OFA Shell'!$S$27:$S$195,MATCH(Data!H161,'FY 22 OFA Shell'!$H$27:$H$195,0))</f>
        <v>0</v>
      </c>
      <c r="L161" s="150">
        <f t="shared" si="90"/>
        <v>0.26796128747517417</v>
      </c>
      <c r="M161" s="149">
        <f>MAX(((L161-Inputs!$E$23)*Data!I161)*Inputs!$E$24,0)</f>
        <v>0</v>
      </c>
      <c r="N161" s="151">
        <f>INDEX('FY 22 OFA Shell'!$V$27:$V$195,MATCH(Data!H161,'FY 22 OFA Shell'!$H$27:$H$195,0))</f>
        <v>313503038.32999998</v>
      </c>
      <c r="O161" s="63">
        <f>INDEX('FY 22 OFA Shell'!$W$27:$W$195,MATCH(Data!H161,'FY 22 OFA Shell'!$H$27:$H$195,0))</f>
        <v>2559</v>
      </c>
      <c r="P161" s="65">
        <f>INDEX('FY 22 OFA Shell'!$Z$27:$Z$195,MATCH(Data!H161,'FY 22 OFA Shell'!$H$27:$H$195,0))</f>
        <v>75673</v>
      </c>
      <c r="Q161" s="63">
        <f>INDEX('FY 22 OFA Shell'!$AF$27:$AF$195,MATCH(Data!H161,'FY 22 OFA Shell'!$H$27:$H$195,0))</f>
        <v>0</v>
      </c>
      <c r="R161" s="66">
        <f>INDEX('FY 22 OFA Shell'!$AG$27:$AG$195,MATCH(Data!H161,'FY 22 OFA Shell'!$H$27:$H$195,0))</f>
        <v>0</v>
      </c>
      <c r="S161" s="66">
        <f>INDEX('FY 22 OFA Shell'!$AJ$27:$AJ$195,MATCH(Data!H161,'FY 22 OFA Shell'!$H$27:$H$195,0))</f>
        <v>52</v>
      </c>
      <c r="T161" s="66">
        <f>INDEX('FY 22 OFA Shell'!$AK$27:$AK$195,MATCH(Data!H161,'FY 22 OFA Shell'!$H$27:$H$195,0))</f>
        <v>4</v>
      </c>
      <c r="U161" s="135">
        <v>2502621</v>
      </c>
      <c r="V161" s="67">
        <f>ROUND(J161*Inputs!$E$22, 2)</f>
        <v>25.5</v>
      </c>
      <c r="W161" s="68">
        <f>I161+V161+K161*Inputs!$E$28+Data!M161</f>
        <v>342.71</v>
      </c>
      <c r="X161" s="69">
        <f t="shared" si="78"/>
        <v>122509.98</v>
      </c>
      <c r="Y161" s="70">
        <f>ROUND(X161/Inputs!$E$32, 6)</f>
        <v>0.63632699999999998</v>
      </c>
      <c r="Z161" s="70">
        <f>ROUND(P161/Inputs!$E$33, 6)</f>
        <v>0.62802199999999997</v>
      </c>
      <c r="AA161" s="59">
        <f>ROUND(1-((Y161*Inputs!$E$29)+Z161*Inputs!$E$27), 6)</f>
        <v>0.36616500000000002</v>
      </c>
      <c r="AB161" s="59">
        <v>259.85952291865129</v>
      </c>
      <c r="AC161" s="73">
        <f>INDEX('FY 22 OFA Shell'!$G$27:$G$195,MATCH(Data!H161,'FY 22 OFA Shell'!$H$27:$H$195,0))</f>
        <v>35</v>
      </c>
      <c r="AD161" s="73">
        <f t="shared" si="91"/>
        <v>5</v>
      </c>
      <c r="AE161" s="65">
        <v>2502621</v>
      </c>
      <c r="AF161" s="65">
        <f t="shared" si="79"/>
        <v>-1035567</v>
      </c>
      <c r="AG161" s="65">
        <f t="shared" si="80"/>
        <v>-1035567</v>
      </c>
      <c r="AH161" s="52">
        <v>2174691</v>
      </c>
      <c r="AI161" s="107">
        <v>2292636</v>
      </c>
      <c r="AJ161"/>
      <c r="AK161">
        <v>0</v>
      </c>
      <c r="AL161" s="165">
        <f>INDEX('FY 22 OFA Shell'!$AU$27:$AU$195,MATCH(Data!H161,'FY 22 OFA Shell'!$H$27:$H$195,0))</f>
        <v>2117243</v>
      </c>
      <c r="AM161" s="165">
        <f>Outputs!H166</f>
        <v>1467054</v>
      </c>
      <c r="AN161" s="165">
        <f>Outputs!G166+Outputs!D166+Outputs!F166</f>
        <v>1467054</v>
      </c>
      <c r="AO161" s="165">
        <v>2206589</v>
      </c>
      <c r="AP161" s="165">
        <f t="shared" si="92"/>
        <v>2292636</v>
      </c>
      <c r="AQ161" s="52" t="str">
        <f t="shared" si="81"/>
        <v>No</v>
      </c>
      <c r="AR161" s="308">
        <f>ABS(IF(AQ161="Yes",AF161*Inputs!$D$50,Data!AF161*Inputs!$D$51))</f>
        <v>0</v>
      </c>
      <c r="AS161" s="308">
        <f t="shared" si="93"/>
        <v>2117243</v>
      </c>
      <c r="AT161" s="308">
        <f t="shared" si="82"/>
        <v>2117243</v>
      </c>
      <c r="AU161" s="308"/>
      <c r="AV161" s="308">
        <f>ABS(IF($AQ161="Yes",$AF161*Inputs!E$50,Data!$AF161*Inputs!E$51))</f>
        <v>0</v>
      </c>
      <c r="AW161" s="308">
        <f>ABS(IF($AQ161="Yes",$AF161*Inputs!F$50,Data!$AF161*Inputs!F$51))</f>
        <v>86262.731100000005</v>
      </c>
      <c r="AX161" s="308">
        <f>ABS(IF($AQ161="Yes",$AF161*Inputs!G$50,Data!$AF161*Inputs!G$51))</f>
        <v>86262.731100000005</v>
      </c>
      <c r="AY161" s="308">
        <f>ABS(IF($AQ161="Yes",$AF161*Inputs!H$50,Data!$AF161*Inputs!H$51))</f>
        <v>86262.731100000005</v>
      </c>
      <c r="AZ161" s="308">
        <f>ABS(IF($AQ161="Yes",$AF161*Inputs!I$50,Data!$AF161*Inputs!I$51))</f>
        <v>86262.731100000005</v>
      </c>
      <c r="BA161" s="308">
        <f>ABS(IF($AQ161="Yes",$AF161*Inputs!J$50,Data!$AF161*Inputs!J$51))</f>
        <v>86262.731100000005</v>
      </c>
      <c r="BB161" s="308">
        <f>ABS(IF($AQ161="Yes",$AF161*Inputs!K$50,Data!$AF161*Inputs!K$51))</f>
        <v>86262.731100000005</v>
      </c>
      <c r="BC161" s="308">
        <f>ABS(IF($AQ161="Yes",$AF161*Inputs!L$50,Data!$AF161*Inputs!L$51))</f>
        <v>86262.731100000005</v>
      </c>
      <c r="BE161" s="308">
        <f t="shared" si="94"/>
        <v>2117243</v>
      </c>
      <c r="BF161" s="308">
        <f t="shared" si="95"/>
        <v>2030980.2689</v>
      </c>
      <c r="BG161" s="308">
        <f t="shared" si="96"/>
        <v>1944717.5378</v>
      </c>
      <c r="BH161" s="308">
        <f t="shared" si="97"/>
        <v>1858454.8067000001</v>
      </c>
      <c r="BI161" s="308">
        <f t="shared" si="98"/>
        <v>1772192.0756000001</v>
      </c>
      <c r="BJ161" s="308">
        <f t="shared" si="99"/>
        <v>1685929.3445000001</v>
      </c>
      <c r="BK161" s="308">
        <f t="shared" si="100"/>
        <v>1599666.6134000001</v>
      </c>
      <c r="BL161" s="308">
        <f t="shared" si="101"/>
        <v>1467054</v>
      </c>
      <c r="BN161" s="308">
        <f t="shared" si="83"/>
        <v>2117243</v>
      </c>
      <c r="BO161" s="308">
        <f t="shared" si="84"/>
        <v>2030980.2689</v>
      </c>
      <c r="BP161" s="308">
        <f t="shared" si="85"/>
        <v>1944717.5378</v>
      </c>
      <c r="BQ161" s="308">
        <f t="shared" si="86"/>
        <v>1858454.8067000001</v>
      </c>
      <c r="BR161" s="308">
        <f t="shared" si="87"/>
        <v>1772192.0756000001</v>
      </c>
      <c r="BS161" s="308">
        <f t="shared" si="88"/>
        <v>1685929.3445000001</v>
      </c>
      <c r="BT161" s="308">
        <f t="shared" si="89"/>
        <v>1599666.6134000001</v>
      </c>
      <c r="BU161" s="308">
        <f t="shared" si="102"/>
        <v>1467054</v>
      </c>
    </row>
    <row r="162" spans="1:73" ht="15" x14ac:dyDescent="0.2">
      <c r="A162" s="62" t="s">
        <v>160</v>
      </c>
      <c r="B162" s="55" t="s">
        <v>14</v>
      </c>
      <c r="C162" s="55"/>
      <c r="D162" s="55"/>
      <c r="E162" s="55"/>
      <c r="F162" s="55"/>
      <c r="G162" s="48">
        <v>6</v>
      </c>
      <c r="H162" s="55">
        <v>148</v>
      </c>
      <c r="I162" s="55">
        <f>INDEX('FY 22 OFA Shell'!$K$27:$K$195,MATCH(Data!H162,'FY 22 OFA Shell'!$H$27:$H$195,0))</f>
        <v>5424.67</v>
      </c>
      <c r="J162" s="55">
        <f>INDEX('FY 22 OFA Shell'!$N$27:$N$195,MATCH(Data!H162,'FY 22 OFA Shell'!$H$27:$H$195,0))</f>
        <v>1773</v>
      </c>
      <c r="K162" s="64">
        <f>INDEX('FY 22 OFA Shell'!$S$27:$S$195,MATCH(Data!H162,'FY 22 OFA Shell'!$H$27:$H$195,0))</f>
        <v>326</v>
      </c>
      <c r="L162" s="150">
        <f t="shared" si="90"/>
        <v>0.32684015801882876</v>
      </c>
      <c r="M162" s="149">
        <f>MAX(((L162-Inputs!$E$23)*Data!I162)*Inputs!$E$24,0)</f>
        <v>0</v>
      </c>
      <c r="N162" s="151">
        <f>INDEX('FY 22 OFA Shell'!$V$27:$V$195,MATCH(Data!H162,'FY 22 OFA Shell'!$H$27:$H$195,0))</f>
        <v>6344589339</v>
      </c>
      <c r="O162" s="63">
        <f>INDEX('FY 22 OFA Shell'!$W$27:$W$195,MATCH(Data!H162,'FY 22 OFA Shell'!$H$27:$H$195,0))</f>
        <v>44771</v>
      </c>
      <c r="P162" s="65">
        <f>INDEX('FY 22 OFA Shell'!$Z$27:$Z$195,MATCH(Data!H162,'FY 22 OFA Shell'!$H$27:$H$195,0))</f>
        <v>79420</v>
      </c>
      <c r="Q162" s="63">
        <f>INDEX('FY 22 OFA Shell'!$AF$27:$AF$195,MATCH(Data!H162,'FY 22 OFA Shell'!$H$27:$H$195,0))</f>
        <v>0</v>
      </c>
      <c r="R162" s="66">
        <f>INDEX('FY 22 OFA Shell'!$AG$27:$AG$195,MATCH(Data!H162,'FY 22 OFA Shell'!$H$27:$H$195,0))</f>
        <v>0</v>
      </c>
      <c r="S162" s="66">
        <f>INDEX('FY 22 OFA Shell'!$AJ$27:$AJ$195,MATCH(Data!H162,'FY 22 OFA Shell'!$H$27:$H$195,0))</f>
        <v>0</v>
      </c>
      <c r="T162" s="66">
        <f>INDEX('FY 22 OFA Shell'!$AK$27:$AK$195,MATCH(Data!H162,'FY 22 OFA Shell'!$H$27:$H$195,0))</f>
        <v>0</v>
      </c>
      <c r="U162" s="135">
        <v>21301522</v>
      </c>
      <c r="V162" s="67">
        <f>ROUND(J162*Inputs!$E$22, 2)</f>
        <v>531.9</v>
      </c>
      <c r="W162" s="68">
        <f>I162+V162+K162*Inputs!$E$28+Data!M162</f>
        <v>6038.07</v>
      </c>
      <c r="X162" s="69">
        <f t="shared" si="78"/>
        <v>141712.03</v>
      </c>
      <c r="Y162" s="70">
        <f>ROUND(X162/Inputs!$E$32, 6)</f>
        <v>0.73606400000000005</v>
      </c>
      <c r="Z162" s="70">
        <f>ROUND(P162/Inputs!$E$33, 6)</f>
        <v>0.65911900000000001</v>
      </c>
      <c r="AA162" s="59">
        <f>ROUND(1-((Y162*Inputs!$E$29)+Z162*Inputs!$E$27), 6)</f>
        <v>0.28702</v>
      </c>
      <c r="AB162" s="59">
        <v>231.67023831954708</v>
      </c>
      <c r="AC162" s="73">
        <f>INDEX('FY 22 OFA Shell'!$G$27:$G$195,MATCH(Data!H162,'FY 22 OFA Shell'!$H$27:$H$195,0))</f>
        <v>86</v>
      </c>
      <c r="AD162" s="73">
        <f t="shared" si="91"/>
        <v>5</v>
      </c>
      <c r="AE162" s="65">
        <v>21301522</v>
      </c>
      <c r="AF162" s="65">
        <f t="shared" si="79"/>
        <v>-1328157</v>
      </c>
      <c r="AG162" s="65">
        <f t="shared" si="80"/>
        <v>-1328157</v>
      </c>
      <c r="AH162" s="52">
        <v>18460747</v>
      </c>
      <c r="AI162" s="107">
        <v>21036360.5</v>
      </c>
      <c r="AJ162">
        <v>11</v>
      </c>
      <c r="AK162">
        <v>13997.367266344889</v>
      </c>
      <c r="AL162" s="165">
        <f>INDEX('FY 22 OFA Shell'!$AU$27:$AU$195,MATCH(Data!H162,'FY 22 OFA Shell'!$H$27:$H$195,0))</f>
        <v>20855570</v>
      </c>
      <c r="AM162" s="165">
        <f>Outputs!H167</f>
        <v>19973365</v>
      </c>
      <c r="AN162" s="165">
        <f>Outputs!G167+Outputs!D167+Outputs!F167</f>
        <v>19973365</v>
      </c>
      <c r="AO162" s="165">
        <v>20921913</v>
      </c>
      <c r="AP162" s="165">
        <f t="shared" si="92"/>
        <v>21050357.867266346</v>
      </c>
      <c r="AQ162" s="52" t="str">
        <f t="shared" si="81"/>
        <v>No</v>
      </c>
      <c r="AR162" s="308">
        <f>ABS(IF(AQ162="Yes",AF162*Inputs!$D$50,Data!AF162*Inputs!$D$51))</f>
        <v>0</v>
      </c>
      <c r="AS162" s="308">
        <f t="shared" si="93"/>
        <v>20855570</v>
      </c>
      <c r="AT162" s="308">
        <f t="shared" si="82"/>
        <v>20855570</v>
      </c>
      <c r="AU162" s="308"/>
      <c r="AV162" s="308">
        <f>ABS(IF($AQ162="Yes",$AF162*Inputs!E$50,Data!$AF162*Inputs!E$51))</f>
        <v>0</v>
      </c>
      <c r="AW162" s="308">
        <f>ABS(IF($AQ162="Yes",$AF162*Inputs!F$50,Data!$AF162*Inputs!F$51))</f>
        <v>110635.47809999999</v>
      </c>
      <c r="AX162" s="308">
        <f>ABS(IF($AQ162="Yes",$AF162*Inputs!G$50,Data!$AF162*Inputs!G$51))</f>
        <v>110635.47809999999</v>
      </c>
      <c r="AY162" s="308">
        <f>ABS(IF($AQ162="Yes",$AF162*Inputs!H$50,Data!$AF162*Inputs!H$51))</f>
        <v>110635.47809999999</v>
      </c>
      <c r="AZ162" s="308">
        <f>ABS(IF($AQ162="Yes",$AF162*Inputs!I$50,Data!$AF162*Inputs!I$51))</f>
        <v>110635.47809999999</v>
      </c>
      <c r="BA162" s="308">
        <f>ABS(IF($AQ162="Yes",$AF162*Inputs!J$50,Data!$AF162*Inputs!J$51))</f>
        <v>110635.47809999999</v>
      </c>
      <c r="BB162" s="308">
        <f>ABS(IF($AQ162="Yes",$AF162*Inputs!K$50,Data!$AF162*Inputs!K$51))</f>
        <v>110635.47809999999</v>
      </c>
      <c r="BC162" s="308">
        <f>ABS(IF($AQ162="Yes",$AF162*Inputs!L$50,Data!$AF162*Inputs!L$51))</f>
        <v>110635.47809999999</v>
      </c>
      <c r="BE162" s="308">
        <f t="shared" si="94"/>
        <v>20855570</v>
      </c>
      <c r="BF162" s="308">
        <f t="shared" si="95"/>
        <v>20744934.521899998</v>
      </c>
      <c r="BG162" s="308">
        <f t="shared" si="96"/>
        <v>20634299.043799996</v>
      </c>
      <c r="BH162" s="308">
        <f t="shared" si="97"/>
        <v>20523663.565699995</v>
      </c>
      <c r="BI162" s="308">
        <f t="shared" si="98"/>
        <v>20413028.087599993</v>
      </c>
      <c r="BJ162" s="308">
        <f t="shared" si="99"/>
        <v>20302392.609499991</v>
      </c>
      <c r="BK162" s="308">
        <f t="shared" si="100"/>
        <v>20191757.131399989</v>
      </c>
      <c r="BL162" s="308">
        <f t="shared" si="101"/>
        <v>19973365</v>
      </c>
      <c r="BN162" s="308">
        <f t="shared" si="83"/>
        <v>20855570</v>
      </c>
      <c r="BO162" s="308">
        <f t="shared" si="84"/>
        <v>20744934.521899998</v>
      </c>
      <c r="BP162" s="308">
        <f t="shared" si="85"/>
        <v>20634299.043799996</v>
      </c>
      <c r="BQ162" s="308">
        <f t="shared" si="86"/>
        <v>20523663.565699995</v>
      </c>
      <c r="BR162" s="308">
        <f t="shared" si="87"/>
        <v>20413028.087599993</v>
      </c>
      <c r="BS162" s="308">
        <f t="shared" si="88"/>
        <v>20302392.609499991</v>
      </c>
      <c r="BT162" s="308">
        <f t="shared" si="89"/>
        <v>20191757.131399989</v>
      </c>
      <c r="BU162" s="308">
        <f t="shared" si="102"/>
        <v>19973365</v>
      </c>
    </row>
    <row r="163" spans="1:73" ht="15" x14ac:dyDescent="0.2">
      <c r="A163" s="62" t="s">
        <v>161</v>
      </c>
      <c r="B163" s="55" t="s">
        <v>8</v>
      </c>
      <c r="C163" s="55"/>
      <c r="D163" s="55"/>
      <c r="E163" s="55"/>
      <c r="F163" s="55"/>
      <c r="G163" s="48">
        <v>1</v>
      </c>
      <c r="H163" s="55">
        <v>149</v>
      </c>
      <c r="I163" s="55">
        <f>INDEX('FY 22 OFA Shell'!$K$27:$K$195,MATCH(Data!H163,'FY 22 OFA Shell'!$H$27:$H$195,0))</f>
        <v>119.38</v>
      </c>
      <c r="J163" s="55">
        <f>INDEX('FY 22 OFA Shell'!$N$27:$N$195,MATCH(Data!H163,'FY 22 OFA Shell'!$H$27:$H$195,0))</f>
        <v>27</v>
      </c>
      <c r="K163" s="64">
        <f>INDEX('FY 22 OFA Shell'!$S$27:$S$195,MATCH(Data!H163,'FY 22 OFA Shell'!$H$27:$H$195,0))</f>
        <v>0</v>
      </c>
      <c r="L163" s="150">
        <f t="shared" si="90"/>
        <v>0.22616853744345788</v>
      </c>
      <c r="M163" s="149">
        <f>MAX(((L163-Inputs!$E$23)*Data!I163)*Inputs!$E$24,0)</f>
        <v>0</v>
      </c>
      <c r="N163" s="151">
        <f>INDEX('FY 22 OFA Shell'!$V$27:$V$195,MATCH(Data!H163,'FY 22 OFA Shell'!$H$27:$H$195,0))</f>
        <v>557946419</v>
      </c>
      <c r="O163" s="63">
        <f>INDEX('FY 22 OFA Shell'!$W$27:$W$195,MATCH(Data!H163,'FY 22 OFA Shell'!$H$27:$H$195,0))</f>
        <v>1432</v>
      </c>
      <c r="P163" s="65">
        <f>INDEX('FY 22 OFA Shell'!$Z$27:$Z$195,MATCH(Data!H163,'FY 22 OFA Shell'!$H$27:$H$195,0))</f>
        <v>107813</v>
      </c>
      <c r="Q163" s="63">
        <f>INDEX('FY 22 OFA Shell'!$AF$27:$AF$195,MATCH(Data!H163,'FY 22 OFA Shell'!$H$27:$H$195,0))</f>
        <v>121</v>
      </c>
      <c r="R163" s="66">
        <f>INDEX('FY 22 OFA Shell'!$AG$27:$AG$195,MATCH(Data!H163,'FY 22 OFA Shell'!$H$27:$H$195,0))</f>
        <v>13</v>
      </c>
      <c r="S163" s="66">
        <f>INDEX('FY 22 OFA Shell'!$AJ$27:$AJ$195,MATCH(Data!H163,'FY 22 OFA Shell'!$H$27:$H$195,0))</f>
        <v>0</v>
      </c>
      <c r="T163" s="66">
        <f>INDEX('FY 22 OFA Shell'!$AK$27:$AK$195,MATCH(Data!H163,'FY 22 OFA Shell'!$H$27:$H$195,0))</f>
        <v>0</v>
      </c>
      <c r="U163" s="135">
        <v>33205</v>
      </c>
      <c r="V163" s="67">
        <f>ROUND(J163*Inputs!$E$22, 2)</f>
        <v>8.1</v>
      </c>
      <c r="W163" s="68">
        <f>I163+V163+K163*Inputs!$E$28+Data!M163</f>
        <v>127.47999999999999</v>
      </c>
      <c r="X163" s="69">
        <f t="shared" si="78"/>
        <v>389627.39</v>
      </c>
      <c r="Y163" s="70">
        <f>ROUND(X163/Inputs!$E$32, 6)</f>
        <v>2.0237569999999998</v>
      </c>
      <c r="Z163" s="70">
        <f>ROUND(P163/Inputs!$E$33, 6)</f>
        <v>0.894756</v>
      </c>
      <c r="AA163" s="59">
        <f>ROUND(1-((Y163*Inputs!$E$29)+Z163*Inputs!$E$27), 6)</f>
        <v>-0.68505700000000003</v>
      </c>
      <c r="AB163" s="59">
        <v>158.60610497706691</v>
      </c>
      <c r="AC163" s="73">
        <f>INDEX('FY 22 OFA Shell'!$G$27:$G$195,MATCH(Data!H163,'FY 22 OFA Shell'!$H$27:$H$195,0))</f>
        <v>157</v>
      </c>
      <c r="AD163" s="73">
        <f t="shared" si="91"/>
        <v>5</v>
      </c>
      <c r="AE163" s="65">
        <v>33205</v>
      </c>
      <c r="AF163" s="65">
        <f t="shared" si="79"/>
        <v>138787</v>
      </c>
      <c r="AG163" s="65">
        <f t="shared" si="80"/>
        <v>138787</v>
      </c>
      <c r="AH163" s="52">
        <v>28673</v>
      </c>
      <c r="AI163" s="107">
        <v>32510.75</v>
      </c>
      <c r="AJ163"/>
      <c r="AK163">
        <v>0</v>
      </c>
      <c r="AL163" s="165">
        <f>INDEX('FY 22 OFA Shell'!$AU$27:$AU$195,MATCH(Data!H163,'FY 22 OFA Shell'!$H$27:$H$195,0))</f>
        <v>32115</v>
      </c>
      <c r="AM163" s="165">
        <f>Outputs!H168</f>
        <v>171992</v>
      </c>
      <c r="AN163" s="165">
        <f>Outputs!G168+Outputs!D168+Outputs!F168</f>
        <v>171992</v>
      </c>
      <c r="AO163" s="165">
        <v>32317</v>
      </c>
      <c r="AP163" s="165">
        <f t="shared" si="92"/>
        <v>32510.75</v>
      </c>
      <c r="AQ163" s="52" t="str">
        <f t="shared" si="81"/>
        <v>Yes</v>
      </c>
      <c r="AR163" s="308">
        <f>ABS(IF(AQ163="Yes",AF163*Inputs!$D$50,Data!AF163*Inputs!$D$51))</f>
        <v>14794.6942</v>
      </c>
      <c r="AS163" s="308">
        <f t="shared" si="93"/>
        <v>46909.694199999998</v>
      </c>
      <c r="AT163" s="308">
        <f t="shared" si="82"/>
        <v>46909.694199999998</v>
      </c>
      <c r="AU163" s="308"/>
      <c r="AV163" s="308">
        <f>ABS(IF($AQ163="Yes",$AF163*Inputs!E$50,Data!$AF163*Inputs!E$51))</f>
        <v>14794.6942</v>
      </c>
      <c r="AW163" s="308">
        <f>ABS(IF($AQ163="Yes",$AF163*Inputs!F$50,Data!$AF163*Inputs!F$51))</f>
        <v>14794.6942</v>
      </c>
      <c r="AX163" s="308">
        <f>ABS(IF($AQ163="Yes",$AF163*Inputs!G$50,Data!$AF163*Inputs!G$51))</f>
        <v>14794.6942</v>
      </c>
      <c r="AY163" s="308">
        <f>ABS(IF($AQ163="Yes",$AF163*Inputs!H$50,Data!$AF163*Inputs!H$51))</f>
        <v>14794.6942</v>
      </c>
      <c r="AZ163" s="308">
        <f>ABS(IF($AQ163="Yes",$AF163*Inputs!I$50,Data!$AF163*Inputs!I$51))</f>
        <v>14794.6942</v>
      </c>
      <c r="BA163" s="308">
        <f>ABS(IF($AQ163="Yes",$AF163*Inputs!J$50,Data!$AF163*Inputs!J$51))</f>
        <v>14794.6942</v>
      </c>
      <c r="BB163" s="308">
        <f>ABS(IF($AQ163="Yes",$AF163*Inputs!K$50,Data!$AF163*Inputs!K$51))</f>
        <v>0</v>
      </c>
      <c r="BC163" s="308">
        <f>ABS(IF($AQ163="Yes",$AF163*Inputs!L$50,Data!$AF163*Inputs!L$51))</f>
        <v>0</v>
      </c>
      <c r="BE163" s="308">
        <f t="shared" si="94"/>
        <v>61704.388399999996</v>
      </c>
      <c r="BF163" s="308">
        <f t="shared" si="95"/>
        <v>76499.082599999994</v>
      </c>
      <c r="BG163" s="308">
        <f t="shared" si="96"/>
        <v>91293.776799999992</v>
      </c>
      <c r="BH163" s="308">
        <f t="shared" si="97"/>
        <v>106088.47099999999</v>
      </c>
      <c r="BI163" s="308">
        <f t="shared" si="98"/>
        <v>120883.16519999999</v>
      </c>
      <c r="BJ163" s="308">
        <f t="shared" si="99"/>
        <v>171992</v>
      </c>
      <c r="BK163" s="308">
        <f t="shared" si="100"/>
        <v>171992</v>
      </c>
      <c r="BL163" s="308">
        <f t="shared" si="101"/>
        <v>171992</v>
      </c>
      <c r="BN163" s="308">
        <f t="shared" si="83"/>
        <v>61704.388399999996</v>
      </c>
      <c r="BO163" s="308">
        <f t="shared" si="84"/>
        <v>76499.082599999994</v>
      </c>
      <c r="BP163" s="308">
        <f t="shared" si="85"/>
        <v>91293.776799999992</v>
      </c>
      <c r="BQ163" s="308">
        <f t="shared" si="86"/>
        <v>106088.47099999999</v>
      </c>
      <c r="BR163" s="308">
        <f t="shared" si="87"/>
        <v>120883.16519999999</v>
      </c>
      <c r="BS163" s="308">
        <f t="shared" si="88"/>
        <v>171992</v>
      </c>
      <c r="BT163" s="308">
        <f t="shared" si="89"/>
        <v>171992</v>
      </c>
      <c r="BU163" s="308">
        <f t="shared" si="102"/>
        <v>171992</v>
      </c>
    </row>
    <row r="164" spans="1:73" ht="15" x14ac:dyDescent="0.2">
      <c r="A164" s="62" t="s">
        <v>162</v>
      </c>
      <c r="B164" s="55" t="s">
        <v>4</v>
      </c>
      <c r="C164" s="55"/>
      <c r="D164" s="55"/>
      <c r="E164" s="55"/>
      <c r="F164" s="55"/>
      <c r="G164" s="48">
        <v>1</v>
      </c>
      <c r="H164" s="55">
        <v>150</v>
      </c>
      <c r="I164" s="55">
        <f>INDEX('FY 22 OFA Shell'!$K$27:$K$195,MATCH(Data!H164,'FY 22 OFA Shell'!$H$27:$H$195,0))</f>
        <v>257</v>
      </c>
      <c r="J164" s="55">
        <f>INDEX('FY 22 OFA Shell'!$N$27:$N$195,MATCH(Data!H164,'FY 22 OFA Shell'!$H$27:$H$195,0))</f>
        <v>75</v>
      </c>
      <c r="K164" s="64">
        <f>INDEX('FY 22 OFA Shell'!$S$27:$S$195,MATCH(Data!H164,'FY 22 OFA Shell'!$H$27:$H$195,0))</f>
        <v>3</v>
      </c>
      <c r="L164" s="150">
        <f t="shared" si="90"/>
        <v>0.29182879377431908</v>
      </c>
      <c r="M164" s="149">
        <f>MAX(((L164-Inputs!$E$23)*Data!I164)*Inputs!$E$24,0)</f>
        <v>0</v>
      </c>
      <c r="N164" s="151">
        <f>INDEX('FY 22 OFA Shell'!$V$27:$V$195,MATCH(Data!H164,'FY 22 OFA Shell'!$H$27:$H$195,0))</f>
        <v>1671128539.6700001</v>
      </c>
      <c r="O164" s="63">
        <f>INDEX('FY 22 OFA Shell'!$W$27:$W$195,MATCH(Data!H164,'FY 22 OFA Shell'!$H$27:$H$195,0))</f>
        <v>3472</v>
      </c>
      <c r="P164" s="65">
        <f>INDEX('FY 22 OFA Shell'!$Z$27:$Z$195,MATCH(Data!H164,'FY 22 OFA Shell'!$H$27:$H$195,0))</f>
        <v>97604</v>
      </c>
      <c r="Q164" s="63">
        <f>INDEX('FY 22 OFA Shell'!$AF$27:$AF$195,MATCH(Data!H164,'FY 22 OFA Shell'!$H$27:$H$195,0))</f>
        <v>257</v>
      </c>
      <c r="R164" s="66">
        <f>INDEX('FY 22 OFA Shell'!$AG$27:$AG$195,MATCH(Data!H164,'FY 22 OFA Shell'!$H$27:$H$195,0))</f>
        <v>13</v>
      </c>
      <c r="S164" s="66">
        <f>INDEX('FY 22 OFA Shell'!$AJ$27:$AJ$195,MATCH(Data!H164,'FY 22 OFA Shell'!$H$27:$H$195,0))</f>
        <v>0</v>
      </c>
      <c r="T164" s="66">
        <f>INDEX('FY 22 OFA Shell'!$AK$27:$AK$195,MATCH(Data!H164,'FY 22 OFA Shell'!$H$27:$H$195,0))</f>
        <v>0</v>
      </c>
      <c r="U164" s="135">
        <v>50646</v>
      </c>
      <c r="V164" s="67">
        <f>ROUND(J164*Inputs!$E$22, 2)</f>
        <v>22.5</v>
      </c>
      <c r="W164" s="68">
        <f>I164+V164+K164*Inputs!$E$28+Data!M164</f>
        <v>280.25</v>
      </c>
      <c r="X164" s="69">
        <f t="shared" si="78"/>
        <v>481315.82</v>
      </c>
      <c r="Y164" s="70">
        <f>ROUND(X164/Inputs!$E$32, 6)</f>
        <v>2.499994</v>
      </c>
      <c r="Z164" s="70">
        <f>ROUND(P164/Inputs!$E$33, 6)</f>
        <v>0.81003000000000003</v>
      </c>
      <c r="AA164" s="59">
        <f>ROUND(1-((Y164*Inputs!$E$29)+Z164*Inputs!$E$27), 6)</f>
        <v>-0.99300500000000003</v>
      </c>
      <c r="AB164" s="59">
        <v>129.98329043510034</v>
      </c>
      <c r="AC164" s="73">
        <f>INDEX('FY 22 OFA Shell'!$G$27:$G$195,MATCH(Data!H164,'FY 22 OFA Shell'!$H$27:$H$195,0))</f>
        <v>164</v>
      </c>
      <c r="AD164" s="73">
        <f t="shared" si="91"/>
        <v>5</v>
      </c>
      <c r="AE164" s="65">
        <v>50646</v>
      </c>
      <c r="AF164" s="65">
        <f t="shared" si="79"/>
        <v>315753</v>
      </c>
      <c r="AG164" s="65">
        <f t="shared" si="80"/>
        <v>315753</v>
      </c>
      <c r="AH164" s="52">
        <v>42339</v>
      </c>
      <c r="AI164" s="107">
        <v>51052.351000000002</v>
      </c>
      <c r="AJ164"/>
      <c r="AK164">
        <v>0</v>
      </c>
      <c r="AL164" s="165">
        <f>INDEX('FY 22 OFA Shell'!$AU$27:$AU$195,MATCH(Data!H164,'FY 22 OFA Shell'!$H$27:$H$195,0))</f>
        <v>53007</v>
      </c>
      <c r="AM164" s="165">
        <f>Outputs!H169</f>
        <v>366399</v>
      </c>
      <c r="AN164" s="165">
        <f>Outputs!G169+Outputs!D169+Outputs!F169</f>
        <v>366399</v>
      </c>
      <c r="AO164" s="165">
        <v>51990</v>
      </c>
      <c r="AP164" s="165">
        <f t="shared" si="92"/>
        <v>51052.351000000002</v>
      </c>
      <c r="AQ164" s="52" t="str">
        <f t="shared" si="81"/>
        <v>Yes</v>
      </c>
      <c r="AR164" s="308">
        <f>ABS(IF(AQ164="Yes",AF164*Inputs!$D$50,Data!AF164*Inputs!$D$51))</f>
        <v>33659.269800000002</v>
      </c>
      <c r="AS164" s="308">
        <f t="shared" si="93"/>
        <v>86666.269800000009</v>
      </c>
      <c r="AT164" s="308">
        <f t="shared" si="82"/>
        <v>86666.269800000009</v>
      </c>
      <c r="AU164" s="308"/>
      <c r="AV164" s="308">
        <f>ABS(IF($AQ164="Yes",$AF164*Inputs!E$50,Data!$AF164*Inputs!E$51))</f>
        <v>33659.269800000002</v>
      </c>
      <c r="AW164" s="308">
        <f>ABS(IF($AQ164="Yes",$AF164*Inputs!F$50,Data!$AF164*Inputs!F$51))</f>
        <v>33659.269800000002</v>
      </c>
      <c r="AX164" s="308">
        <f>ABS(IF($AQ164="Yes",$AF164*Inputs!G$50,Data!$AF164*Inputs!G$51))</f>
        <v>33659.269800000002</v>
      </c>
      <c r="AY164" s="308">
        <f>ABS(IF($AQ164="Yes",$AF164*Inputs!H$50,Data!$AF164*Inputs!H$51))</f>
        <v>33659.269800000002</v>
      </c>
      <c r="AZ164" s="308">
        <f>ABS(IF($AQ164="Yes",$AF164*Inputs!I$50,Data!$AF164*Inputs!I$51))</f>
        <v>33659.269800000002</v>
      </c>
      <c r="BA164" s="308">
        <f>ABS(IF($AQ164="Yes",$AF164*Inputs!J$50,Data!$AF164*Inputs!J$51))</f>
        <v>33659.269800000002</v>
      </c>
      <c r="BB164" s="308">
        <f>ABS(IF($AQ164="Yes",$AF164*Inputs!K$50,Data!$AF164*Inputs!K$51))</f>
        <v>0</v>
      </c>
      <c r="BC164" s="308">
        <f>ABS(IF($AQ164="Yes",$AF164*Inputs!L$50,Data!$AF164*Inputs!L$51))</f>
        <v>0</v>
      </c>
      <c r="BE164" s="308">
        <f t="shared" si="94"/>
        <v>120325.53960000002</v>
      </c>
      <c r="BF164" s="308">
        <f t="shared" si="95"/>
        <v>153984.80940000003</v>
      </c>
      <c r="BG164" s="308">
        <f t="shared" si="96"/>
        <v>187644.07920000004</v>
      </c>
      <c r="BH164" s="308">
        <f t="shared" si="97"/>
        <v>221303.34900000005</v>
      </c>
      <c r="BI164" s="308">
        <f t="shared" si="98"/>
        <v>254962.61880000005</v>
      </c>
      <c r="BJ164" s="308">
        <f t="shared" si="99"/>
        <v>366399</v>
      </c>
      <c r="BK164" s="308">
        <f t="shared" si="100"/>
        <v>366399</v>
      </c>
      <c r="BL164" s="308">
        <f t="shared" si="101"/>
        <v>366399</v>
      </c>
      <c r="BN164" s="308">
        <f t="shared" si="83"/>
        <v>120325.53960000002</v>
      </c>
      <c r="BO164" s="308">
        <f t="shared" si="84"/>
        <v>153984.80940000003</v>
      </c>
      <c r="BP164" s="308">
        <f t="shared" si="85"/>
        <v>187644.07920000004</v>
      </c>
      <c r="BQ164" s="308">
        <f t="shared" si="86"/>
        <v>221303.34900000005</v>
      </c>
      <c r="BR164" s="308">
        <f t="shared" si="87"/>
        <v>254962.61880000005</v>
      </c>
      <c r="BS164" s="308">
        <f t="shared" si="88"/>
        <v>366399</v>
      </c>
      <c r="BT164" s="308">
        <f t="shared" si="89"/>
        <v>366399</v>
      </c>
      <c r="BU164" s="308">
        <f t="shared" si="102"/>
        <v>366399</v>
      </c>
    </row>
    <row r="165" spans="1:73" ht="15" x14ac:dyDescent="0.2">
      <c r="A165" s="62" t="s">
        <v>163</v>
      </c>
      <c r="B165" s="55" t="s">
        <v>24</v>
      </c>
      <c r="C165" s="55">
        <v>1</v>
      </c>
      <c r="D165" s="55">
        <v>1</v>
      </c>
      <c r="E165" s="55">
        <v>0</v>
      </c>
      <c r="F165" s="55">
        <v>1</v>
      </c>
      <c r="G165" s="48">
        <v>10</v>
      </c>
      <c r="H165" s="55">
        <v>151</v>
      </c>
      <c r="I165" s="55">
        <f>INDEX('FY 22 OFA Shell'!$K$27:$K$195,MATCH(Data!H165,'FY 22 OFA Shell'!$H$27:$H$195,0))</f>
        <v>17985.490000000002</v>
      </c>
      <c r="J165" s="55">
        <f>INDEX('FY 22 OFA Shell'!$N$27:$N$195,MATCH(Data!H165,'FY 22 OFA Shell'!$H$27:$H$195,0))</f>
        <v>14003</v>
      </c>
      <c r="K165" s="64">
        <f>INDEX('FY 22 OFA Shell'!$S$27:$S$195,MATCH(Data!H165,'FY 22 OFA Shell'!$H$27:$H$195,0))</f>
        <v>2952</v>
      </c>
      <c r="L165" s="150">
        <f t="shared" si="90"/>
        <v>0.77857206003283752</v>
      </c>
      <c r="M165" s="149">
        <f>MAX(((L165-Inputs!$E$23)*Data!I165)*Inputs!$E$24,0)</f>
        <v>481.75589999999994</v>
      </c>
      <c r="N165" s="151">
        <f>INDEX('FY 22 OFA Shell'!$V$27:$V$195,MATCH(Data!H165,'FY 22 OFA Shell'!$H$27:$H$195,0))</f>
        <v>6368507559.3299999</v>
      </c>
      <c r="O165" s="63">
        <f>INDEX('FY 22 OFA Shell'!$W$27:$W$195,MATCH(Data!H165,'FY 22 OFA Shell'!$H$27:$H$195,0))</f>
        <v>108672</v>
      </c>
      <c r="P165" s="65">
        <f>INDEX('FY 22 OFA Shell'!$Z$27:$Z$195,MATCH(Data!H165,'FY 22 OFA Shell'!$H$27:$H$195,0))</f>
        <v>41617</v>
      </c>
      <c r="Q165" s="63">
        <f>INDEX('FY 22 OFA Shell'!$AF$27:$AF$195,MATCH(Data!H165,'FY 22 OFA Shell'!$H$27:$H$195,0))</f>
        <v>0</v>
      </c>
      <c r="R165" s="66">
        <f>INDEX('FY 22 OFA Shell'!$AG$27:$AG$195,MATCH(Data!H165,'FY 22 OFA Shell'!$H$27:$H$195,0))</f>
        <v>0</v>
      </c>
      <c r="S165" s="66">
        <f>INDEX('FY 22 OFA Shell'!$AJ$27:$AJ$195,MATCH(Data!H165,'FY 22 OFA Shell'!$H$27:$H$195,0))</f>
        <v>0</v>
      </c>
      <c r="T165" s="66">
        <f>INDEX('FY 22 OFA Shell'!$AK$27:$AK$195,MATCH(Data!H165,'FY 22 OFA Shell'!$H$27:$H$195,0))</f>
        <v>0</v>
      </c>
      <c r="U165" s="135">
        <v>133606066</v>
      </c>
      <c r="V165" s="67">
        <f>ROUND(J165*Inputs!$E$22, 2)</f>
        <v>4200.8999999999996</v>
      </c>
      <c r="W165" s="68">
        <f>I165+V165+K165*Inputs!$E$28+Data!M165</f>
        <v>23406.1459</v>
      </c>
      <c r="X165" s="69">
        <f t="shared" si="78"/>
        <v>58603.02</v>
      </c>
      <c r="Y165" s="70">
        <f>ROUND(X165/Inputs!$E$32, 6)</f>
        <v>0.30438900000000002</v>
      </c>
      <c r="Z165" s="70">
        <f>ROUND(P165/Inputs!$E$33, 6)</f>
        <v>0.34538600000000003</v>
      </c>
      <c r="AA165" s="59">
        <f>ROUND(1-((Y165*Inputs!$E$29)+Z165*Inputs!$E$27), 6)</f>
        <v>0.68331200000000003</v>
      </c>
      <c r="AB165" s="59">
        <v>402.68181951801034</v>
      </c>
      <c r="AC165" s="73">
        <f>INDEX('FY 22 OFA Shell'!$G$27:$G$195,MATCH(Data!H165,'FY 22 OFA Shell'!$H$27:$H$195,0))</f>
        <v>2</v>
      </c>
      <c r="AD165" s="73">
        <f t="shared" si="91"/>
        <v>1</v>
      </c>
      <c r="AE165" s="65">
        <v>133606066</v>
      </c>
      <c r="AF165" s="65">
        <f t="shared" si="79"/>
        <v>66906681</v>
      </c>
      <c r="AG165" s="65">
        <f t="shared" si="80"/>
        <v>66906681</v>
      </c>
      <c r="AH165" s="52">
        <v>133356066</v>
      </c>
      <c r="AI165" s="107">
        <v>136201264.11500001</v>
      </c>
      <c r="AJ165">
        <v>325</v>
      </c>
      <c r="AK165">
        <v>413558.57832382625</v>
      </c>
      <c r="AL165" s="165">
        <f>INDEX('FY 22 OFA Shell'!$AU$27:$AU$195,MATCH(Data!H165,'FY 22 OFA Shell'!$H$27:$H$195,0))</f>
        <v>150090541</v>
      </c>
      <c r="AM165" s="165">
        <f>Outputs!H170</f>
        <v>200512747</v>
      </c>
      <c r="AN165" s="165">
        <f>Outputs!G170+Outputs!D170+Outputs!F170</f>
        <v>200512747</v>
      </c>
      <c r="AO165" s="165">
        <v>143020653</v>
      </c>
      <c r="AP165" s="165">
        <f t="shared" si="92"/>
        <v>136614822.69332385</v>
      </c>
      <c r="AQ165" s="52" t="str">
        <f t="shared" si="81"/>
        <v>Yes</v>
      </c>
      <c r="AR165" s="308">
        <f>ABS(IF(AQ165="Yes",AF165*Inputs!$D$50,Data!AF165*Inputs!$D$51))</f>
        <v>7132252.1946</v>
      </c>
      <c r="AS165" s="308">
        <f t="shared" si="93"/>
        <v>157222793.19459999</v>
      </c>
      <c r="AT165" s="308">
        <f t="shared" si="82"/>
        <v>157222793.19459999</v>
      </c>
      <c r="AU165" s="308"/>
      <c r="AV165" s="308">
        <f>ABS(IF($AQ165="Yes",$AF165*Inputs!E$50,Data!$AF165*Inputs!E$51))</f>
        <v>7132252.1946</v>
      </c>
      <c r="AW165" s="308">
        <f>ABS(IF($AQ165="Yes",$AF165*Inputs!F$50,Data!$AF165*Inputs!F$51))</f>
        <v>7132252.1946</v>
      </c>
      <c r="AX165" s="308">
        <f>ABS(IF($AQ165="Yes",$AF165*Inputs!G$50,Data!$AF165*Inputs!G$51))</f>
        <v>7132252.1946</v>
      </c>
      <c r="AY165" s="308">
        <f>ABS(IF($AQ165="Yes",$AF165*Inputs!H$50,Data!$AF165*Inputs!H$51))</f>
        <v>7132252.1946</v>
      </c>
      <c r="AZ165" s="308">
        <f>ABS(IF($AQ165="Yes",$AF165*Inputs!I$50,Data!$AF165*Inputs!I$51))</f>
        <v>7132252.1946</v>
      </c>
      <c r="BA165" s="308">
        <f>ABS(IF($AQ165="Yes",$AF165*Inputs!J$50,Data!$AF165*Inputs!J$51))</f>
        <v>7132252.1946</v>
      </c>
      <c r="BB165" s="308">
        <f>ABS(IF($AQ165="Yes",$AF165*Inputs!K$50,Data!$AF165*Inputs!K$51))</f>
        <v>0</v>
      </c>
      <c r="BC165" s="308">
        <f>ABS(IF($AQ165="Yes",$AF165*Inputs!L$50,Data!$AF165*Inputs!L$51))</f>
        <v>0</v>
      </c>
      <c r="BE165" s="308">
        <f t="shared" si="94"/>
        <v>164355045.38919997</v>
      </c>
      <c r="BF165" s="308">
        <f t="shared" si="95"/>
        <v>171487297.58379996</v>
      </c>
      <c r="BG165" s="308">
        <f t="shared" si="96"/>
        <v>178619549.77839994</v>
      </c>
      <c r="BH165" s="308">
        <f t="shared" si="97"/>
        <v>185751801.97299993</v>
      </c>
      <c r="BI165" s="308">
        <f t="shared" si="98"/>
        <v>192884054.16759992</v>
      </c>
      <c r="BJ165" s="308">
        <f t="shared" si="99"/>
        <v>200512747</v>
      </c>
      <c r="BK165" s="308">
        <f t="shared" si="100"/>
        <v>200512747</v>
      </c>
      <c r="BL165" s="308">
        <f t="shared" si="101"/>
        <v>200512747</v>
      </c>
      <c r="BN165" s="308">
        <f t="shared" si="83"/>
        <v>164355045.38919997</v>
      </c>
      <c r="BO165" s="308">
        <f t="shared" si="84"/>
        <v>171487297.58379996</v>
      </c>
      <c r="BP165" s="308">
        <f t="shared" si="85"/>
        <v>178619549.77839994</v>
      </c>
      <c r="BQ165" s="308">
        <f t="shared" si="86"/>
        <v>185751801.97299993</v>
      </c>
      <c r="BR165" s="308">
        <f t="shared" si="87"/>
        <v>192884054.16759992</v>
      </c>
      <c r="BS165" s="308">
        <f t="shared" si="88"/>
        <v>200512747</v>
      </c>
      <c r="BT165" s="308">
        <f t="shared" si="89"/>
        <v>200512747</v>
      </c>
      <c r="BU165" s="308">
        <f t="shared" si="102"/>
        <v>200512747</v>
      </c>
    </row>
    <row r="166" spans="1:73" ht="15" x14ac:dyDescent="0.2">
      <c r="A166" s="62" t="s">
        <v>164</v>
      </c>
      <c r="B166" s="55" t="s">
        <v>14</v>
      </c>
      <c r="C166" s="55"/>
      <c r="D166" s="55"/>
      <c r="E166" s="55"/>
      <c r="F166" s="55"/>
      <c r="G166" s="48">
        <v>2</v>
      </c>
      <c r="H166" s="55">
        <v>152</v>
      </c>
      <c r="I166" s="55">
        <f>INDEX('FY 22 OFA Shell'!$K$27:$K$195,MATCH(Data!H166,'FY 22 OFA Shell'!$H$27:$H$195,0))</f>
        <v>2539.96</v>
      </c>
      <c r="J166" s="55">
        <f>INDEX('FY 22 OFA Shell'!$N$27:$N$195,MATCH(Data!H166,'FY 22 OFA Shell'!$H$27:$H$195,0))</f>
        <v>727</v>
      </c>
      <c r="K166" s="64">
        <f>INDEX('FY 22 OFA Shell'!$S$27:$S$195,MATCH(Data!H166,'FY 22 OFA Shell'!$H$27:$H$195,0))</f>
        <v>70</v>
      </c>
      <c r="L166" s="150">
        <f t="shared" si="90"/>
        <v>0.28622497992094365</v>
      </c>
      <c r="M166" s="149">
        <f>MAX(((L166-Inputs!$E$23)*Data!I166)*Inputs!$E$24,0)</f>
        <v>0</v>
      </c>
      <c r="N166" s="151">
        <f>INDEX('FY 22 OFA Shell'!$V$27:$V$195,MATCH(Data!H166,'FY 22 OFA Shell'!$H$27:$H$195,0))</f>
        <v>4950874514.3299999</v>
      </c>
      <c r="O166" s="63">
        <f>INDEX('FY 22 OFA Shell'!$W$27:$W$195,MATCH(Data!H166,'FY 22 OFA Shell'!$H$27:$H$195,0))</f>
        <v>19052</v>
      </c>
      <c r="P166" s="65">
        <f>INDEX('FY 22 OFA Shell'!$Z$27:$Z$195,MATCH(Data!H166,'FY 22 OFA Shell'!$H$27:$H$195,0))</f>
        <v>85438</v>
      </c>
      <c r="Q166" s="63">
        <f>INDEX('FY 22 OFA Shell'!$AF$27:$AF$195,MATCH(Data!H166,'FY 22 OFA Shell'!$H$27:$H$195,0))</f>
        <v>0</v>
      </c>
      <c r="R166" s="66">
        <f>INDEX('FY 22 OFA Shell'!$AG$27:$AG$195,MATCH(Data!H166,'FY 22 OFA Shell'!$H$27:$H$195,0))</f>
        <v>0</v>
      </c>
      <c r="S166" s="66">
        <f>INDEX('FY 22 OFA Shell'!$AJ$27:$AJ$195,MATCH(Data!H166,'FY 22 OFA Shell'!$H$27:$H$195,0))</f>
        <v>0</v>
      </c>
      <c r="T166" s="66">
        <f>INDEX('FY 22 OFA Shell'!$AK$27:$AK$195,MATCH(Data!H166,'FY 22 OFA Shell'!$H$27:$H$195,0))</f>
        <v>0</v>
      </c>
      <c r="U166" s="135">
        <v>321279</v>
      </c>
      <c r="V166" s="67">
        <f>ROUND(J166*Inputs!$E$22, 2)</f>
        <v>218.1</v>
      </c>
      <c r="W166" s="68">
        <f>I166+V166+K166*Inputs!$E$28+Data!M166</f>
        <v>2775.56</v>
      </c>
      <c r="X166" s="69">
        <f t="shared" si="78"/>
        <v>259861.14</v>
      </c>
      <c r="Y166" s="70">
        <f>ROUND(X166/Inputs!$E$32, 6)</f>
        <v>1.3497399999999999</v>
      </c>
      <c r="Z166" s="70">
        <f>ROUND(P166/Inputs!$E$33, 6)</f>
        <v>0.709063</v>
      </c>
      <c r="AA166" s="59">
        <f>ROUND(1-((Y166*Inputs!$E$29)+Z166*Inputs!$E$27), 6)</f>
        <v>-0.15753700000000001</v>
      </c>
      <c r="AB166" s="59">
        <v>220.94062236969006</v>
      </c>
      <c r="AC166" s="73">
        <f>INDEX('FY 22 OFA Shell'!$G$27:$G$195,MATCH(Data!H166,'FY 22 OFA Shell'!$H$27:$H$195,0))</f>
        <v>68</v>
      </c>
      <c r="AD166" s="73">
        <f t="shared" si="91"/>
        <v>5</v>
      </c>
      <c r="AE166" s="65">
        <v>321279</v>
      </c>
      <c r="AF166" s="65">
        <f t="shared" si="79"/>
        <v>-1396</v>
      </c>
      <c r="AG166" s="65">
        <f t="shared" si="80"/>
        <v>-1396</v>
      </c>
      <c r="AH166" s="52">
        <v>251903</v>
      </c>
      <c r="AI166" s="107">
        <v>322222.94300000003</v>
      </c>
      <c r="AJ166">
        <v>7</v>
      </c>
      <c r="AK166">
        <v>8907.4155331285656</v>
      </c>
      <c r="AL166" s="165">
        <f>INDEX('FY 22 OFA Shell'!$AU$27:$AU$195,MATCH(Data!H166,'FY 22 OFA Shell'!$H$27:$H$195,0))</f>
        <v>326444</v>
      </c>
      <c r="AM166" s="165">
        <f>Outputs!H171</f>
        <v>319883</v>
      </c>
      <c r="AN166" s="165">
        <f>Outputs!G171+Outputs!D171+Outputs!F171</f>
        <v>319883</v>
      </c>
      <c r="AO166" s="165">
        <v>324644</v>
      </c>
      <c r="AP166" s="165">
        <f t="shared" si="92"/>
        <v>331130.35853312857</v>
      </c>
      <c r="AQ166" s="52" t="str">
        <f t="shared" si="81"/>
        <v>No</v>
      </c>
      <c r="AR166" s="308">
        <f>ABS(IF(AQ166="Yes",AF166*Inputs!$D$50,Data!AF166*Inputs!$D$51))</f>
        <v>0</v>
      </c>
      <c r="AS166" s="308">
        <f t="shared" si="93"/>
        <v>326444</v>
      </c>
      <c r="AT166" s="308">
        <f t="shared" si="82"/>
        <v>326444</v>
      </c>
      <c r="AU166" s="308"/>
      <c r="AV166" s="308">
        <f>ABS(IF($AQ166="Yes",$AF166*Inputs!E$50,Data!$AF166*Inputs!E$51))</f>
        <v>0</v>
      </c>
      <c r="AW166" s="308">
        <f>ABS(IF($AQ166="Yes",$AF166*Inputs!F$50,Data!$AF166*Inputs!F$51))</f>
        <v>116.2868</v>
      </c>
      <c r="AX166" s="308">
        <f>ABS(IF($AQ166="Yes",$AF166*Inputs!G$50,Data!$AF166*Inputs!G$51))</f>
        <v>116.2868</v>
      </c>
      <c r="AY166" s="308">
        <f>ABS(IF($AQ166="Yes",$AF166*Inputs!H$50,Data!$AF166*Inputs!H$51))</f>
        <v>116.2868</v>
      </c>
      <c r="AZ166" s="308">
        <f>ABS(IF($AQ166="Yes",$AF166*Inputs!I$50,Data!$AF166*Inputs!I$51))</f>
        <v>116.2868</v>
      </c>
      <c r="BA166" s="308">
        <f>ABS(IF($AQ166="Yes",$AF166*Inputs!J$50,Data!$AF166*Inputs!J$51))</f>
        <v>116.2868</v>
      </c>
      <c r="BB166" s="308">
        <f>ABS(IF($AQ166="Yes",$AF166*Inputs!K$50,Data!$AF166*Inputs!K$51))</f>
        <v>116.2868</v>
      </c>
      <c r="BC166" s="308">
        <f>ABS(IF($AQ166="Yes",$AF166*Inputs!L$50,Data!$AF166*Inputs!L$51))</f>
        <v>116.2868</v>
      </c>
      <c r="BE166" s="308">
        <f t="shared" si="94"/>
        <v>326444</v>
      </c>
      <c r="BF166" s="308">
        <f t="shared" si="95"/>
        <v>326327.7132</v>
      </c>
      <c r="BG166" s="308">
        <f t="shared" si="96"/>
        <v>326211.4264</v>
      </c>
      <c r="BH166" s="308">
        <f t="shared" si="97"/>
        <v>326095.13959999999</v>
      </c>
      <c r="BI166" s="308">
        <f t="shared" si="98"/>
        <v>325978.85279999999</v>
      </c>
      <c r="BJ166" s="308">
        <f t="shared" si="99"/>
        <v>325862.56599999999</v>
      </c>
      <c r="BK166" s="308">
        <f t="shared" si="100"/>
        <v>325746.27919999999</v>
      </c>
      <c r="BL166" s="308">
        <f t="shared" si="101"/>
        <v>319883</v>
      </c>
      <c r="BN166" s="308">
        <f t="shared" si="83"/>
        <v>326444</v>
      </c>
      <c r="BO166" s="308">
        <f t="shared" si="84"/>
        <v>326327.7132</v>
      </c>
      <c r="BP166" s="308">
        <f t="shared" si="85"/>
        <v>326211.4264</v>
      </c>
      <c r="BQ166" s="308">
        <f t="shared" si="86"/>
        <v>326095.13959999999</v>
      </c>
      <c r="BR166" s="308">
        <f t="shared" si="87"/>
        <v>325978.85279999999</v>
      </c>
      <c r="BS166" s="308">
        <f t="shared" si="88"/>
        <v>325862.56599999999</v>
      </c>
      <c r="BT166" s="308">
        <f t="shared" si="89"/>
        <v>325746.27919999999</v>
      </c>
      <c r="BU166" s="308">
        <f t="shared" si="102"/>
        <v>319883</v>
      </c>
    </row>
    <row r="167" spans="1:73" ht="15" x14ac:dyDescent="0.2">
      <c r="A167" s="62" t="s">
        <v>165</v>
      </c>
      <c r="B167" s="55" t="s">
        <v>14</v>
      </c>
      <c r="C167" s="55"/>
      <c r="D167" s="55"/>
      <c r="E167" s="55"/>
      <c r="F167" s="55"/>
      <c r="G167" s="48">
        <v>7</v>
      </c>
      <c r="H167" s="55">
        <v>153</v>
      </c>
      <c r="I167" s="55">
        <f>INDEX('FY 22 OFA Shell'!$K$27:$K$195,MATCH(Data!H167,'FY 22 OFA Shell'!$H$27:$H$195,0))</f>
        <v>2687.3</v>
      </c>
      <c r="J167" s="55">
        <f>INDEX('FY 22 OFA Shell'!$N$27:$N$195,MATCH(Data!H167,'FY 22 OFA Shell'!$H$27:$H$195,0))</f>
        <v>1011</v>
      </c>
      <c r="K167" s="64">
        <f>INDEX('FY 22 OFA Shell'!$S$27:$S$195,MATCH(Data!H167,'FY 22 OFA Shell'!$H$27:$H$195,0))</f>
        <v>111</v>
      </c>
      <c r="L167" s="150">
        <f t="shared" si="90"/>
        <v>0.3762140438358203</v>
      </c>
      <c r="M167" s="149">
        <f>MAX(((L167-Inputs!$E$23)*Data!I167)*Inputs!$E$24,0)</f>
        <v>0</v>
      </c>
      <c r="N167" s="151">
        <f>INDEX('FY 22 OFA Shell'!$V$27:$V$195,MATCH(Data!H167,'FY 22 OFA Shell'!$H$27:$H$195,0))</f>
        <v>2665455080.6700001</v>
      </c>
      <c r="O167" s="63">
        <f>INDEX('FY 22 OFA Shell'!$W$27:$W$195,MATCH(Data!H167,'FY 22 OFA Shell'!$H$27:$H$195,0))</f>
        <v>21832</v>
      </c>
      <c r="P167" s="65">
        <f>INDEX('FY 22 OFA Shell'!$Z$27:$Z$195,MATCH(Data!H167,'FY 22 OFA Shell'!$H$27:$H$195,0))</f>
        <v>76920</v>
      </c>
      <c r="Q167" s="63">
        <f>INDEX('FY 22 OFA Shell'!$AF$27:$AF$195,MATCH(Data!H167,'FY 22 OFA Shell'!$H$27:$H$195,0))</f>
        <v>0</v>
      </c>
      <c r="R167" s="66">
        <f>INDEX('FY 22 OFA Shell'!$AG$27:$AG$195,MATCH(Data!H167,'FY 22 OFA Shell'!$H$27:$H$195,0))</f>
        <v>0</v>
      </c>
      <c r="S167" s="66">
        <f>INDEX('FY 22 OFA Shell'!$AJ$27:$AJ$195,MATCH(Data!H167,'FY 22 OFA Shell'!$H$27:$H$195,0))</f>
        <v>0</v>
      </c>
      <c r="T167" s="66">
        <f>INDEX('FY 22 OFA Shell'!$AK$27:$AK$195,MATCH(Data!H167,'FY 22 OFA Shell'!$H$27:$H$195,0))</f>
        <v>0</v>
      </c>
      <c r="U167" s="135">
        <v>11753175</v>
      </c>
      <c r="V167" s="67">
        <f>ROUND(J167*Inputs!$E$22, 2)</f>
        <v>303.3</v>
      </c>
      <c r="W167" s="68">
        <f>I167+V167+K167*Inputs!$E$28+Data!M167</f>
        <v>3018.3500000000004</v>
      </c>
      <c r="X167" s="69">
        <f t="shared" si="78"/>
        <v>122089.37</v>
      </c>
      <c r="Y167" s="70">
        <f>ROUND(X167/Inputs!$E$32, 6)</f>
        <v>0.63414199999999998</v>
      </c>
      <c r="Z167" s="70">
        <f>ROUND(P167/Inputs!$E$33, 6)</f>
        <v>0.63837100000000002</v>
      </c>
      <c r="AA167" s="59">
        <f>ROUND(1-((Y167*Inputs!$E$29)+Z167*Inputs!$E$27), 6)</f>
        <v>0.364589</v>
      </c>
      <c r="AB167" s="59">
        <v>236.48455696059608</v>
      </c>
      <c r="AC167" s="73">
        <f>INDEX('FY 22 OFA Shell'!$G$27:$G$195,MATCH(Data!H167,'FY 22 OFA Shell'!$H$27:$H$195,0))</f>
        <v>61</v>
      </c>
      <c r="AD167" s="73">
        <f t="shared" si="91"/>
        <v>5</v>
      </c>
      <c r="AE167" s="65">
        <v>11753175</v>
      </c>
      <c r="AF167" s="65">
        <f t="shared" si="79"/>
        <v>929594</v>
      </c>
      <c r="AG167" s="65">
        <f t="shared" si="80"/>
        <v>929594</v>
      </c>
      <c r="AH167" s="52">
        <v>10185331</v>
      </c>
      <c r="AI167" s="107">
        <v>11735322</v>
      </c>
      <c r="AJ167"/>
      <c r="AK167">
        <v>0</v>
      </c>
      <c r="AL167" s="165">
        <f>INDEX('FY 22 OFA Shell'!$AU$27:$AU$195,MATCH(Data!H167,'FY 22 OFA Shell'!$H$27:$H$195,0))</f>
        <v>11780186</v>
      </c>
      <c r="AM167" s="165">
        <f>Outputs!H172</f>
        <v>12682769</v>
      </c>
      <c r="AN167" s="165">
        <f>Outputs!G172+Outputs!D172+Outputs!F172</f>
        <v>12682769</v>
      </c>
      <c r="AO167" s="165">
        <v>11748394</v>
      </c>
      <c r="AP167" s="165">
        <f t="shared" si="92"/>
        <v>11735322</v>
      </c>
      <c r="AQ167" s="52" t="str">
        <f t="shared" si="81"/>
        <v>Yes</v>
      </c>
      <c r="AR167" s="308">
        <f>ABS(IF(AQ167="Yes",AF167*Inputs!$D$50,Data!AF167*Inputs!$D$51))</f>
        <v>99094.720400000006</v>
      </c>
      <c r="AS167" s="308">
        <f t="shared" si="93"/>
        <v>11879280.7204</v>
      </c>
      <c r="AT167" s="308">
        <f t="shared" si="82"/>
        <v>11879280.7204</v>
      </c>
      <c r="AU167" s="308"/>
      <c r="AV167" s="308">
        <f>ABS(IF($AQ167="Yes",$AF167*Inputs!E$50,Data!$AF167*Inputs!E$51))</f>
        <v>99094.720400000006</v>
      </c>
      <c r="AW167" s="308">
        <f>ABS(IF($AQ167="Yes",$AF167*Inputs!F$50,Data!$AF167*Inputs!F$51))</f>
        <v>99094.720400000006</v>
      </c>
      <c r="AX167" s="308">
        <f>ABS(IF($AQ167="Yes",$AF167*Inputs!G$50,Data!$AF167*Inputs!G$51))</f>
        <v>99094.720400000006</v>
      </c>
      <c r="AY167" s="308">
        <f>ABS(IF($AQ167="Yes",$AF167*Inputs!H$50,Data!$AF167*Inputs!H$51))</f>
        <v>99094.720400000006</v>
      </c>
      <c r="AZ167" s="308">
        <f>ABS(IF($AQ167="Yes",$AF167*Inputs!I$50,Data!$AF167*Inputs!I$51))</f>
        <v>99094.720400000006</v>
      </c>
      <c r="BA167" s="308">
        <f>ABS(IF($AQ167="Yes",$AF167*Inputs!J$50,Data!$AF167*Inputs!J$51))</f>
        <v>99094.720400000006</v>
      </c>
      <c r="BB167" s="308">
        <f>ABS(IF($AQ167="Yes",$AF167*Inputs!K$50,Data!$AF167*Inputs!K$51))</f>
        <v>0</v>
      </c>
      <c r="BC167" s="308">
        <f>ABS(IF($AQ167="Yes",$AF167*Inputs!L$50,Data!$AF167*Inputs!L$51))</f>
        <v>0</v>
      </c>
      <c r="BE167" s="308">
        <f t="shared" si="94"/>
        <v>11978375.4408</v>
      </c>
      <c r="BF167" s="308">
        <f t="shared" si="95"/>
        <v>12077470.1612</v>
      </c>
      <c r="BG167" s="308">
        <f t="shared" si="96"/>
        <v>12176564.8816</v>
      </c>
      <c r="BH167" s="308">
        <f t="shared" si="97"/>
        <v>12275659.602</v>
      </c>
      <c r="BI167" s="308">
        <f t="shared" si="98"/>
        <v>12374754.3224</v>
      </c>
      <c r="BJ167" s="308">
        <f t="shared" si="99"/>
        <v>12682769</v>
      </c>
      <c r="BK167" s="308">
        <f t="shared" si="100"/>
        <v>12682769</v>
      </c>
      <c r="BL167" s="308">
        <f t="shared" si="101"/>
        <v>12682769</v>
      </c>
      <c r="BN167" s="308">
        <f t="shared" si="83"/>
        <v>11978375.4408</v>
      </c>
      <c r="BO167" s="308">
        <f t="shared" si="84"/>
        <v>12077470.1612</v>
      </c>
      <c r="BP167" s="308">
        <f t="shared" si="85"/>
        <v>12176564.8816</v>
      </c>
      <c r="BQ167" s="308">
        <f t="shared" si="86"/>
        <v>12275659.602</v>
      </c>
      <c r="BR167" s="308">
        <f t="shared" si="87"/>
        <v>12374754.3224</v>
      </c>
      <c r="BS167" s="308">
        <f t="shared" si="88"/>
        <v>12682769</v>
      </c>
      <c r="BT167" s="308">
        <f t="shared" si="89"/>
        <v>12682769</v>
      </c>
      <c r="BU167" s="308">
        <f t="shared" si="102"/>
        <v>12682769</v>
      </c>
    </row>
    <row r="168" spans="1:73" ht="15" x14ac:dyDescent="0.2">
      <c r="A168" s="62" t="s">
        <v>166</v>
      </c>
      <c r="B168" s="55" t="s">
        <v>8</v>
      </c>
      <c r="C168" s="55"/>
      <c r="D168" s="55"/>
      <c r="E168" s="55"/>
      <c r="F168" s="55"/>
      <c r="G168" s="48">
        <v>2</v>
      </c>
      <c r="H168" s="55">
        <v>154</v>
      </c>
      <c r="I168" s="55">
        <f>INDEX('FY 22 OFA Shell'!$K$27:$K$195,MATCH(Data!H168,'FY 22 OFA Shell'!$H$27:$H$195,0))</f>
        <v>657.95</v>
      </c>
      <c r="J168" s="55">
        <f>INDEX('FY 22 OFA Shell'!$N$27:$N$195,MATCH(Data!H168,'FY 22 OFA Shell'!$H$27:$H$195,0))</f>
        <v>242</v>
      </c>
      <c r="K168" s="64">
        <f>INDEX('FY 22 OFA Shell'!$S$27:$S$195,MATCH(Data!H168,'FY 22 OFA Shell'!$H$27:$H$195,0))</f>
        <v>73</v>
      </c>
      <c r="L168" s="150">
        <f t="shared" si="90"/>
        <v>0.36780910403526101</v>
      </c>
      <c r="M168" s="149">
        <f>MAX(((L168-Inputs!$E$23)*Data!I168)*Inputs!$E$24,0)</f>
        <v>0</v>
      </c>
      <c r="N168" s="151">
        <f>INDEX('FY 22 OFA Shell'!$V$27:$V$195,MATCH(Data!H168,'FY 22 OFA Shell'!$H$27:$H$195,0))</f>
        <v>1690813537.6700001</v>
      </c>
      <c r="O168" s="63">
        <f>INDEX('FY 22 OFA Shell'!$W$27:$W$195,MATCH(Data!H168,'FY 22 OFA Shell'!$H$27:$H$195,0))</f>
        <v>6904</v>
      </c>
      <c r="P168" s="65">
        <f>INDEX('FY 22 OFA Shell'!$Z$27:$Z$195,MATCH(Data!H168,'FY 22 OFA Shell'!$H$27:$H$195,0))</f>
        <v>89489</v>
      </c>
      <c r="Q168" s="63">
        <f>INDEX('FY 22 OFA Shell'!$AF$27:$AF$195,MATCH(Data!H168,'FY 22 OFA Shell'!$H$27:$H$195,0))</f>
        <v>0</v>
      </c>
      <c r="R168" s="66">
        <f>INDEX('FY 22 OFA Shell'!$AG$27:$AG$195,MATCH(Data!H168,'FY 22 OFA Shell'!$H$27:$H$195,0))</f>
        <v>0</v>
      </c>
      <c r="S168" s="66">
        <f>INDEX('FY 22 OFA Shell'!$AJ$27:$AJ$195,MATCH(Data!H168,'FY 22 OFA Shell'!$H$27:$H$195,0))</f>
        <v>0</v>
      </c>
      <c r="T168" s="66">
        <f>INDEX('FY 22 OFA Shell'!$AK$27:$AK$195,MATCH(Data!H168,'FY 22 OFA Shell'!$H$27:$H$195,0))</f>
        <v>0</v>
      </c>
      <c r="U168" s="135">
        <v>70393</v>
      </c>
      <c r="V168" s="67">
        <f>ROUND(J168*Inputs!$E$22, 2)</f>
        <v>72.599999999999994</v>
      </c>
      <c r="W168" s="68">
        <f>I168+V168+K168*Inputs!$E$28+Data!M168</f>
        <v>748.80000000000007</v>
      </c>
      <c r="X168" s="69">
        <f t="shared" si="78"/>
        <v>244903.47</v>
      </c>
      <c r="Y168" s="70">
        <f>ROUND(X168/Inputs!$E$32, 6)</f>
        <v>1.272049</v>
      </c>
      <c r="Z168" s="70">
        <f>ROUND(P168/Inputs!$E$33, 6)</f>
        <v>0.74268299999999998</v>
      </c>
      <c r="AA168" s="59">
        <f>ROUND(1-((Y168*Inputs!$E$29)+Z168*Inputs!$E$27), 6)</f>
        <v>-0.11323900000000001</v>
      </c>
      <c r="AB168" s="59">
        <v>204.48422680006027</v>
      </c>
      <c r="AC168" s="73">
        <f>INDEX('FY 22 OFA Shell'!$G$27:$G$195,MATCH(Data!H168,'FY 22 OFA Shell'!$H$27:$H$195,0))</f>
        <v>142</v>
      </c>
      <c r="AD168" s="73">
        <f t="shared" si="91"/>
        <v>5</v>
      </c>
      <c r="AE168" s="65">
        <v>70393</v>
      </c>
      <c r="AF168" s="65">
        <f t="shared" si="79"/>
        <v>15906</v>
      </c>
      <c r="AG168" s="65">
        <f t="shared" si="80"/>
        <v>15906</v>
      </c>
      <c r="AH168" s="52">
        <v>36481</v>
      </c>
      <c r="AI168" s="107">
        <v>71257.361999999994</v>
      </c>
      <c r="AJ168">
        <v>1</v>
      </c>
      <c r="AK168">
        <v>1272.4879333040808</v>
      </c>
      <c r="AL168" s="165">
        <f>INDEX('FY 22 OFA Shell'!$AU$27:$AU$195,MATCH(Data!H168,'FY 22 OFA Shell'!$H$27:$H$195,0))</f>
        <v>74979</v>
      </c>
      <c r="AM168" s="165">
        <f>Outputs!H173</f>
        <v>86299</v>
      </c>
      <c r="AN168" s="165">
        <f>Outputs!G173+Outputs!D173+Outputs!F173</f>
        <v>86299</v>
      </c>
      <c r="AO168" s="165">
        <v>73039</v>
      </c>
      <c r="AP168" s="165">
        <f t="shared" si="92"/>
        <v>72529.849933304067</v>
      </c>
      <c r="AQ168" s="52" t="str">
        <f t="shared" si="81"/>
        <v>Yes</v>
      </c>
      <c r="AR168" s="308">
        <f>ABS(IF(AQ168="Yes",AF168*Inputs!$D$50,Data!AF168*Inputs!$D$51))</f>
        <v>1695.5796</v>
      </c>
      <c r="AS168" s="308">
        <f t="shared" si="93"/>
        <v>76674.579599999997</v>
      </c>
      <c r="AT168" s="308">
        <f t="shared" si="82"/>
        <v>76674.579599999997</v>
      </c>
      <c r="AU168" s="308"/>
      <c r="AV168" s="308">
        <f>ABS(IF($AQ168="Yes",$AF168*Inputs!E$50,Data!$AF168*Inputs!E$51))</f>
        <v>1695.5796</v>
      </c>
      <c r="AW168" s="308">
        <f>ABS(IF($AQ168="Yes",$AF168*Inputs!F$50,Data!$AF168*Inputs!F$51))</f>
        <v>1695.5796</v>
      </c>
      <c r="AX168" s="308">
        <f>ABS(IF($AQ168="Yes",$AF168*Inputs!G$50,Data!$AF168*Inputs!G$51))</f>
        <v>1695.5796</v>
      </c>
      <c r="AY168" s="308">
        <f>ABS(IF($AQ168="Yes",$AF168*Inputs!H$50,Data!$AF168*Inputs!H$51))</f>
        <v>1695.5796</v>
      </c>
      <c r="AZ168" s="308">
        <f>ABS(IF($AQ168="Yes",$AF168*Inputs!I$50,Data!$AF168*Inputs!I$51))</f>
        <v>1695.5796</v>
      </c>
      <c r="BA168" s="308">
        <f>ABS(IF($AQ168="Yes",$AF168*Inputs!J$50,Data!$AF168*Inputs!J$51))</f>
        <v>1695.5796</v>
      </c>
      <c r="BB168" s="308">
        <f>ABS(IF($AQ168="Yes",$AF168*Inputs!K$50,Data!$AF168*Inputs!K$51))</f>
        <v>0</v>
      </c>
      <c r="BC168" s="308">
        <f>ABS(IF($AQ168="Yes",$AF168*Inputs!L$50,Data!$AF168*Inputs!L$51))</f>
        <v>0</v>
      </c>
      <c r="BE168" s="308">
        <f t="shared" si="94"/>
        <v>78370.159199999995</v>
      </c>
      <c r="BF168" s="308">
        <f t="shared" si="95"/>
        <v>80065.738799999992</v>
      </c>
      <c r="BG168" s="308">
        <f t="shared" si="96"/>
        <v>81761.318399999989</v>
      </c>
      <c r="BH168" s="308">
        <f t="shared" si="97"/>
        <v>83456.897999999986</v>
      </c>
      <c r="BI168" s="308">
        <f t="shared" si="98"/>
        <v>85152.477599999984</v>
      </c>
      <c r="BJ168" s="308">
        <f t="shared" si="99"/>
        <v>86299</v>
      </c>
      <c r="BK168" s="308">
        <f t="shared" si="100"/>
        <v>86299</v>
      </c>
      <c r="BL168" s="308">
        <f t="shared" si="101"/>
        <v>86299</v>
      </c>
      <c r="BN168" s="308">
        <f t="shared" si="83"/>
        <v>78370.159199999995</v>
      </c>
      <c r="BO168" s="308">
        <f t="shared" si="84"/>
        <v>80065.738799999992</v>
      </c>
      <c r="BP168" s="308">
        <f t="shared" si="85"/>
        <v>81761.318399999989</v>
      </c>
      <c r="BQ168" s="308">
        <f t="shared" si="86"/>
        <v>83456.897999999986</v>
      </c>
      <c r="BR168" s="308">
        <f t="shared" si="87"/>
        <v>85152.477599999984</v>
      </c>
      <c r="BS168" s="308">
        <f t="shared" si="88"/>
        <v>86299</v>
      </c>
      <c r="BT168" s="308">
        <f t="shared" si="89"/>
        <v>86299</v>
      </c>
      <c r="BU168" s="308">
        <f t="shared" si="102"/>
        <v>86299</v>
      </c>
    </row>
    <row r="169" spans="1:73" ht="15" x14ac:dyDescent="0.2">
      <c r="A169" s="62" t="s">
        <v>167</v>
      </c>
      <c r="B169" s="55" t="s">
        <v>10</v>
      </c>
      <c r="C169" s="55"/>
      <c r="D169" s="55"/>
      <c r="E169" s="55"/>
      <c r="F169" s="55"/>
      <c r="G169" s="48">
        <v>7</v>
      </c>
      <c r="H169" s="55">
        <v>155</v>
      </c>
      <c r="I169" s="55">
        <f>INDEX('FY 22 OFA Shell'!$K$27:$K$195,MATCH(Data!H169,'FY 22 OFA Shell'!$H$27:$H$195,0))</f>
        <v>9329.1200000000008</v>
      </c>
      <c r="J169" s="55">
        <f>INDEX('FY 22 OFA Shell'!$N$27:$N$195,MATCH(Data!H169,'FY 22 OFA Shell'!$H$27:$H$195,0))</f>
        <v>2375</v>
      </c>
      <c r="K169" s="64">
        <f>INDEX('FY 22 OFA Shell'!$S$27:$S$195,MATCH(Data!H169,'FY 22 OFA Shell'!$H$27:$H$195,0))</f>
        <v>573</v>
      </c>
      <c r="L169" s="150">
        <f t="shared" si="90"/>
        <v>0.25457921004339101</v>
      </c>
      <c r="M169" s="149">
        <f>MAX(((L169-Inputs!$E$23)*Data!I169)*Inputs!$E$24,0)</f>
        <v>0</v>
      </c>
      <c r="N169" s="151">
        <f>INDEX('FY 22 OFA Shell'!$V$27:$V$195,MATCH(Data!H169,'FY 22 OFA Shell'!$H$27:$H$195,0))</f>
        <v>9463375467.3299999</v>
      </c>
      <c r="O169" s="63">
        <f>INDEX('FY 22 OFA Shell'!$W$27:$W$195,MATCH(Data!H169,'FY 22 OFA Shell'!$H$27:$H$195,0))</f>
        <v>63127</v>
      </c>
      <c r="P169" s="65">
        <f>INDEX('FY 22 OFA Shell'!$Z$27:$Z$195,MATCH(Data!H169,'FY 22 OFA Shell'!$H$27:$H$195,0))</f>
        <v>99280</v>
      </c>
      <c r="Q169" s="63">
        <f>INDEX('FY 22 OFA Shell'!$AF$27:$AF$195,MATCH(Data!H169,'FY 22 OFA Shell'!$H$27:$H$195,0))</f>
        <v>0</v>
      </c>
      <c r="R169" s="66">
        <f>INDEX('FY 22 OFA Shell'!$AG$27:$AG$195,MATCH(Data!H169,'FY 22 OFA Shell'!$H$27:$H$195,0))</f>
        <v>0</v>
      </c>
      <c r="S169" s="66">
        <f>INDEX('FY 22 OFA Shell'!$AJ$27:$AJ$195,MATCH(Data!H169,'FY 22 OFA Shell'!$H$27:$H$195,0))</f>
        <v>0</v>
      </c>
      <c r="T169" s="66">
        <f>INDEX('FY 22 OFA Shell'!$AK$27:$AK$195,MATCH(Data!H169,'FY 22 OFA Shell'!$H$27:$H$195,0))</f>
        <v>0</v>
      </c>
      <c r="U169" s="135">
        <v>20961352</v>
      </c>
      <c r="V169" s="67">
        <f>ROUND(J169*Inputs!$E$22, 2)</f>
        <v>712.5</v>
      </c>
      <c r="W169" s="68">
        <f>I169+V169+K169*Inputs!$E$28+Data!M169</f>
        <v>10184.870000000001</v>
      </c>
      <c r="X169" s="69">
        <f t="shared" si="78"/>
        <v>149910.10999999999</v>
      </c>
      <c r="Y169" s="70">
        <f>ROUND(X169/Inputs!$E$32, 6)</f>
        <v>0.77864500000000003</v>
      </c>
      <c r="Z169" s="70">
        <f>ROUND(P169/Inputs!$E$33, 6)</f>
        <v>0.82394000000000001</v>
      </c>
      <c r="AA169" s="59">
        <f>ROUND(1-((Y169*Inputs!$E$29)+Z169*Inputs!$E$27), 6)</f>
        <v>0.20776700000000001</v>
      </c>
      <c r="AB169" s="59">
        <v>222.4127320726532</v>
      </c>
      <c r="AC169" s="73">
        <f>INDEX('FY 22 OFA Shell'!$G$27:$G$195,MATCH(Data!H169,'FY 22 OFA Shell'!$H$27:$H$195,0))</f>
        <v>89</v>
      </c>
      <c r="AD169" s="73">
        <f t="shared" si="91"/>
        <v>5</v>
      </c>
      <c r="AE169" s="65">
        <v>20961352</v>
      </c>
      <c r="AF169" s="65">
        <f t="shared" si="79"/>
        <v>3426469</v>
      </c>
      <c r="AG169" s="65">
        <f t="shared" si="80"/>
        <v>3426469</v>
      </c>
      <c r="AH169" s="52">
        <v>18110816</v>
      </c>
      <c r="AI169" s="107">
        <v>21099035.083999999</v>
      </c>
      <c r="AJ169">
        <v>14</v>
      </c>
      <c r="AK169">
        <v>17814.831066257131</v>
      </c>
      <c r="AL169" s="165">
        <f>INDEX('FY 22 OFA Shell'!$AU$27:$AU$195,MATCH(Data!H169,'FY 22 OFA Shell'!$H$27:$H$195,0))</f>
        <v>21880498</v>
      </c>
      <c r="AM169" s="165">
        <f>Outputs!H174</f>
        <v>24387821</v>
      </c>
      <c r="AN169" s="165">
        <f>Outputs!G174+Outputs!D174+Outputs!F174</f>
        <v>24387821</v>
      </c>
      <c r="AO169" s="165">
        <v>21486317</v>
      </c>
      <c r="AP169" s="165">
        <f t="shared" si="92"/>
        <v>21116849.915066257</v>
      </c>
      <c r="AQ169" s="52" t="str">
        <f t="shared" si="81"/>
        <v>Yes</v>
      </c>
      <c r="AR169" s="308">
        <f>ABS(IF(AQ169="Yes",AF169*Inputs!$D$50,Data!AF169*Inputs!$D$51))</f>
        <v>365261.59539999999</v>
      </c>
      <c r="AS169" s="308">
        <f t="shared" si="93"/>
        <v>22245759.595399998</v>
      </c>
      <c r="AT169" s="308">
        <f t="shared" si="82"/>
        <v>22245759.595399998</v>
      </c>
      <c r="AU169" s="308"/>
      <c r="AV169" s="308">
        <f>ABS(IF($AQ169="Yes",$AF169*Inputs!E$50,Data!$AF169*Inputs!E$51))</f>
        <v>365261.59539999999</v>
      </c>
      <c r="AW169" s="308">
        <f>ABS(IF($AQ169="Yes",$AF169*Inputs!F$50,Data!$AF169*Inputs!F$51))</f>
        <v>365261.59539999999</v>
      </c>
      <c r="AX169" s="308">
        <f>ABS(IF($AQ169="Yes",$AF169*Inputs!G$50,Data!$AF169*Inputs!G$51))</f>
        <v>365261.59539999999</v>
      </c>
      <c r="AY169" s="308">
        <f>ABS(IF($AQ169="Yes",$AF169*Inputs!H$50,Data!$AF169*Inputs!H$51))</f>
        <v>365261.59539999999</v>
      </c>
      <c r="AZ169" s="308">
        <f>ABS(IF($AQ169="Yes",$AF169*Inputs!I$50,Data!$AF169*Inputs!I$51))</f>
        <v>365261.59539999999</v>
      </c>
      <c r="BA169" s="308">
        <f>ABS(IF($AQ169="Yes",$AF169*Inputs!J$50,Data!$AF169*Inputs!J$51))</f>
        <v>365261.59539999999</v>
      </c>
      <c r="BB169" s="308">
        <f>ABS(IF($AQ169="Yes",$AF169*Inputs!K$50,Data!$AF169*Inputs!K$51))</f>
        <v>0</v>
      </c>
      <c r="BC169" s="308">
        <f>ABS(IF($AQ169="Yes",$AF169*Inputs!L$50,Data!$AF169*Inputs!L$51))</f>
        <v>0</v>
      </c>
      <c r="BE169" s="308">
        <f t="shared" si="94"/>
        <v>22611021.190799996</v>
      </c>
      <c r="BF169" s="308">
        <f t="shared" si="95"/>
        <v>22976282.786199994</v>
      </c>
      <c r="BG169" s="308">
        <f t="shared" si="96"/>
        <v>23341544.381599993</v>
      </c>
      <c r="BH169" s="308">
        <f t="shared" si="97"/>
        <v>23706805.976999991</v>
      </c>
      <c r="BI169" s="308">
        <f t="shared" si="98"/>
        <v>24072067.572399989</v>
      </c>
      <c r="BJ169" s="308">
        <f t="shared" si="99"/>
        <v>24387821</v>
      </c>
      <c r="BK169" s="308">
        <f t="shared" si="100"/>
        <v>24387821</v>
      </c>
      <c r="BL169" s="308">
        <f t="shared" si="101"/>
        <v>24387821</v>
      </c>
      <c r="BN169" s="308">
        <f t="shared" si="83"/>
        <v>22611021.190799996</v>
      </c>
      <c r="BO169" s="308">
        <f t="shared" si="84"/>
        <v>22976282.786199994</v>
      </c>
      <c r="BP169" s="308">
        <f t="shared" si="85"/>
        <v>23341544.381599993</v>
      </c>
      <c r="BQ169" s="308">
        <f t="shared" si="86"/>
        <v>23706805.976999991</v>
      </c>
      <c r="BR169" s="308">
        <f t="shared" si="87"/>
        <v>24072067.572399989</v>
      </c>
      <c r="BS169" s="308">
        <f t="shared" si="88"/>
        <v>24387821</v>
      </c>
      <c r="BT169" s="308">
        <f t="shared" si="89"/>
        <v>24387821</v>
      </c>
      <c r="BU169" s="308">
        <f t="shared" si="102"/>
        <v>24387821</v>
      </c>
    </row>
    <row r="170" spans="1:73" ht="15" x14ac:dyDescent="0.2">
      <c r="A170" s="62" t="s">
        <v>168</v>
      </c>
      <c r="B170" s="55" t="s">
        <v>6</v>
      </c>
      <c r="C170" s="55"/>
      <c r="D170" s="55">
        <v>1</v>
      </c>
      <c r="E170" s="55">
        <v>1</v>
      </c>
      <c r="F170" s="55"/>
      <c r="G170" s="48">
        <v>10</v>
      </c>
      <c r="H170" s="55">
        <v>156</v>
      </c>
      <c r="I170" s="55">
        <f>INDEX('FY 22 OFA Shell'!$K$27:$K$195,MATCH(Data!H170,'FY 22 OFA Shell'!$H$27:$H$195,0))</f>
        <v>6701.12</v>
      </c>
      <c r="J170" s="55">
        <f>INDEX('FY 22 OFA Shell'!$N$27:$N$195,MATCH(Data!H170,'FY 22 OFA Shell'!$H$27:$H$195,0))</f>
        <v>4055</v>
      </c>
      <c r="K170" s="64">
        <f>INDEX('FY 22 OFA Shell'!$S$27:$S$195,MATCH(Data!H170,'FY 22 OFA Shell'!$H$27:$H$195,0))</f>
        <v>948</v>
      </c>
      <c r="L170" s="150">
        <f t="shared" si="90"/>
        <v>0.60512272575330694</v>
      </c>
      <c r="M170" s="149">
        <f>MAX(((L170-Inputs!$E$23)*Data!I170)*Inputs!$E$24,0)</f>
        <v>5.1492000000000564</v>
      </c>
      <c r="N170" s="151">
        <f>INDEX('FY 22 OFA Shell'!$V$27:$V$195,MATCH(Data!H170,'FY 22 OFA Shell'!$H$27:$H$195,0))</f>
        <v>4192191601.6700001</v>
      </c>
      <c r="O170" s="63">
        <f>INDEX('FY 22 OFA Shell'!$W$27:$W$195,MATCH(Data!H170,'FY 22 OFA Shell'!$H$27:$H$195,0))</f>
        <v>54918</v>
      </c>
      <c r="P170" s="65">
        <f>INDEX('FY 22 OFA Shell'!$Z$27:$Z$195,MATCH(Data!H170,'FY 22 OFA Shell'!$H$27:$H$195,0))</f>
        <v>58112</v>
      </c>
      <c r="Q170" s="63">
        <f>INDEX('FY 22 OFA Shell'!$AF$27:$AF$195,MATCH(Data!H170,'FY 22 OFA Shell'!$H$27:$H$195,0))</f>
        <v>0</v>
      </c>
      <c r="R170" s="66">
        <f>INDEX('FY 22 OFA Shell'!$AG$27:$AG$195,MATCH(Data!H170,'FY 22 OFA Shell'!$H$27:$H$195,0))</f>
        <v>0</v>
      </c>
      <c r="S170" s="66">
        <f>INDEX('FY 22 OFA Shell'!$AJ$27:$AJ$195,MATCH(Data!H170,'FY 22 OFA Shell'!$H$27:$H$195,0))</f>
        <v>0</v>
      </c>
      <c r="T170" s="66">
        <f>INDEX('FY 22 OFA Shell'!$AK$27:$AK$195,MATCH(Data!H170,'FY 22 OFA Shell'!$H$27:$H$195,0))</f>
        <v>0</v>
      </c>
      <c r="U170" s="135">
        <v>45140487</v>
      </c>
      <c r="V170" s="67">
        <f>ROUND(J170*Inputs!$E$22, 2)</f>
        <v>1216.5</v>
      </c>
      <c r="W170" s="68">
        <f>I170+V170+K170*Inputs!$E$28+Data!M170</f>
        <v>8159.7691999999997</v>
      </c>
      <c r="X170" s="69">
        <f t="shared" si="78"/>
        <v>76335.47</v>
      </c>
      <c r="Y170" s="70">
        <f>ROUND(X170/Inputs!$E$32, 6)</f>
        <v>0.39649299999999998</v>
      </c>
      <c r="Z170" s="70">
        <f>ROUND(P170/Inputs!$E$33, 6)</f>
        <v>0.48227999999999999</v>
      </c>
      <c r="AA170" s="59">
        <f>ROUND(1-((Y170*Inputs!$E$29)+Z170*Inputs!$E$27), 6)</f>
        <v>0.57777100000000003</v>
      </c>
      <c r="AB170" s="59">
        <v>311.06056394251897</v>
      </c>
      <c r="AC170" s="73">
        <f>INDEX('FY 22 OFA Shell'!$G$27:$G$195,MATCH(Data!H170,'FY 22 OFA Shell'!$H$27:$H$195,0))</f>
        <v>14</v>
      </c>
      <c r="AD170" s="73">
        <f t="shared" si="91"/>
        <v>3</v>
      </c>
      <c r="AE170" s="65">
        <v>45140487</v>
      </c>
      <c r="AF170" s="65">
        <f t="shared" si="79"/>
        <v>12955526</v>
      </c>
      <c r="AG170" s="65">
        <f t="shared" si="80"/>
        <v>12955526</v>
      </c>
      <c r="AH170" s="52">
        <v>44894871</v>
      </c>
      <c r="AI170" s="107">
        <v>45788444.767999999</v>
      </c>
      <c r="AJ170">
        <v>12</v>
      </c>
      <c r="AK170">
        <v>15269.85519964897</v>
      </c>
      <c r="AL170" s="165">
        <f>INDEX('FY 22 OFA Shell'!$AU$27:$AU$195,MATCH(Data!H170,'FY 22 OFA Shell'!$H$27:$H$195,0))</f>
        <v>48958444</v>
      </c>
      <c r="AM170" s="165">
        <f>Outputs!H175</f>
        <v>58096013</v>
      </c>
      <c r="AN170" s="165">
        <f>Outputs!G175+Outputs!D175+Outputs!F175</f>
        <v>58096013</v>
      </c>
      <c r="AO170" s="165">
        <v>47400375</v>
      </c>
      <c r="AP170" s="165">
        <f t="shared" si="92"/>
        <v>45803714.623199649</v>
      </c>
      <c r="AQ170" s="52" t="str">
        <f t="shared" si="81"/>
        <v>Yes</v>
      </c>
      <c r="AR170" s="308">
        <f>ABS(IF(AQ170="Yes",AF170*Inputs!$D$50,Data!AF170*Inputs!$D$51))</f>
        <v>1381059.0715999999</v>
      </c>
      <c r="AS170" s="308">
        <f t="shared" si="93"/>
        <v>50339503.071599998</v>
      </c>
      <c r="AT170" s="308">
        <f t="shared" si="82"/>
        <v>50339503.071599998</v>
      </c>
      <c r="AU170" s="308"/>
      <c r="AV170" s="308">
        <f>ABS(IF($AQ170="Yes",$AF170*Inputs!E$50,Data!$AF170*Inputs!E$51))</f>
        <v>1381059.0715999999</v>
      </c>
      <c r="AW170" s="308">
        <f>ABS(IF($AQ170="Yes",$AF170*Inputs!F$50,Data!$AF170*Inputs!F$51))</f>
        <v>1381059.0715999999</v>
      </c>
      <c r="AX170" s="308">
        <f>ABS(IF($AQ170="Yes",$AF170*Inputs!G$50,Data!$AF170*Inputs!G$51))</f>
        <v>1381059.0715999999</v>
      </c>
      <c r="AY170" s="308">
        <f>ABS(IF($AQ170="Yes",$AF170*Inputs!H$50,Data!$AF170*Inputs!H$51))</f>
        <v>1381059.0715999999</v>
      </c>
      <c r="AZ170" s="308">
        <f>ABS(IF($AQ170="Yes",$AF170*Inputs!I$50,Data!$AF170*Inputs!I$51))</f>
        <v>1381059.0715999999</v>
      </c>
      <c r="BA170" s="308">
        <f>ABS(IF($AQ170="Yes",$AF170*Inputs!J$50,Data!$AF170*Inputs!J$51))</f>
        <v>1381059.0715999999</v>
      </c>
      <c r="BB170" s="308">
        <f>ABS(IF($AQ170="Yes",$AF170*Inputs!K$50,Data!$AF170*Inputs!K$51))</f>
        <v>0</v>
      </c>
      <c r="BC170" s="308">
        <f>ABS(IF($AQ170="Yes",$AF170*Inputs!L$50,Data!$AF170*Inputs!L$51))</f>
        <v>0</v>
      </c>
      <c r="BE170" s="308">
        <f t="shared" si="94"/>
        <v>51720562.143199995</v>
      </c>
      <c r="BF170" s="308">
        <f t="shared" si="95"/>
        <v>53101621.214799993</v>
      </c>
      <c r="BG170" s="308">
        <f t="shared" si="96"/>
        <v>54482680.28639999</v>
      </c>
      <c r="BH170" s="308">
        <f t="shared" si="97"/>
        <v>55863739.357999988</v>
      </c>
      <c r="BI170" s="308">
        <f t="shared" si="98"/>
        <v>57244798.429599985</v>
      </c>
      <c r="BJ170" s="308">
        <f t="shared" si="99"/>
        <v>58096013</v>
      </c>
      <c r="BK170" s="308">
        <f t="shared" si="100"/>
        <v>58096013</v>
      </c>
      <c r="BL170" s="308">
        <f t="shared" si="101"/>
        <v>58096013</v>
      </c>
      <c r="BN170" s="308">
        <f t="shared" si="83"/>
        <v>51720562.143199995</v>
      </c>
      <c r="BO170" s="308">
        <f t="shared" si="84"/>
        <v>53101621.214799993</v>
      </c>
      <c r="BP170" s="308">
        <f t="shared" si="85"/>
        <v>54482680.28639999</v>
      </c>
      <c r="BQ170" s="308">
        <f t="shared" si="86"/>
        <v>55863739.357999988</v>
      </c>
      <c r="BR170" s="308">
        <f t="shared" si="87"/>
        <v>57244798.429599985</v>
      </c>
      <c r="BS170" s="308">
        <f t="shared" si="88"/>
        <v>58096013</v>
      </c>
      <c r="BT170" s="308">
        <f t="shared" si="89"/>
        <v>58096013</v>
      </c>
      <c r="BU170" s="308">
        <f t="shared" si="102"/>
        <v>58096013</v>
      </c>
    </row>
    <row r="171" spans="1:73" ht="15" x14ac:dyDescent="0.2">
      <c r="A171" s="62" t="s">
        <v>169</v>
      </c>
      <c r="B171" s="55" t="s">
        <v>46</v>
      </c>
      <c r="C171" s="55"/>
      <c r="D171" s="55"/>
      <c r="E171" s="55"/>
      <c r="F171" s="55"/>
      <c r="G171" s="48">
        <v>1</v>
      </c>
      <c r="H171" s="55">
        <v>157</v>
      </c>
      <c r="I171" s="55">
        <f>INDEX('FY 22 OFA Shell'!$K$27:$K$195,MATCH(Data!H171,'FY 22 OFA Shell'!$H$27:$H$195,0))</f>
        <v>2253.08</v>
      </c>
      <c r="J171" s="55">
        <f>INDEX('FY 22 OFA Shell'!$N$27:$N$195,MATCH(Data!H171,'FY 22 OFA Shell'!$H$27:$H$195,0))</f>
        <v>29</v>
      </c>
      <c r="K171" s="64">
        <f>INDEX('FY 22 OFA Shell'!$S$27:$S$195,MATCH(Data!H171,'FY 22 OFA Shell'!$H$27:$H$195,0))</f>
        <v>14</v>
      </c>
      <c r="L171" s="150">
        <f t="shared" si="90"/>
        <v>1.2871269551014612E-2</v>
      </c>
      <c r="M171" s="149">
        <f>MAX(((L171-Inputs!$E$23)*Data!I171)*Inputs!$E$24,0)</f>
        <v>0</v>
      </c>
      <c r="N171" s="151">
        <f>INDEX('FY 22 OFA Shell'!$V$27:$V$195,MATCH(Data!H171,'FY 22 OFA Shell'!$H$27:$H$195,0))</f>
        <v>3338832762.3299999</v>
      </c>
      <c r="O171" s="63">
        <f>INDEX('FY 22 OFA Shell'!$W$27:$W$195,MATCH(Data!H171,'FY 22 OFA Shell'!$H$27:$H$195,0))</f>
        <v>10288</v>
      </c>
      <c r="P171" s="65">
        <f>INDEX('FY 22 OFA Shell'!$Z$27:$Z$195,MATCH(Data!H171,'FY 22 OFA Shell'!$H$27:$H$195,0))</f>
        <v>219083</v>
      </c>
      <c r="Q171" s="63">
        <f>INDEX('FY 22 OFA Shell'!$AF$27:$AF$195,MATCH(Data!H171,'FY 22 OFA Shell'!$H$27:$H$195,0))</f>
        <v>0</v>
      </c>
      <c r="R171" s="66">
        <f>INDEX('FY 22 OFA Shell'!$AG$27:$AG$195,MATCH(Data!H171,'FY 22 OFA Shell'!$H$27:$H$195,0))</f>
        <v>0</v>
      </c>
      <c r="S171" s="66">
        <f>INDEX('FY 22 OFA Shell'!$AJ$27:$AJ$195,MATCH(Data!H171,'FY 22 OFA Shell'!$H$27:$H$195,0))</f>
        <v>0</v>
      </c>
      <c r="T171" s="66">
        <f>INDEX('FY 22 OFA Shell'!$AK$27:$AK$195,MATCH(Data!H171,'FY 22 OFA Shell'!$H$27:$H$195,0))</f>
        <v>0</v>
      </c>
      <c r="U171" s="135">
        <v>263431</v>
      </c>
      <c r="V171" s="67">
        <f>ROUND(J171*Inputs!$E$22, 2)</f>
        <v>8.6999999999999993</v>
      </c>
      <c r="W171" s="68">
        <f>I171+V171+K171*Inputs!$E$28+Data!M171</f>
        <v>2265.2799999999997</v>
      </c>
      <c r="X171" s="69">
        <f t="shared" si="78"/>
        <v>324536.62</v>
      </c>
      <c r="Y171" s="70">
        <f>ROUND(X171/Inputs!$E$32, 6)</f>
        <v>1.68567</v>
      </c>
      <c r="Z171" s="70">
        <f>ROUND(P171/Inputs!$E$33, 6)</f>
        <v>1.818203</v>
      </c>
      <c r="AA171" s="59">
        <f>ROUND(1-((Y171*Inputs!$E$29)+Z171*Inputs!$E$27), 6)</f>
        <v>-0.72543000000000002</v>
      </c>
      <c r="AB171" s="59">
        <v>110.49630038351826</v>
      </c>
      <c r="AC171" s="73">
        <f>INDEX('FY 22 OFA Shell'!$G$27:$G$195,MATCH(Data!H171,'FY 22 OFA Shell'!$H$27:$H$195,0))</f>
        <v>161</v>
      </c>
      <c r="AD171" s="73">
        <f t="shared" si="91"/>
        <v>5</v>
      </c>
      <c r="AE171" s="65">
        <v>263431</v>
      </c>
      <c r="AF171" s="65">
        <f t="shared" si="79"/>
        <v>-2357</v>
      </c>
      <c r="AG171" s="65">
        <f t="shared" si="80"/>
        <v>-2357</v>
      </c>
      <c r="AH171" s="52">
        <v>229317</v>
      </c>
      <c r="AI171" s="107">
        <v>263631.94099999999</v>
      </c>
      <c r="AJ171"/>
      <c r="AK171">
        <v>0</v>
      </c>
      <c r="AL171" s="165">
        <f>INDEX('FY 22 OFA Shell'!$AU$27:$AU$195,MATCH(Data!H171,'FY 22 OFA Shell'!$H$27:$H$195,0))</f>
        <v>263792</v>
      </c>
      <c r="AM171" s="165">
        <f>Outputs!H176</f>
        <v>261074</v>
      </c>
      <c r="AN171" s="165">
        <f>Outputs!G176+Outputs!D176+Outputs!F176</f>
        <v>261074</v>
      </c>
      <c r="AO171" s="165">
        <v>263889</v>
      </c>
      <c r="AP171" s="165">
        <f t="shared" si="92"/>
        <v>263631.94099999999</v>
      </c>
      <c r="AQ171" s="52" t="str">
        <f t="shared" si="81"/>
        <v>No</v>
      </c>
      <c r="AR171" s="308">
        <f>ABS(IF(AQ171="Yes",AF171*Inputs!$D$50,Data!AF171*Inputs!$D$51))</f>
        <v>0</v>
      </c>
      <c r="AS171" s="308">
        <f t="shared" si="93"/>
        <v>263792</v>
      </c>
      <c r="AT171" s="308">
        <f t="shared" si="82"/>
        <v>263792</v>
      </c>
      <c r="AU171" s="308"/>
      <c r="AV171" s="308">
        <f>ABS(IF($AQ171="Yes",$AF171*Inputs!E$50,Data!$AF171*Inputs!E$51))</f>
        <v>0</v>
      </c>
      <c r="AW171" s="308">
        <f>ABS(IF($AQ171="Yes",$AF171*Inputs!F$50,Data!$AF171*Inputs!F$51))</f>
        <v>196.3381</v>
      </c>
      <c r="AX171" s="308">
        <f>ABS(IF($AQ171="Yes",$AF171*Inputs!G$50,Data!$AF171*Inputs!G$51))</f>
        <v>196.3381</v>
      </c>
      <c r="AY171" s="308">
        <f>ABS(IF($AQ171="Yes",$AF171*Inputs!H$50,Data!$AF171*Inputs!H$51))</f>
        <v>196.3381</v>
      </c>
      <c r="AZ171" s="308">
        <f>ABS(IF($AQ171="Yes",$AF171*Inputs!I$50,Data!$AF171*Inputs!I$51))</f>
        <v>196.3381</v>
      </c>
      <c r="BA171" s="308">
        <f>ABS(IF($AQ171="Yes",$AF171*Inputs!J$50,Data!$AF171*Inputs!J$51))</f>
        <v>196.3381</v>
      </c>
      <c r="BB171" s="308">
        <f>ABS(IF($AQ171="Yes",$AF171*Inputs!K$50,Data!$AF171*Inputs!K$51))</f>
        <v>196.3381</v>
      </c>
      <c r="BC171" s="308">
        <f>ABS(IF($AQ171="Yes",$AF171*Inputs!L$50,Data!$AF171*Inputs!L$51))</f>
        <v>196.3381</v>
      </c>
      <c r="BE171" s="308">
        <f t="shared" si="94"/>
        <v>263792</v>
      </c>
      <c r="BF171" s="308">
        <f t="shared" si="95"/>
        <v>263595.66190000001</v>
      </c>
      <c r="BG171" s="308">
        <f t="shared" si="96"/>
        <v>263399.32380000001</v>
      </c>
      <c r="BH171" s="308">
        <f t="shared" si="97"/>
        <v>263202.98570000002</v>
      </c>
      <c r="BI171" s="308">
        <f t="shared" si="98"/>
        <v>263006.64760000003</v>
      </c>
      <c r="BJ171" s="308">
        <f t="shared" si="99"/>
        <v>262810.30950000003</v>
      </c>
      <c r="BK171" s="308">
        <f t="shared" si="100"/>
        <v>262613.97140000004</v>
      </c>
      <c r="BL171" s="308">
        <f t="shared" si="101"/>
        <v>261074</v>
      </c>
      <c r="BN171" s="308">
        <f t="shared" si="83"/>
        <v>263792</v>
      </c>
      <c r="BO171" s="308">
        <f t="shared" si="84"/>
        <v>263595.66190000001</v>
      </c>
      <c r="BP171" s="308">
        <f t="shared" si="85"/>
        <v>263399.32380000001</v>
      </c>
      <c r="BQ171" s="308">
        <f t="shared" si="86"/>
        <v>263202.98570000002</v>
      </c>
      <c r="BR171" s="308">
        <f t="shared" si="87"/>
        <v>263006.64760000003</v>
      </c>
      <c r="BS171" s="308">
        <f t="shared" si="88"/>
        <v>262810.30950000003</v>
      </c>
      <c r="BT171" s="308">
        <f t="shared" si="89"/>
        <v>262613.97140000004</v>
      </c>
      <c r="BU171" s="308">
        <f t="shared" si="102"/>
        <v>261074</v>
      </c>
    </row>
    <row r="172" spans="1:73" ht="15" x14ac:dyDescent="0.2">
      <c r="A172" s="62" t="s">
        <v>170</v>
      </c>
      <c r="B172" s="55" t="s">
        <v>46</v>
      </c>
      <c r="C172" s="55"/>
      <c r="D172" s="55"/>
      <c r="E172" s="55"/>
      <c r="F172" s="55"/>
      <c r="G172" s="48">
        <v>1</v>
      </c>
      <c r="H172" s="55">
        <v>158</v>
      </c>
      <c r="I172" s="55">
        <f>INDEX('FY 22 OFA Shell'!$K$27:$K$195,MATCH(Data!H172,'FY 22 OFA Shell'!$H$27:$H$195,0))</f>
        <v>5275.25</v>
      </c>
      <c r="J172" s="55">
        <f>INDEX('FY 22 OFA Shell'!$N$27:$N$195,MATCH(Data!H172,'FY 22 OFA Shell'!$H$27:$H$195,0))</f>
        <v>111</v>
      </c>
      <c r="K172" s="64">
        <f>INDEX('FY 22 OFA Shell'!$S$27:$S$195,MATCH(Data!H172,'FY 22 OFA Shell'!$H$27:$H$195,0))</f>
        <v>50</v>
      </c>
      <c r="L172" s="150">
        <f t="shared" si="90"/>
        <v>2.1041656793516893E-2</v>
      </c>
      <c r="M172" s="149">
        <f>MAX(((L172-Inputs!$E$23)*Data!I172)*Inputs!$E$24,0)</f>
        <v>0</v>
      </c>
      <c r="N172" s="151">
        <f>INDEX('FY 22 OFA Shell'!$V$27:$V$195,MATCH(Data!H172,'FY 22 OFA Shell'!$H$27:$H$195,0))</f>
        <v>16075832968.33</v>
      </c>
      <c r="O172" s="63">
        <f>INDEX('FY 22 OFA Shell'!$W$27:$W$195,MATCH(Data!H172,'FY 22 OFA Shell'!$H$27:$H$195,0))</f>
        <v>27840</v>
      </c>
      <c r="P172" s="65">
        <f>INDEX('FY 22 OFA Shell'!$Z$27:$Z$195,MATCH(Data!H172,'FY 22 OFA Shell'!$H$27:$H$195,0))</f>
        <v>187988</v>
      </c>
      <c r="Q172" s="63">
        <f>INDEX('FY 22 OFA Shell'!$AF$27:$AF$195,MATCH(Data!H172,'FY 22 OFA Shell'!$H$27:$H$195,0))</f>
        <v>0</v>
      </c>
      <c r="R172" s="66">
        <f>INDEX('FY 22 OFA Shell'!$AG$27:$AG$195,MATCH(Data!H172,'FY 22 OFA Shell'!$H$27:$H$195,0))</f>
        <v>0</v>
      </c>
      <c r="S172" s="66">
        <f>INDEX('FY 22 OFA Shell'!$AJ$27:$AJ$195,MATCH(Data!H172,'FY 22 OFA Shell'!$H$27:$H$195,0))</f>
        <v>0</v>
      </c>
      <c r="T172" s="66">
        <f>INDEX('FY 22 OFA Shell'!$AK$27:$AK$195,MATCH(Data!H172,'FY 22 OFA Shell'!$H$27:$H$195,0))</f>
        <v>0</v>
      </c>
      <c r="U172" s="135">
        <v>465334</v>
      </c>
      <c r="V172" s="67">
        <f>ROUND(J172*Inputs!$E$22, 2)</f>
        <v>33.299999999999997</v>
      </c>
      <c r="W172" s="68">
        <f>I172+V172+K172*Inputs!$E$28+Data!M172</f>
        <v>5321.05</v>
      </c>
      <c r="X172" s="69">
        <f t="shared" si="78"/>
        <v>577436.53</v>
      </c>
      <c r="Y172" s="70">
        <f>ROUND(X172/Inputs!$E$32, 6)</f>
        <v>2.9992529999999999</v>
      </c>
      <c r="Z172" s="70">
        <f>ROUND(P172/Inputs!$E$33, 6)</f>
        <v>1.560141</v>
      </c>
      <c r="AA172" s="59">
        <f>ROUND(1-((Y172*Inputs!$E$29)+Z172*Inputs!$E$27), 6)</f>
        <v>-1.5675190000000001</v>
      </c>
      <c r="AB172" s="59">
        <v>60.355788058475099</v>
      </c>
      <c r="AC172" s="73">
        <f>INDEX('FY 22 OFA Shell'!$G$27:$G$195,MATCH(Data!H172,'FY 22 OFA Shell'!$H$27:$H$195,0))</f>
        <v>166</v>
      </c>
      <c r="AD172" s="73">
        <f t="shared" si="91"/>
        <v>5</v>
      </c>
      <c r="AE172" s="65">
        <v>465334</v>
      </c>
      <c r="AF172" s="65">
        <f t="shared" si="79"/>
        <v>147917</v>
      </c>
      <c r="AG172" s="65">
        <f t="shared" si="80"/>
        <v>147917</v>
      </c>
      <c r="AH172" s="52">
        <v>384440</v>
      </c>
      <c r="AI172" s="107">
        <v>472954.05499999999</v>
      </c>
      <c r="AJ172"/>
      <c r="AK172">
        <v>0</v>
      </c>
      <c r="AL172" s="165">
        <f>INDEX('FY 22 OFA Shell'!$AU$27:$AU$195,MATCH(Data!H172,'FY 22 OFA Shell'!$H$27:$H$195,0))</f>
        <v>507728</v>
      </c>
      <c r="AM172" s="165">
        <f>Outputs!H177</f>
        <v>613251</v>
      </c>
      <c r="AN172" s="165">
        <f>Outputs!G177+Outputs!D177+Outputs!F177</f>
        <v>613251</v>
      </c>
      <c r="AO172" s="165">
        <v>491178</v>
      </c>
      <c r="AP172" s="165">
        <f t="shared" si="92"/>
        <v>472954.05499999999</v>
      </c>
      <c r="AQ172" s="52" t="str">
        <f t="shared" si="81"/>
        <v>Yes</v>
      </c>
      <c r="AR172" s="308">
        <f>ABS(IF(AQ172="Yes",AF172*Inputs!$D$50,Data!AF172*Inputs!$D$51))</f>
        <v>15767.9522</v>
      </c>
      <c r="AS172" s="308">
        <f t="shared" si="93"/>
        <v>523495.9522</v>
      </c>
      <c r="AT172" s="308">
        <f t="shared" si="82"/>
        <v>523495.9522</v>
      </c>
      <c r="AU172" s="308"/>
      <c r="AV172" s="308">
        <f>ABS(IF($AQ172="Yes",$AF172*Inputs!E$50,Data!$AF172*Inputs!E$51))</f>
        <v>15767.9522</v>
      </c>
      <c r="AW172" s="308">
        <f>ABS(IF($AQ172="Yes",$AF172*Inputs!F$50,Data!$AF172*Inputs!F$51))</f>
        <v>15767.9522</v>
      </c>
      <c r="AX172" s="308">
        <f>ABS(IF($AQ172="Yes",$AF172*Inputs!G$50,Data!$AF172*Inputs!G$51))</f>
        <v>15767.9522</v>
      </c>
      <c r="AY172" s="308">
        <f>ABS(IF($AQ172="Yes",$AF172*Inputs!H$50,Data!$AF172*Inputs!H$51))</f>
        <v>15767.9522</v>
      </c>
      <c r="AZ172" s="308">
        <f>ABS(IF($AQ172="Yes",$AF172*Inputs!I$50,Data!$AF172*Inputs!I$51))</f>
        <v>15767.9522</v>
      </c>
      <c r="BA172" s="308">
        <f>ABS(IF($AQ172="Yes",$AF172*Inputs!J$50,Data!$AF172*Inputs!J$51))</f>
        <v>15767.9522</v>
      </c>
      <c r="BB172" s="308">
        <f>ABS(IF($AQ172="Yes",$AF172*Inputs!K$50,Data!$AF172*Inputs!K$51))</f>
        <v>0</v>
      </c>
      <c r="BC172" s="308">
        <f>ABS(IF($AQ172="Yes",$AF172*Inputs!L$50,Data!$AF172*Inputs!L$51))</f>
        <v>0</v>
      </c>
      <c r="BE172" s="308">
        <f t="shared" si="94"/>
        <v>539263.9044</v>
      </c>
      <c r="BF172" s="308">
        <f t="shared" si="95"/>
        <v>555031.85660000006</v>
      </c>
      <c r="BG172" s="308">
        <f t="shared" si="96"/>
        <v>570799.8088</v>
      </c>
      <c r="BH172" s="308">
        <f t="shared" si="97"/>
        <v>586567.76099999994</v>
      </c>
      <c r="BI172" s="308">
        <f t="shared" si="98"/>
        <v>602335.71319999988</v>
      </c>
      <c r="BJ172" s="308">
        <f t="shared" si="99"/>
        <v>613251</v>
      </c>
      <c r="BK172" s="308">
        <f t="shared" si="100"/>
        <v>613251</v>
      </c>
      <c r="BL172" s="308">
        <f t="shared" si="101"/>
        <v>613251</v>
      </c>
      <c r="BN172" s="308">
        <f t="shared" si="83"/>
        <v>539263.9044</v>
      </c>
      <c r="BO172" s="308">
        <f t="shared" si="84"/>
        <v>555031.85660000006</v>
      </c>
      <c r="BP172" s="308">
        <f t="shared" si="85"/>
        <v>570799.8088</v>
      </c>
      <c r="BQ172" s="308">
        <f t="shared" si="86"/>
        <v>586567.76099999994</v>
      </c>
      <c r="BR172" s="308">
        <f t="shared" si="87"/>
        <v>602335.71319999988</v>
      </c>
      <c r="BS172" s="308">
        <f t="shared" si="88"/>
        <v>613251</v>
      </c>
      <c r="BT172" s="308">
        <f t="shared" si="89"/>
        <v>613251</v>
      </c>
      <c r="BU172" s="308">
        <f t="shared" si="102"/>
        <v>613251</v>
      </c>
    </row>
    <row r="173" spans="1:73" ht="15" x14ac:dyDescent="0.2">
      <c r="A173" s="62" t="s">
        <v>171</v>
      </c>
      <c r="B173" s="55" t="s">
        <v>14</v>
      </c>
      <c r="C173" s="55"/>
      <c r="D173" s="55"/>
      <c r="E173" s="55"/>
      <c r="F173" s="55"/>
      <c r="G173" s="48">
        <v>8</v>
      </c>
      <c r="H173" s="55">
        <v>159</v>
      </c>
      <c r="I173" s="55">
        <f>INDEX('FY 22 OFA Shell'!$K$27:$K$195,MATCH(Data!H173,'FY 22 OFA Shell'!$H$27:$H$195,0))</f>
        <v>3751.79</v>
      </c>
      <c r="J173" s="55">
        <f>INDEX('FY 22 OFA Shell'!$N$27:$N$195,MATCH(Data!H173,'FY 22 OFA Shell'!$H$27:$H$195,0))</f>
        <v>938</v>
      </c>
      <c r="K173" s="64">
        <f>INDEX('FY 22 OFA Shell'!$S$27:$S$195,MATCH(Data!H173,'FY 22 OFA Shell'!$H$27:$H$195,0))</f>
        <v>325</v>
      </c>
      <c r="L173" s="150">
        <f t="shared" si="90"/>
        <v>0.25001399332052165</v>
      </c>
      <c r="M173" s="149">
        <f>MAX(((L173-Inputs!$E$23)*Data!I173)*Inputs!$E$24,0)</f>
        <v>0</v>
      </c>
      <c r="N173" s="151">
        <f>INDEX('FY 22 OFA Shell'!$V$27:$V$195,MATCH(Data!H173,'FY 22 OFA Shell'!$H$27:$H$195,0))</f>
        <v>3363178719.3299999</v>
      </c>
      <c r="O173" s="63">
        <f>INDEX('FY 22 OFA Shell'!$W$27:$W$195,MATCH(Data!H173,'FY 22 OFA Shell'!$H$27:$H$195,0))</f>
        <v>26267</v>
      </c>
      <c r="P173" s="65">
        <f>INDEX('FY 22 OFA Shell'!$Z$27:$Z$195,MATCH(Data!H173,'FY 22 OFA Shell'!$H$27:$H$195,0))</f>
        <v>83391</v>
      </c>
      <c r="Q173" s="63">
        <f>INDEX('FY 22 OFA Shell'!$AF$27:$AF$195,MATCH(Data!H173,'FY 22 OFA Shell'!$H$27:$H$195,0))</f>
        <v>0</v>
      </c>
      <c r="R173" s="66">
        <f>INDEX('FY 22 OFA Shell'!$AG$27:$AG$195,MATCH(Data!H173,'FY 22 OFA Shell'!$H$27:$H$195,0))</f>
        <v>0</v>
      </c>
      <c r="S173" s="66">
        <f>INDEX('FY 22 OFA Shell'!$AJ$27:$AJ$195,MATCH(Data!H173,'FY 22 OFA Shell'!$H$27:$H$195,0))</f>
        <v>0</v>
      </c>
      <c r="T173" s="66">
        <f>INDEX('FY 22 OFA Shell'!$AK$27:$AK$195,MATCH(Data!H173,'FY 22 OFA Shell'!$H$27:$H$195,0))</f>
        <v>0</v>
      </c>
      <c r="U173" s="135">
        <v>9348852</v>
      </c>
      <c r="V173" s="67">
        <f>ROUND(J173*Inputs!$E$22, 2)</f>
        <v>281.39999999999998</v>
      </c>
      <c r="W173" s="68">
        <f>I173+V173+K173*Inputs!$E$28+Data!M173</f>
        <v>4114.4400000000005</v>
      </c>
      <c r="X173" s="69">
        <f t="shared" si="78"/>
        <v>128038.17</v>
      </c>
      <c r="Y173" s="70">
        <f>ROUND(X173/Inputs!$E$32, 6)</f>
        <v>0.66504099999999999</v>
      </c>
      <c r="Z173" s="70">
        <f>ROUND(P173/Inputs!$E$33, 6)</f>
        <v>0.692075</v>
      </c>
      <c r="AA173" s="59">
        <f>ROUND(1-((Y173*Inputs!$E$29)+Z173*Inputs!$E$27), 6)</f>
        <v>0.326849</v>
      </c>
      <c r="AB173" s="59">
        <v>247.57193211911547</v>
      </c>
      <c r="AC173" s="73">
        <f>INDEX('FY 22 OFA Shell'!$G$27:$G$195,MATCH(Data!H173,'FY 22 OFA Shell'!$H$27:$H$195,0))</f>
        <v>56</v>
      </c>
      <c r="AD173" s="73">
        <f t="shared" si="91"/>
        <v>5</v>
      </c>
      <c r="AE173" s="65">
        <v>9348852</v>
      </c>
      <c r="AF173" s="65">
        <f t="shared" si="79"/>
        <v>6149975</v>
      </c>
      <c r="AG173" s="65">
        <f t="shared" si="80"/>
        <v>6149975</v>
      </c>
      <c r="AH173" s="52">
        <v>8013735</v>
      </c>
      <c r="AI173" s="107">
        <v>9607576.0629999992</v>
      </c>
      <c r="AJ173"/>
      <c r="AK173">
        <v>0</v>
      </c>
      <c r="AL173" s="165">
        <f>INDEX('FY 22 OFA Shell'!$AU$27:$AU$195,MATCH(Data!H173,'FY 22 OFA Shell'!$H$27:$H$195,0))</f>
        <v>10885177</v>
      </c>
      <c r="AM173" s="165">
        <f>Outputs!H178</f>
        <v>15498827</v>
      </c>
      <c r="AN173" s="165">
        <f>Outputs!G178+Outputs!D178+Outputs!F178</f>
        <v>15498827</v>
      </c>
      <c r="AO173" s="165">
        <v>10274870</v>
      </c>
      <c r="AP173" s="165">
        <f t="shared" si="92"/>
        <v>9607576.0629999992</v>
      </c>
      <c r="AQ173" s="52" t="str">
        <f t="shared" si="81"/>
        <v>Yes</v>
      </c>
      <c r="AR173" s="308">
        <f>ABS(IF(AQ173="Yes",AF173*Inputs!$D$50,Data!AF173*Inputs!$D$51))</f>
        <v>655587.33499999996</v>
      </c>
      <c r="AS173" s="308">
        <f t="shared" si="93"/>
        <v>11540764.335000001</v>
      </c>
      <c r="AT173" s="308">
        <f t="shared" si="82"/>
        <v>11540764.335000001</v>
      </c>
      <c r="AU173" s="308"/>
      <c r="AV173" s="308">
        <f>ABS(IF($AQ173="Yes",$AF173*Inputs!E$50,Data!$AF173*Inputs!E$51))</f>
        <v>655587.33499999996</v>
      </c>
      <c r="AW173" s="308">
        <f>ABS(IF($AQ173="Yes",$AF173*Inputs!F$50,Data!$AF173*Inputs!F$51))</f>
        <v>655587.33499999996</v>
      </c>
      <c r="AX173" s="308">
        <f>ABS(IF($AQ173="Yes",$AF173*Inputs!G$50,Data!$AF173*Inputs!G$51))</f>
        <v>655587.33499999996</v>
      </c>
      <c r="AY173" s="308">
        <f>ABS(IF($AQ173="Yes",$AF173*Inputs!H$50,Data!$AF173*Inputs!H$51))</f>
        <v>655587.33499999996</v>
      </c>
      <c r="AZ173" s="308">
        <f>ABS(IF($AQ173="Yes",$AF173*Inputs!I$50,Data!$AF173*Inputs!I$51))</f>
        <v>655587.33499999996</v>
      </c>
      <c r="BA173" s="308">
        <f>ABS(IF($AQ173="Yes",$AF173*Inputs!J$50,Data!$AF173*Inputs!J$51))</f>
        <v>655587.33499999996</v>
      </c>
      <c r="BB173" s="308">
        <f>ABS(IF($AQ173="Yes",$AF173*Inputs!K$50,Data!$AF173*Inputs!K$51))</f>
        <v>0</v>
      </c>
      <c r="BC173" s="308">
        <f>ABS(IF($AQ173="Yes",$AF173*Inputs!L$50,Data!$AF173*Inputs!L$51))</f>
        <v>0</v>
      </c>
      <c r="BE173" s="308">
        <f t="shared" si="94"/>
        <v>12196351.670000002</v>
      </c>
      <c r="BF173" s="308">
        <f t="shared" si="95"/>
        <v>12851939.005000003</v>
      </c>
      <c r="BG173" s="308">
        <f t="shared" si="96"/>
        <v>13507526.340000004</v>
      </c>
      <c r="BH173" s="308">
        <f t="shared" si="97"/>
        <v>14163113.675000004</v>
      </c>
      <c r="BI173" s="308">
        <f t="shared" si="98"/>
        <v>14818701.010000005</v>
      </c>
      <c r="BJ173" s="308">
        <f t="shared" si="99"/>
        <v>15498827</v>
      </c>
      <c r="BK173" s="308">
        <f t="shared" si="100"/>
        <v>15498827</v>
      </c>
      <c r="BL173" s="308">
        <f t="shared" si="101"/>
        <v>15498827</v>
      </c>
      <c r="BN173" s="308">
        <f t="shared" si="83"/>
        <v>12196351.670000002</v>
      </c>
      <c r="BO173" s="308">
        <f t="shared" si="84"/>
        <v>12851939.005000003</v>
      </c>
      <c r="BP173" s="308">
        <f t="shared" si="85"/>
        <v>13507526.340000004</v>
      </c>
      <c r="BQ173" s="308">
        <f t="shared" si="86"/>
        <v>14163113.675000004</v>
      </c>
      <c r="BR173" s="308">
        <f t="shared" si="87"/>
        <v>14818701.010000005</v>
      </c>
      <c r="BS173" s="308">
        <f t="shared" si="88"/>
        <v>15498827</v>
      </c>
      <c r="BT173" s="308">
        <f t="shared" si="89"/>
        <v>15498827</v>
      </c>
      <c r="BU173" s="308">
        <f t="shared" si="102"/>
        <v>15498827</v>
      </c>
    </row>
    <row r="174" spans="1:73" ht="15" x14ac:dyDescent="0.2">
      <c r="A174" s="62" t="s">
        <v>172</v>
      </c>
      <c r="B174" s="55" t="s">
        <v>8</v>
      </c>
      <c r="C174" s="55"/>
      <c r="D174" s="55"/>
      <c r="E174" s="55"/>
      <c r="F174" s="55"/>
      <c r="G174" s="48">
        <v>8</v>
      </c>
      <c r="H174" s="55">
        <v>160</v>
      </c>
      <c r="I174" s="55">
        <f>INDEX('FY 22 OFA Shell'!$K$27:$K$195,MATCH(Data!H174,'FY 22 OFA Shell'!$H$27:$H$195,0))</f>
        <v>587.85</v>
      </c>
      <c r="J174" s="55">
        <f>INDEX('FY 22 OFA Shell'!$N$27:$N$195,MATCH(Data!H174,'FY 22 OFA Shell'!$H$27:$H$195,0))</f>
        <v>220</v>
      </c>
      <c r="K174" s="64">
        <f>INDEX('FY 22 OFA Shell'!$S$27:$S$195,MATCH(Data!H174,'FY 22 OFA Shell'!$H$27:$H$195,0))</f>
        <v>7</v>
      </c>
      <c r="L174" s="150">
        <f t="shared" si="90"/>
        <v>0.37424513056051711</v>
      </c>
      <c r="M174" s="149">
        <f>MAX(((L174-Inputs!$E$23)*Data!I174)*Inputs!$E$24,0)</f>
        <v>0</v>
      </c>
      <c r="N174" s="151">
        <f>INDEX('FY 22 OFA Shell'!$V$27:$V$195,MATCH(Data!H174,'FY 22 OFA Shell'!$H$27:$H$195,0))</f>
        <v>640805459.33000004</v>
      </c>
      <c r="O174" s="63">
        <f>INDEX('FY 22 OFA Shell'!$W$27:$W$195,MATCH(Data!H174,'FY 22 OFA Shell'!$H$27:$H$195,0))</f>
        <v>5912</v>
      </c>
      <c r="P174" s="65">
        <f>INDEX('FY 22 OFA Shell'!$Z$27:$Z$195,MATCH(Data!H174,'FY 22 OFA Shell'!$H$27:$H$195,0))</f>
        <v>74940</v>
      </c>
      <c r="Q174" s="63">
        <f>INDEX('FY 22 OFA Shell'!$AF$27:$AF$195,MATCH(Data!H174,'FY 22 OFA Shell'!$H$27:$H$195,0))</f>
        <v>179</v>
      </c>
      <c r="R174" s="66">
        <f>INDEX('FY 22 OFA Shell'!$AG$27:$AG$195,MATCH(Data!H174,'FY 22 OFA Shell'!$H$27:$H$195,0))</f>
        <v>4</v>
      </c>
      <c r="S174" s="66">
        <f>INDEX('FY 22 OFA Shell'!$AJ$27:$AJ$195,MATCH(Data!H174,'FY 22 OFA Shell'!$H$27:$H$195,0))</f>
        <v>0</v>
      </c>
      <c r="T174" s="66">
        <f>INDEX('FY 22 OFA Shell'!$AK$27:$AK$195,MATCH(Data!H174,'FY 22 OFA Shell'!$H$27:$H$195,0))</f>
        <v>0</v>
      </c>
      <c r="U174" s="135">
        <v>3637161</v>
      </c>
      <c r="V174" s="67">
        <f>ROUND(J174*Inputs!$E$22, 2)</f>
        <v>66</v>
      </c>
      <c r="W174" s="68">
        <f>I174+V174+K174*Inputs!$E$28+Data!M174</f>
        <v>655.6</v>
      </c>
      <c r="X174" s="69">
        <f t="shared" si="78"/>
        <v>108390.64</v>
      </c>
      <c r="Y174" s="70">
        <f>ROUND(X174/Inputs!$E$32, 6)</f>
        <v>0.56298999999999999</v>
      </c>
      <c r="Z174" s="70">
        <f>ROUND(P174/Inputs!$E$33, 6)</f>
        <v>0.62193799999999999</v>
      </c>
      <c r="AA174" s="59">
        <f>ROUND(1-((Y174*Inputs!$E$29)+Z174*Inputs!$E$27), 6)</f>
        <v>0.41932599999999998</v>
      </c>
      <c r="AB174" s="59">
        <v>227.93069935403838</v>
      </c>
      <c r="AC174" s="73">
        <f>INDEX('FY 22 OFA Shell'!$G$27:$G$195,MATCH(Data!H174,'FY 22 OFA Shell'!$H$27:$H$195,0))</f>
        <v>82</v>
      </c>
      <c r="AD174" s="73">
        <f t="shared" si="91"/>
        <v>5</v>
      </c>
      <c r="AE174" s="65">
        <v>3637161</v>
      </c>
      <c r="AF174" s="65">
        <f t="shared" si="79"/>
        <v>-397222</v>
      </c>
      <c r="AG174" s="65">
        <f t="shared" si="80"/>
        <v>-397222</v>
      </c>
      <c r="AH174" s="52">
        <v>3156296</v>
      </c>
      <c r="AI174" s="107">
        <v>3534743.75</v>
      </c>
      <c r="AJ174"/>
      <c r="AK174">
        <v>0</v>
      </c>
      <c r="AL174" s="165">
        <f>INDEX('FY 22 OFA Shell'!$AU$27:$AU$195,MATCH(Data!H174,'FY 22 OFA Shell'!$H$27:$H$195,0))</f>
        <v>3456594</v>
      </c>
      <c r="AM174" s="165">
        <f>Outputs!H179</f>
        <v>3239939</v>
      </c>
      <c r="AN174" s="165">
        <f>Outputs!G179+Outputs!D179+Outputs!F179</f>
        <v>3239939</v>
      </c>
      <c r="AO174" s="165">
        <v>3495273</v>
      </c>
      <c r="AP174" s="165">
        <f t="shared" si="92"/>
        <v>3534743.75</v>
      </c>
      <c r="AQ174" s="52" t="str">
        <f t="shared" si="81"/>
        <v>No</v>
      </c>
      <c r="AR174" s="308">
        <f>ABS(IF(AQ174="Yes",AF174*Inputs!$D$50,Data!AF174*Inputs!$D$51))</f>
        <v>0</v>
      </c>
      <c r="AS174" s="308">
        <f t="shared" si="93"/>
        <v>3456594</v>
      </c>
      <c r="AT174" s="308">
        <f t="shared" si="82"/>
        <v>3456594</v>
      </c>
      <c r="AU174" s="308"/>
      <c r="AV174" s="308">
        <f>ABS(IF($AQ174="Yes",$AF174*Inputs!E$50,Data!$AF174*Inputs!E$51))</f>
        <v>0</v>
      </c>
      <c r="AW174" s="308">
        <f>ABS(IF($AQ174="Yes",$AF174*Inputs!F$50,Data!$AF174*Inputs!F$51))</f>
        <v>33088.592599999996</v>
      </c>
      <c r="AX174" s="308">
        <f>ABS(IF($AQ174="Yes",$AF174*Inputs!G$50,Data!$AF174*Inputs!G$51))</f>
        <v>33088.592599999996</v>
      </c>
      <c r="AY174" s="308">
        <f>ABS(IF($AQ174="Yes",$AF174*Inputs!H$50,Data!$AF174*Inputs!H$51))</f>
        <v>33088.592599999996</v>
      </c>
      <c r="AZ174" s="308">
        <f>ABS(IF($AQ174="Yes",$AF174*Inputs!I$50,Data!$AF174*Inputs!I$51))</f>
        <v>33088.592599999996</v>
      </c>
      <c r="BA174" s="308">
        <f>ABS(IF($AQ174="Yes",$AF174*Inputs!J$50,Data!$AF174*Inputs!J$51))</f>
        <v>33088.592599999996</v>
      </c>
      <c r="BB174" s="308">
        <f>ABS(IF($AQ174="Yes",$AF174*Inputs!K$50,Data!$AF174*Inputs!K$51))</f>
        <v>33088.592599999996</v>
      </c>
      <c r="BC174" s="308">
        <f>ABS(IF($AQ174="Yes",$AF174*Inputs!L$50,Data!$AF174*Inputs!L$51))</f>
        <v>33088.592599999996</v>
      </c>
      <c r="BE174" s="308">
        <f t="shared" si="94"/>
        <v>3456594</v>
      </c>
      <c r="BF174" s="308">
        <f t="shared" si="95"/>
        <v>3423505.4073999999</v>
      </c>
      <c r="BG174" s="308">
        <f t="shared" si="96"/>
        <v>3390416.8147999998</v>
      </c>
      <c r="BH174" s="308">
        <f t="shared" si="97"/>
        <v>3357328.2221999997</v>
      </c>
      <c r="BI174" s="308">
        <f t="shared" si="98"/>
        <v>3324239.6295999996</v>
      </c>
      <c r="BJ174" s="308">
        <f t="shared" si="99"/>
        <v>3291151.0369999995</v>
      </c>
      <c r="BK174" s="308">
        <f t="shared" si="100"/>
        <v>3258062.4443999995</v>
      </c>
      <c r="BL174" s="308">
        <f t="shared" si="101"/>
        <v>3239939</v>
      </c>
      <c r="BN174" s="308">
        <f t="shared" si="83"/>
        <v>3456594</v>
      </c>
      <c r="BO174" s="308">
        <f t="shared" si="84"/>
        <v>3423505.4073999999</v>
      </c>
      <c r="BP174" s="308">
        <f t="shared" si="85"/>
        <v>3390416.8147999998</v>
      </c>
      <c r="BQ174" s="308">
        <f t="shared" si="86"/>
        <v>3357328.2221999997</v>
      </c>
      <c r="BR174" s="308">
        <f t="shared" si="87"/>
        <v>3324239.6295999996</v>
      </c>
      <c r="BS174" s="308">
        <f t="shared" si="88"/>
        <v>3291151.0369999995</v>
      </c>
      <c r="BT174" s="308">
        <f t="shared" si="89"/>
        <v>3258062.4443999995</v>
      </c>
      <c r="BU174" s="308">
        <f t="shared" si="102"/>
        <v>3239939</v>
      </c>
    </row>
    <row r="175" spans="1:73" ht="15" x14ac:dyDescent="0.2">
      <c r="A175" s="62" t="s">
        <v>173</v>
      </c>
      <c r="B175" s="55" t="s">
        <v>46</v>
      </c>
      <c r="C175" s="55"/>
      <c r="D175" s="55"/>
      <c r="E175" s="55"/>
      <c r="F175" s="55"/>
      <c r="G175" s="48">
        <v>1</v>
      </c>
      <c r="H175" s="55">
        <v>161</v>
      </c>
      <c r="I175" s="55">
        <f>INDEX('FY 22 OFA Shell'!$K$27:$K$195,MATCH(Data!H175,'FY 22 OFA Shell'!$H$27:$H$195,0))</f>
        <v>3662.64</v>
      </c>
      <c r="J175" s="55">
        <f>INDEX('FY 22 OFA Shell'!$N$27:$N$195,MATCH(Data!H175,'FY 22 OFA Shell'!$H$27:$H$195,0))</f>
        <v>179</v>
      </c>
      <c r="K175" s="64">
        <f>INDEX('FY 22 OFA Shell'!$S$27:$S$195,MATCH(Data!H175,'FY 22 OFA Shell'!$H$27:$H$195,0))</f>
        <v>29</v>
      </c>
      <c r="L175" s="150">
        <f t="shared" si="90"/>
        <v>4.8871851997466312E-2</v>
      </c>
      <c r="M175" s="149">
        <f>MAX(((L175-Inputs!$E$23)*Data!I175)*Inputs!$E$24,0)</f>
        <v>0</v>
      </c>
      <c r="N175" s="151">
        <f>INDEX('FY 22 OFA Shell'!$V$27:$V$195,MATCH(Data!H175,'FY 22 OFA Shell'!$H$27:$H$195,0))</f>
        <v>6115418357.3299999</v>
      </c>
      <c r="O175" s="63">
        <f>INDEX('FY 22 OFA Shell'!$W$27:$W$195,MATCH(Data!H175,'FY 22 OFA Shell'!$H$27:$H$195,0))</f>
        <v>18542</v>
      </c>
      <c r="P175" s="65">
        <f>INDEX('FY 22 OFA Shell'!$Z$27:$Z$195,MATCH(Data!H175,'FY 22 OFA Shell'!$H$27:$H$195,0))</f>
        <v>187903</v>
      </c>
      <c r="Q175" s="63">
        <f>INDEX('FY 22 OFA Shell'!$AF$27:$AF$195,MATCH(Data!H175,'FY 22 OFA Shell'!$H$27:$H$195,0))</f>
        <v>0</v>
      </c>
      <c r="R175" s="66">
        <f>INDEX('FY 22 OFA Shell'!$AG$27:$AG$195,MATCH(Data!H175,'FY 22 OFA Shell'!$H$27:$H$195,0))</f>
        <v>0</v>
      </c>
      <c r="S175" s="66">
        <f>INDEX('FY 22 OFA Shell'!$AJ$27:$AJ$195,MATCH(Data!H175,'FY 22 OFA Shell'!$H$27:$H$195,0))</f>
        <v>0</v>
      </c>
      <c r="T175" s="66">
        <f>INDEX('FY 22 OFA Shell'!$AK$27:$AK$195,MATCH(Data!H175,'FY 22 OFA Shell'!$H$27:$H$195,0))</f>
        <v>0</v>
      </c>
      <c r="U175" s="135">
        <v>462941</v>
      </c>
      <c r="V175" s="67">
        <f>ROUND(J175*Inputs!$E$22, 2)</f>
        <v>53.7</v>
      </c>
      <c r="W175" s="68">
        <f>I175+V175+K175*Inputs!$E$28+Data!M175</f>
        <v>3723.5899999999997</v>
      </c>
      <c r="X175" s="69">
        <f t="shared" ref="X175:X183" si="103">ROUND(N175/O175,2)</f>
        <v>329814.39</v>
      </c>
      <c r="Y175" s="70">
        <f>ROUND(X175/Inputs!$E$32, 6)</f>
        <v>1.7130829999999999</v>
      </c>
      <c r="Z175" s="70">
        <f>ROUND(P175/Inputs!$E$33, 6)</f>
        <v>1.5594349999999999</v>
      </c>
      <c r="AA175" s="59">
        <f>ROUND(1-((Y175*Inputs!$E$29)+Z175*Inputs!$E$27), 6)</f>
        <v>-0.66698900000000005</v>
      </c>
      <c r="AB175" s="59">
        <v>134.00307949956596</v>
      </c>
      <c r="AC175" s="73">
        <f>INDEX('FY 22 OFA Shell'!$G$27:$G$195,MATCH(Data!H175,'FY 22 OFA Shell'!$H$27:$H$195,0))</f>
        <v>159</v>
      </c>
      <c r="AD175" s="73">
        <f t="shared" si="91"/>
        <v>5</v>
      </c>
      <c r="AE175" s="65">
        <v>462941</v>
      </c>
      <c r="AF175" s="65">
        <f t="shared" ref="AF175:AF183" si="104">AN175-AE175</f>
        <v>-33797</v>
      </c>
      <c r="AG175" s="65">
        <f t="shared" ref="AG175:AG183" si="105">AM175-AE175</f>
        <v>-33797</v>
      </c>
      <c r="AH175" s="52">
        <v>387564</v>
      </c>
      <c r="AI175" s="107">
        <v>463179.41499999998</v>
      </c>
      <c r="AJ175"/>
      <c r="AK175">
        <v>0</v>
      </c>
      <c r="AL175" s="165">
        <f>INDEX('FY 22 OFA Shell'!$AU$27:$AU$195,MATCH(Data!H175,'FY 22 OFA Shell'!$H$27:$H$195,0))</f>
        <v>461796</v>
      </c>
      <c r="AM175" s="165">
        <f>Outputs!H180</f>
        <v>429144</v>
      </c>
      <c r="AN175" s="165">
        <f>Outputs!G180+Outputs!D180+Outputs!F180</f>
        <v>429144</v>
      </c>
      <c r="AO175" s="165">
        <v>462897</v>
      </c>
      <c r="AP175" s="165">
        <f t="shared" si="92"/>
        <v>463179.41499999998</v>
      </c>
      <c r="AQ175" s="52" t="str">
        <f t="shared" ref="AQ175:AQ183" si="106">IF(AN175&gt;AE175,"Yes","No")</f>
        <v>No</v>
      </c>
      <c r="AR175" s="308">
        <f>ABS(IF(AQ175="Yes",AF175*Inputs!$D$50,Data!AF175*Inputs!$D$51))</f>
        <v>0</v>
      </c>
      <c r="AS175" s="308">
        <f t="shared" si="93"/>
        <v>461796</v>
      </c>
      <c r="AT175" s="308">
        <f t="shared" ref="AT175:AT183" si="107">IF(D175=1,MAX(AS175,AE175),AS175)</f>
        <v>461796</v>
      </c>
      <c r="AU175" s="308"/>
      <c r="AV175" s="308">
        <f>ABS(IF($AQ175="Yes",$AF175*Inputs!E$50,Data!$AF175*Inputs!E$51))</f>
        <v>0</v>
      </c>
      <c r="AW175" s="308">
        <f>ABS(IF($AQ175="Yes",$AF175*Inputs!F$50,Data!$AF175*Inputs!F$51))</f>
        <v>2815.2901000000002</v>
      </c>
      <c r="AX175" s="308">
        <f>ABS(IF($AQ175="Yes",$AF175*Inputs!G$50,Data!$AF175*Inputs!G$51))</f>
        <v>2815.2901000000002</v>
      </c>
      <c r="AY175" s="308">
        <f>ABS(IF($AQ175="Yes",$AF175*Inputs!H$50,Data!$AF175*Inputs!H$51))</f>
        <v>2815.2901000000002</v>
      </c>
      <c r="AZ175" s="308">
        <f>ABS(IF($AQ175="Yes",$AF175*Inputs!I$50,Data!$AF175*Inputs!I$51))</f>
        <v>2815.2901000000002</v>
      </c>
      <c r="BA175" s="308">
        <f>ABS(IF($AQ175="Yes",$AF175*Inputs!J$50,Data!$AF175*Inputs!J$51))</f>
        <v>2815.2901000000002</v>
      </c>
      <c r="BB175" s="308">
        <f>ABS(IF($AQ175="Yes",$AF175*Inputs!K$50,Data!$AF175*Inputs!K$51))</f>
        <v>2815.2901000000002</v>
      </c>
      <c r="BC175" s="308">
        <f>ABS(IF($AQ175="Yes",$AF175*Inputs!L$50,Data!$AF175*Inputs!L$51))</f>
        <v>2815.2901000000002</v>
      </c>
      <c r="BE175" s="308">
        <f t="shared" si="94"/>
        <v>461796</v>
      </c>
      <c r="BF175" s="308">
        <f t="shared" si="95"/>
        <v>458980.70990000002</v>
      </c>
      <c r="BG175" s="308">
        <f t="shared" si="96"/>
        <v>456165.41980000003</v>
      </c>
      <c r="BH175" s="308">
        <f t="shared" si="97"/>
        <v>453350.12970000005</v>
      </c>
      <c r="BI175" s="308">
        <f t="shared" si="98"/>
        <v>450534.83960000006</v>
      </c>
      <c r="BJ175" s="308">
        <f t="shared" si="99"/>
        <v>447719.54950000008</v>
      </c>
      <c r="BK175" s="308">
        <f t="shared" si="100"/>
        <v>444904.2594000001</v>
      </c>
      <c r="BL175" s="308">
        <f t="shared" si="101"/>
        <v>429144</v>
      </c>
      <c r="BN175" s="308">
        <f t="shared" ref="BN175:BN183" si="108">IF($D175=1,MAX(BE175,$AE175),BE175)</f>
        <v>461796</v>
      </c>
      <c r="BO175" s="308">
        <f t="shared" ref="BO175:BO183" si="109">IF($D175=1,MAX(BF175,$AE175),BF175)</f>
        <v>458980.70990000002</v>
      </c>
      <c r="BP175" s="308">
        <f t="shared" ref="BP175:BP183" si="110">IF($D175=1,MAX(BG175,$AE175),BG175)</f>
        <v>456165.41980000003</v>
      </c>
      <c r="BQ175" s="308">
        <f t="shared" ref="BQ175:BQ183" si="111">IF($D175=1,MAX(BH175,$AE175),BH175)</f>
        <v>453350.12970000005</v>
      </c>
      <c r="BR175" s="308">
        <f t="shared" ref="BR175:BR183" si="112">IF($D175=1,MAX(BI175,$AE175),BI175)</f>
        <v>450534.83960000006</v>
      </c>
      <c r="BS175" s="308">
        <f t="shared" ref="BS175:BS183" si="113">IF($D175=1,MAX(BJ175,$AE175),BJ175)</f>
        <v>447719.54950000008</v>
      </c>
      <c r="BT175" s="308">
        <f t="shared" ref="BT175:BT183" si="114">IF($D175=1,MAX(BK175,$AE175),BK175)</f>
        <v>444904.2594000001</v>
      </c>
      <c r="BU175" s="308">
        <f t="shared" si="102"/>
        <v>429144</v>
      </c>
    </row>
    <row r="176" spans="1:73" ht="15" x14ac:dyDescent="0.2">
      <c r="A176" s="62" t="s">
        <v>174</v>
      </c>
      <c r="B176" s="55" t="s">
        <v>19</v>
      </c>
      <c r="C176" s="55"/>
      <c r="D176" s="55">
        <v>1</v>
      </c>
      <c r="E176" s="55">
        <v>1</v>
      </c>
      <c r="F176" s="55"/>
      <c r="G176" s="48">
        <v>9</v>
      </c>
      <c r="H176" s="55">
        <v>162</v>
      </c>
      <c r="I176" s="55">
        <f>INDEX('FY 22 OFA Shell'!$K$27:$K$195,MATCH(Data!H176,'FY 22 OFA Shell'!$H$27:$H$195,0))</f>
        <v>1067.79</v>
      </c>
      <c r="J176" s="55">
        <f>INDEX('FY 22 OFA Shell'!$N$27:$N$195,MATCH(Data!H176,'FY 22 OFA Shell'!$H$27:$H$195,0))</f>
        <v>559</v>
      </c>
      <c r="K176" s="64">
        <f>INDEX('FY 22 OFA Shell'!$S$27:$S$195,MATCH(Data!H176,'FY 22 OFA Shell'!$H$27:$H$195,0))</f>
        <v>31</v>
      </c>
      <c r="L176" s="150">
        <f t="shared" si="90"/>
        <v>0.52351117729141494</v>
      </c>
      <c r="M176" s="149">
        <f>MAX(((L176-Inputs!$E$23)*Data!I176)*Inputs!$E$24,0)</f>
        <v>0</v>
      </c>
      <c r="N176" s="151">
        <f>INDEX('FY 22 OFA Shell'!$V$27:$V$195,MATCH(Data!H176,'FY 22 OFA Shell'!$H$27:$H$195,0))</f>
        <v>1031961094</v>
      </c>
      <c r="O176" s="63">
        <f>INDEX('FY 22 OFA Shell'!$W$27:$W$195,MATCH(Data!H176,'FY 22 OFA Shell'!$H$27:$H$195,0))</f>
        <v>10798</v>
      </c>
      <c r="P176" s="65">
        <f>INDEX('FY 22 OFA Shell'!$Z$27:$Z$195,MATCH(Data!H176,'FY 22 OFA Shell'!$H$27:$H$195,0))</f>
        <v>68651</v>
      </c>
      <c r="Q176" s="63">
        <f>INDEX('FY 22 OFA Shell'!$AF$27:$AF$195,MATCH(Data!H176,'FY 22 OFA Shell'!$H$27:$H$195,0))</f>
        <v>0</v>
      </c>
      <c r="R176" s="66">
        <f>INDEX('FY 22 OFA Shell'!$AG$27:$AG$195,MATCH(Data!H176,'FY 22 OFA Shell'!$H$27:$H$195,0))</f>
        <v>0</v>
      </c>
      <c r="S176" s="66">
        <f>INDEX('FY 22 OFA Shell'!$AJ$27:$AJ$195,MATCH(Data!H176,'FY 22 OFA Shell'!$H$27:$H$195,0))</f>
        <v>429</v>
      </c>
      <c r="T176" s="66">
        <f>INDEX('FY 22 OFA Shell'!$AK$27:$AK$195,MATCH(Data!H176,'FY 22 OFA Shell'!$H$27:$H$195,0))</f>
        <v>6</v>
      </c>
      <c r="U176" s="135">
        <v>8024957</v>
      </c>
      <c r="V176" s="67">
        <f>ROUND(J176*Inputs!$E$22, 2)</f>
        <v>167.7</v>
      </c>
      <c r="W176" s="68">
        <f>I176+V176+K176*Inputs!$E$28+Data!M176</f>
        <v>1243.24</v>
      </c>
      <c r="X176" s="69">
        <f t="shared" si="103"/>
        <v>95569.65</v>
      </c>
      <c r="Y176" s="70">
        <f>ROUND(X176/Inputs!$E$32, 6)</f>
        <v>0.49639699999999998</v>
      </c>
      <c r="Z176" s="70">
        <f>ROUND(P176/Inputs!$E$33, 6)</f>
        <v>0.56974499999999995</v>
      </c>
      <c r="AA176" s="59">
        <f>ROUND(1-((Y176*Inputs!$E$29)+Z176*Inputs!$E$27), 6)</f>
        <v>0.481599</v>
      </c>
      <c r="AB176" s="59">
        <v>287.36778847916821</v>
      </c>
      <c r="AC176" s="73">
        <f>INDEX('FY 22 OFA Shell'!$G$27:$G$195,MATCH(Data!H176,'FY 22 OFA Shell'!$H$27:$H$195,0))</f>
        <v>28</v>
      </c>
      <c r="AD176" s="73">
        <f t="shared" si="91"/>
        <v>5</v>
      </c>
      <c r="AE176" s="65">
        <v>8024957</v>
      </c>
      <c r="AF176" s="65">
        <f t="shared" si="104"/>
        <v>-867042</v>
      </c>
      <c r="AG176" s="65">
        <f t="shared" si="105"/>
        <v>0</v>
      </c>
      <c r="AH176" s="52">
        <v>7963239</v>
      </c>
      <c r="AI176" s="107">
        <v>8024957</v>
      </c>
      <c r="AJ176">
        <v>2</v>
      </c>
      <c r="AK176">
        <v>2544.9758666081616</v>
      </c>
      <c r="AL176" s="165">
        <f>INDEX('FY 22 OFA Shell'!$AU$27:$AU$195,MATCH(Data!H176,'FY 22 OFA Shell'!$H$27:$H$195,0))</f>
        <v>8024957</v>
      </c>
      <c r="AM176" s="165">
        <f>Outputs!H181</f>
        <v>8024957</v>
      </c>
      <c r="AN176" s="165">
        <f>Outputs!G181+Outputs!D181+Outputs!F181</f>
        <v>7157915</v>
      </c>
      <c r="AO176" s="165">
        <v>8024957</v>
      </c>
      <c r="AP176" s="165">
        <f t="shared" si="92"/>
        <v>8027501.9758666083</v>
      </c>
      <c r="AQ176" s="52" t="str">
        <f t="shared" si="106"/>
        <v>No</v>
      </c>
      <c r="AR176" s="308">
        <f>ABS(IF(AQ176="Yes",AF176*Inputs!$D$50,Data!AF176*Inputs!$D$51))</f>
        <v>0</v>
      </c>
      <c r="AS176" s="308">
        <f t="shared" si="93"/>
        <v>8024957</v>
      </c>
      <c r="AT176" s="308">
        <f t="shared" si="107"/>
        <v>8024957</v>
      </c>
      <c r="AU176" s="308"/>
      <c r="AV176" s="308">
        <f>ABS(IF($AQ176="Yes",$AF176*Inputs!E$50,Data!$AF176*Inputs!E$51))</f>
        <v>0</v>
      </c>
      <c r="AW176" s="308">
        <f>ABS(IF($AQ176="Yes",$AF176*Inputs!F$50,Data!$AF176*Inputs!F$51))</f>
        <v>72224.598599999998</v>
      </c>
      <c r="AX176" s="308">
        <f>ABS(IF($AQ176="Yes",$AF176*Inputs!G$50,Data!$AF176*Inputs!G$51))</f>
        <v>72224.598599999998</v>
      </c>
      <c r="AY176" s="308">
        <f>ABS(IF($AQ176="Yes",$AF176*Inputs!H$50,Data!$AF176*Inputs!H$51))</f>
        <v>72224.598599999998</v>
      </c>
      <c r="AZ176" s="308">
        <f>ABS(IF($AQ176="Yes",$AF176*Inputs!I$50,Data!$AF176*Inputs!I$51))</f>
        <v>72224.598599999998</v>
      </c>
      <c r="BA176" s="308">
        <f>ABS(IF($AQ176="Yes",$AF176*Inputs!J$50,Data!$AF176*Inputs!J$51))</f>
        <v>72224.598599999998</v>
      </c>
      <c r="BB176" s="308">
        <f>ABS(IF($AQ176="Yes",$AF176*Inputs!K$50,Data!$AF176*Inputs!K$51))</f>
        <v>72224.598599999998</v>
      </c>
      <c r="BC176" s="308">
        <f>ABS(IF($AQ176="Yes",$AF176*Inputs!L$50,Data!$AF176*Inputs!L$51))</f>
        <v>72224.598599999998</v>
      </c>
      <c r="BE176" s="308">
        <f t="shared" si="94"/>
        <v>8024957</v>
      </c>
      <c r="BF176" s="308">
        <f t="shared" si="95"/>
        <v>7952732.4013999999</v>
      </c>
      <c r="BG176" s="308">
        <f t="shared" si="96"/>
        <v>7880507.8027999997</v>
      </c>
      <c r="BH176" s="308">
        <f t="shared" si="97"/>
        <v>7808283.2041999996</v>
      </c>
      <c r="BI176" s="308">
        <f t="shared" si="98"/>
        <v>7736058.6055999994</v>
      </c>
      <c r="BJ176" s="308">
        <f t="shared" si="99"/>
        <v>7663834.0069999993</v>
      </c>
      <c r="BK176" s="308">
        <f t="shared" si="100"/>
        <v>7591609.4083999991</v>
      </c>
      <c r="BL176" s="308">
        <f t="shared" si="101"/>
        <v>7157915</v>
      </c>
      <c r="BN176" s="308">
        <f t="shared" si="108"/>
        <v>8024957</v>
      </c>
      <c r="BO176" s="308">
        <f t="shared" si="109"/>
        <v>8024957</v>
      </c>
      <c r="BP176" s="308">
        <f t="shared" si="110"/>
        <v>8024957</v>
      </c>
      <c r="BQ176" s="308">
        <f t="shared" si="111"/>
        <v>8024957</v>
      </c>
      <c r="BR176" s="308">
        <f t="shared" si="112"/>
        <v>8024957</v>
      </c>
      <c r="BS176" s="308">
        <f t="shared" si="113"/>
        <v>8024957</v>
      </c>
      <c r="BT176" s="308">
        <f t="shared" si="114"/>
        <v>8024957</v>
      </c>
      <c r="BU176" s="308">
        <f t="shared" si="102"/>
        <v>8024957</v>
      </c>
    </row>
    <row r="177" spans="1:73" ht="15" x14ac:dyDescent="0.2">
      <c r="A177" s="62" t="s">
        <v>175</v>
      </c>
      <c r="B177" s="55" t="s">
        <v>24</v>
      </c>
      <c r="C177" s="55">
        <v>1</v>
      </c>
      <c r="D177" s="55">
        <v>1</v>
      </c>
      <c r="E177" s="55">
        <v>0</v>
      </c>
      <c r="F177" s="55">
        <v>1</v>
      </c>
      <c r="G177" s="48">
        <v>10</v>
      </c>
      <c r="H177" s="55">
        <v>163</v>
      </c>
      <c r="I177" s="55">
        <f>INDEX('FY 22 OFA Shell'!$K$27:$K$195,MATCH(Data!H177,'FY 22 OFA Shell'!$H$27:$H$195,0))</f>
        <v>3189.92</v>
      </c>
      <c r="J177" s="55">
        <f>INDEX('FY 22 OFA Shell'!$N$27:$N$195,MATCH(Data!H177,'FY 22 OFA Shell'!$H$27:$H$195,0))</f>
        <v>2319</v>
      </c>
      <c r="K177" s="64">
        <f>INDEX('FY 22 OFA Shell'!$S$27:$S$195,MATCH(Data!H177,'FY 22 OFA Shell'!$H$27:$H$195,0))</f>
        <v>965</v>
      </c>
      <c r="L177" s="150">
        <f t="shared" si="90"/>
        <v>0.72697747905903598</v>
      </c>
      <c r="M177" s="149">
        <f>MAX(((L177-Inputs!$E$23)*Data!I177)*Inputs!$E$24,0)</f>
        <v>60.757200000000012</v>
      </c>
      <c r="N177" s="151">
        <f>INDEX('FY 22 OFA Shell'!$V$27:$V$195,MATCH(Data!H177,'FY 22 OFA Shell'!$H$27:$H$195,0))</f>
        <v>1355053737</v>
      </c>
      <c r="O177" s="63">
        <f>INDEX('FY 22 OFA Shell'!$W$27:$W$195,MATCH(Data!H177,'FY 22 OFA Shell'!$H$27:$H$195,0))</f>
        <v>24688</v>
      </c>
      <c r="P177" s="65">
        <f>INDEX('FY 22 OFA Shell'!$Z$27:$Z$195,MATCH(Data!H177,'FY 22 OFA Shell'!$H$27:$H$195,0))</f>
        <v>44091</v>
      </c>
      <c r="Q177" s="63">
        <f>INDEX('FY 22 OFA Shell'!$AF$27:$AF$195,MATCH(Data!H177,'FY 22 OFA Shell'!$H$27:$H$195,0))</f>
        <v>0</v>
      </c>
      <c r="R177" s="66">
        <f>INDEX('FY 22 OFA Shell'!$AG$27:$AG$195,MATCH(Data!H177,'FY 22 OFA Shell'!$H$27:$H$195,0))</f>
        <v>0</v>
      </c>
      <c r="S177" s="66">
        <f>INDEX('FY 22 OFA Shell'!$AJ$27:$AJ$195,MATCH(Data!H177,'FY 22 OFA Shell'!$H$27:$H$195,0))</f>
        <v>0</v>
      </c>
      <c r="T177" s="66">
        <f>INDEX('FY 22 OFA Shell'!$AK$27:$AK$195,MATCH(Data!H177,'FY 22 OFA Shell'!$H$27:$H$195,0))</f>
        <v>0</v>
      </c>
      <c r="U177" s="135">
        <v>26582071</v>
      </c>
      <c r="V177" s="67">
        <f>ROUND(J177*Inputs!$E$22, 2)</f>
        <v>695.7</v>
      </c>
      <c r="W177" s="68">
        <f>I177+V177+K177*Inputs!$E$28+Data!M177</f>
        <v>4187.6271999999999</v>
      </c>
      <c r="X177" s="69">
        <f t="shared" si="103"/>
        <v>54887.14</v>
      </c>
      <c r="Y177" s="70">
        <f>ROUND(X177/Inputs!$E$32, 6)</f>
        <v>0.28508800000000001</v>
      </c>
      <c r="Z177" s="70">
        <f>ROUND(P177/Inputs!$E$33, 6)</f>
        <v>0.36591800000000002</v>
      </c>
      <c r="AA177" s="59">
        <f>ROUND(1-((Y177*Inputs!$E$29)+Z177*Inputs!$E$27), 6)</f>
        <v>0.69066300000000003</v>
      </c>
      <c r="AB177" s="59">
        <v>355.2474776648902</v>
      </c>
      <c r="AC177" s="73">
        <f>INDEX('FY 22 OFA Shell'!$G$27:$G$195,MATCH(Data!H177,'FY 22 OFA Shell'!$H$27:$H$195,0))</f>
        <v>8</v>
      </c>
      <c r="AD177" s="73">
        <f t="shared" si="91"/>
        <v>2</v>
      </c>
      <c r="AE177" s="65">
        <v>26582071</v>
      </c>
      <c r="AF177" s="65">
        <f t="shared" si="104"/>
        <v>9164106</v>
      </c>
      <c r="AG177" s="65">
        <f t="shared" si="105"/>
        <v>9164106</v>
      </c>
      <c r="AH177" s="52">
        <v>26404706</v>
      </c>
      <c r="AI177" s="107">
        <v>26989804.561000001</v>
      </c>
      <c r="AJ177">
        <v>109</v>
      </c>
      <c r="AK177">
        <v>138701.1847301448</v>
      </c>
      <c r="AL177" s="165">
        <f>INDEX('FY 22 OFA Shell'!$AU$27:$AU$195,MATCH(Data!H177,'FY 22 OFA Shell'!$H$27:$H$195,0))</f>
        <v>28962979</v>
      </c>
      <c r="AM177" s="165">
        <f>Outputs!H182</f>
        <v>35746177</v>
      </c>
      <c r="AN177" s="165">
        <f>Outputs!G182+Outputs!D182+Outputs!F182</f>
        <v>35746177</v>
      </c>
      <c r="AO177" s="165">
        <v>27999010</v>
      </c>
      <c r="AP177" s="165">
        <f t="shared" si="92"/>
        <v>27128505.745730147</v>
      </c>
      <c r="AQ177" s="52" t="str">
        <f t="shared" si="106"/>
        <v>Yes</v>
      </c>
      <c r="AR177" s="308">
        <f>ABS(IF(AQ177="Yes",AF177*Inputs!$D$50,Data!AF177*Inputs!$D$51))</f>
        <v>976893.69960000005</v>
      </c>
      <c r="AS177" s="308">
        <f t="shared" si="93"/>
        <v>29939872.6996</v>
      </c>
      <c r="AT177" s="308">
        <f t="shared" si="107"/>
        <v>29939872.6996</v>
      </c>
      <c r="AU177" s="308"/>
      <c r="AV177" s="308">
        <f>ABS(IF($AQ177="Yes",$AF177*Inputs!E$50,Data!$AF177*Inputs!E$51))</f>
        <v>976893.69960000005</v>
      </c>
      <c r="AW177" s="308">
        <f>ABS(IF($AQ177="Yes",$AF177*Inputs!F$50,Data!$AF177*Inputs!F$51))</f>
        <v>976893.69960000005</v>
      </c>
      <c r="AX177" s="308">
        <f>ABS(IF($AQ177="Yes",$AF177*Inputs!G$50,Data!$AF177*Inputs!G$51))</f>
        <v>976893.69960000005</v>
      </c>
      <c r="AY177" s="308">
        <f>ABS(IF($AQ177="Yes",$AF177*Inputs!H$50,Data!$AF177*Inputs!H$51))</f>
        <v>976893.69960000005</v>
      </c>
      <c r="AZ177" s="308">
        <f>ABS(IF($AQ177="Yes",$AF177*Inputs!I$50,Data!$AF177*Inputs!I$51))</f>
        <v>976893.69960000005</v>
      </c>
      <c r="BA177" s="308">
        <f>ABS(IF($AQ177="Yes",$AF177*Inputs!J$50,Data!$AF177*Inputs!J$51))</f>
        <v>976893.69960000005</v>
      </c>
      <c r="BB177" s="308">
        <f>ABS(IF($AQ177="Yes",$AF177*Inputs!K$50,Data!$AF177*Inputs!K$51))</f>
        <v>0</v>
      </c>
      <c r="BC177" s="308">
        <f>ABS(IF($AQ177="Yes",$AF177*Inputs!L$50,Data!$AF177*Inputs!L$51))</f>
        <v>0</v>
      </c>
      <c r="BE177" s="308">
        <f t="shared" si="94"/>
        <v>30916766.3992</v>
      </c>
      <c r="BF177" s="308">
        <f t="shared" si="95"/>
        <v>31893660.0988</v>
      </c>
      <c r="BG177" s="308">
        <f t="shared" si="96"/>
        <v>32870553.7984</v>
      </c>
      <c r="BH177" s="308">
        <f t="shared" si="97"/>
        <v>33847447.498000003</v>
      </c>
      <c r="BI177" s="308">
        <f t="shared" si="98"/>
        <v>34824341.197600007</v>
      </c>
      <c r="BJ177" s="308">
        <f t="shared" si="99"/>
        <v>35746177</v>
      </c>
      <c r="BK177" s="308">
        <f t="shared" si="100"/>
        <v>35746177</v>
      </c>
      <c r="BL177" s="308">
        <f t="shared" si="101"/>
        <v>35746177</v>
      </c>
      <c r="BN177" s="308">
        <f t="shared" si="108"/>
        <v>30916766.3992</v>
      </c>
      <c r="BO177" s="308">
        <f t="shared" si="109"/>
        <v>31893660.0988</v>
      </c>
      <c r="BP177" s="308">
        <f t="shared" si="110"/>
        <v>32870553.7984</v>
      </c>
      <c r="BQ177" s="308">
        <f t="shared" si="111"/>
        <v>33847447.498000003</v>
      </c>
      <c r="BR177" s="308">
        <f t="shared" si="112"/>
        <v>34824341.197600007</v>
      </c>
      <c r="BS177" s="308">
        <f t="shared" si="113"/>
        <v>35746177</v>
      </c>
      <c r="BT177" s="308">
        <f t="shared" si="114"/>
        <v>35746177</v>
      </c>
      <c r="BU177" s="308">
        <f t="shared" si="102"/>
        <v>35746177</v>
      </c>
    </row>
    <row r="178" spans="1:73" ht="15" x14ac:dyDescent="0.2">
      <c r="A178" s="62" t="s">
        <v>176</v>
      </c>
      <c r="B178" s="55" t="s">
        <v>14</v>
      </c>
      <c r="C178" s="55"/>
      <c r="D178" s="55">
        <v>1</v>
      </c>
      <c r="E178" s="55">
        <v>1</v>
      </c>
      <c r="F178" s="55"/>
      <c r="G178" s="48">
        <v>6</v>
      </c>
      <c r="H178" s="55">
        <v>164</v>
      </c>
      <c r="I178" s="55">
        <f>INDEX('FY 22 OFA Shell'!$K$27:$K$195,MATCH(Data!H178,'FY 22 OFA Shell'!$H$27:$H$195,0))</f>
        <v>3883.78</v>
      </c>
      <c r="J178" s="55">
        <f>INDEX('FY 22 OFA Shell'!$N$27:$N$195,MATCH(Data!H178,'FY 22 OFA Shell'!$H$27:$H$195,0))</f>
        <v>1754</v>
      </c>
      <c r="K178" s="64">
        <f>INDEX('FY 22 OFA Shell'!$S$27:$S$195,MATCH(Data!H178,'FY 22 OFA Shell'!$H$27:$H$195,0))</f>
        <v>128</v>
      </c>
      <c r="L178" s="150">
        <f t="shared" si="90"/>
        <v>0.45162187353557615</v>
      </c>
      <c r="M178" s="149">
        <f>MAX(((L178-Inputs!$E$23)*Data!I178)*Inputs!$E$24,0)</f>
        <v>0</v>
      </c>
      <c r="N178" s="151">
        <f>INDEX('FY 22 OFA Shell'!$V$27:$V$195,MATCH(Data!H178,'FY 22 OFA Shell'!$H$27:$H$195,0))</f>
        <v>4400606620</v>
      </c>
      <c r="O178" s="63">
        <f>INDEX('FY 22 OFA Shell'!$W$27:$W$195,MATCH(Data!H178,'FY 22 OFA Shell'!$H$27:$H$195,0))</f>
        <v>28917</v>
      </c>
      <c r="P178" s="65">
        <f>INDEX('FY 22 OFA Shell'!$Z$27:$Z$195,MATCH(Data!H178,'FY 22 OFA Shell'!$H$27:$H$195,0))</f>
        <v>88986</v>
      </c>
      <c r="Q178" s="63">
        <f>INDEX('FY 22 OFA Shell'!$AF$27:$AF$195,MATCH(Data!H178,'FY 22 OFA Shell'!$H$27:$H$195,0))</f>
        <v>0</v>
      </c>
      <c r="R178" s="66">
        <f>INDEX('FY 22 OFA Shell'!$AG$27:$AG$195,MATCH(Data!H178,'FY 22 OFA Shell'!$H$27:$H$195,0))</f>
        <v>0</v>
      </c>
      <c r="S178" s="66">
        <f>INDEX('FY 22 OFA Shell'!$AJ$27:$AJ$195,MATCH(Data!H178,'FY 22 OFA Shell'!$H$27:$H$195,0))</f>
        <v>0</v>
      </c>
      <c r="T178" s="66">
        <f>INDEX('FY 22 OFA Shell'!$AK$27:$AK$195,MATCH(Data!H178,'FY 22 OFA Shell'!$H$27:$H$195,0))</f>
        <v>0</v>
      </c>
      <c r="U178" s="135">
        <v>12130392</v>
      </c>
      <c r="V178" s="67">
        <f>ROUND(J178*Inputs!$E$22, 2)</f>
        <v>526.20000000000005</v>
      </c>
      <c r="W178" s="68">
        <f>I178+V178+K178*Inputs!$E$28+Data!M178</f>
        <v>4441.9800000000005</v>
      </c>
      <c r="X178" s="69">
        <f t="shared" si="103"/>
        <v>152180.60999999999</v>
      </c>
      <c r="Y178" s="70">
        <f>ROUND(X178/Inputs!$E$32, 6)</f>
        <v>0.790439</v>
      </c>
      <c r="Z178" s="70">
        <f>ROUND(P178/Inputs!$E$33, 6)</f>
        <v>0.73850800000000005</v>
      </c>
      <c r="AA178" s="59">
        <f>ROUND(1-((Y178*Inputs!$E$29)+Z178*Inputs!$E$27), 6)</f>
        <v>0.22514000000000001</v>
      </c>
      <c r="AB178" s="59">
        <v>256.56342788476485</v>
      </c>
      <c r="AC178" s="73">
        <f>INDEX('FY 22 OFA Shell'!$G$27:$G$195,MATCH(Data!H178,'FY 22 OFA Shell'!$H$27:$H$195,0))</f>
        <v>38</v>
      </c>
      <c r="AD178" s="73">
        <f t="shared" si="91"/>
        <v>5</v>
      </c>
      <c r="AE178" s="65">
        <v>12130392</v>
      </c>
      <c r="AF178" s="65">
        <f t="shared" si="104"/>
        <v>-604615</v>
      </c>
      <c r="AG178" s="65">
        <f t="shared" si="105"/>
        <v>0</v>
      </c>
      <c r="AH178" s="52">
        <v>12093273</v>
      </c>
      <c r="AI178" s="107">
        <v>12130392</v>
      </c>
      <c r="AJ178">
        <v>13</v>
      </c>
      <c r="AK178">
        <v>16542.34313295305</v>
      </c>
      <c r="AL178" s="165">
        <f>INDEX('FY 22 OFA Shell'!$AU$27:$AU$195,MATCH(Data!H178,'FY 22 OFA Shell'!$H$27:$H$195,0))</f>
        <v>12130392</v>
      </c>
      <c r="AM178" s="165">
        <f>Outputs!H183</f>
        <v>12130392</v>
      </c>
      <c r="AN178" s="165">
        <f>Outputs!G183+Outputs!D183+Outputs!F183</f>
        <v>11525777</v>
      </c>
      <c r="AO178" s="165">
        <v>12130392</v>
      </c>
      <c r="AP178" s="165">
        <f t="shared" si="92"/>
        <v>12146934.343132952</v>
      </c>
      <c r="AQ178" s="52" t="str">
        <f t="shared" si="106"/>
        <v>No</v>
      </c>
      <c r="AR178" s="308">
        <f>ABS(IF(AQ178="Yes",AF178*Inputs!$D$50,Data!AF178*Inputs!$D$51))</f>
        <v>0</v>
      </c>
      <c r="AS178" s="308">
        <f t="shared" si="93"/>
        <v>12130392</v>
      </c>
      <c r="AT178" s="308">
        <f t="shared" si="107"/>
        <v>12130392</v>
      </c>
      <c r="AU178" s="308"/>
      <c r="AV178" s="308">
        <f>ABS(IF($AQ178="Yes",$AF178*Inputs!E$50,Data!$AF178*Inputs!E$51))</f>
        <v>0</v>
      </c>
      <c r="AW178" s="308">
        <f>ABS(IF($AQ178="Yes",$AF178*Inputs!F$50,Data!$AF178*Inputs!F$51))</f>
        <v>50364.429499999998</v>
      </c>
      <c r="AX178" s="308">
        <f>ABS(IF($AQ178="Yes",$AF178*Inputs!G$50,Data!$AF178*Inputs!G$51))</f>
        <v>50364.429499999998</v>
      </c>
      <c r="AY178" s="308">
        <f>ABS(IF($AQ178="Yes",$AF178*Inputs!H$50,Data!$AF178*Inputs!H$51))</f>
        <v>50364.429499999998</v>
      </c>
      <c r="AZ178" s="308">
        <f>ABS(IF($AQ178="Yes",$AF178*Inputs!I$50,Data!$AF178*Inputs!I$51))</f>
        <v>50364.429499999998</v>
      </c>
      <c r="BA178" s="308">
        <f>ABS(IF($AQ178="Yes",$AF178*Inputs!J$50,Data!$AF178*Inputs!J$51))</f>
        <v>50364.429499999998</v>
      </c>
      <c r="BB178" s="308">
        <f>ABS(IF($AQ178="Yes",$AF178*Inputs!K$50,Data!$AF178*Inputs!K$51))</f>
        <v>50364.429499999998</v>
      </c>
      <c r="BC178" s="308">
        <f>ABS(IF($AQ178="Yes",$AF178*Inputs!L$50,Data!$AF178*Inputs!L$51))</f>
        <v>50364.429499999998</v>
      </c>
      <c r="BE178" s="308">
        <f t="shared" si="94"/>
        <v>12130392</v>
      </c>
      <c r="BF178" s="308">
        <f t="shared" si="95"/>
        <v>12080027.570499999</v>
      </c>
      <c r="BG178" s="308">
        <f t="shared" si="96"/>
        <v>12029663.140999999</v>
      </c>
      <c r="BH178" s="308">
        <f t="shared" si="97"/>
        <v>11979298.711499998</v>
      </c>
      <c r="BI178" s="308">
        <f t="shared" si="98"/>
        <v>11928934.281999998</v>
      </c>
      <c r="BJ178" s="308">
        <f t="shared" si="99"/>
        <v>11878569.852499997</v>
      </c>
      <c r="BK178" s="308">
        <f t="shared" si="100"/>
        <v>11828205.422999997</v>
      </c>
      <c r="BL178" s="308">
        <f t="shared" si="101"/>
        <v>11525777</v>
      </c>
      <c r="BN178" s="308">
        <f t="shared" si="108"/>
        <v>12130392</v>
      </c>
      <c r="BO178" s="308">
        <f t="shared" si="109"/>
        <v>12130392</v>
      </c>
      <c r="BP178" s="308">
        <f t="shared" si="110"/>
        <v>12130392</v>
      </c>
      <c r="BQ178" s="308">
        <f t="shared" si="111"/>
        <v>12130392</v>
      </c>
      <c r="BR178" s="308">
        <f t="shared" si="112"/>
        <v>12130392</v>
      </c>
      <c r="BS178" s="308">
        <f t="shared" si="113"/>
        <v>12130392</v>
      </c>
      <c r="BT178" s="308">
        <f t="shared" si="114"/>
        <v>12130392</v>
      </c>
      <c r="BU178" s="308">
        <f t="shared" si="102"/>
        <v>12130392</v>
      </c>
    </row>
    <row r="179" spans="1:73" ht="15" x14ac:dyDescent="0.2">
      <c r="A179" s="62" t="s">
        <v>177</v>
      </c>
      <c r="B179" s="55" t="s">
        <v>32</v>
      </c>
      <c r="C179" s="55"/>
      <c r="D179" s="55">
        <v>1</v>
      </c>
      <c r="E179" s="55">
        <v>1</v>
      </c>
      <c r="F179" s="55"/>
      <c r="G179" s="48">
        <v>7</v>
      </c>
      <c r="H179" s="55">
        <v>165</v>
      </c>
      <c r="I179" s="55">
        <f>INDEX('FY 22 OFA Shell'!$K$27:$K$195,MATCH(Data!H179,'FY 22 OFA Shell'!$H$27:$H$195,0))</f>
        <v>1561.69</v>
      </c>
      <c r="J179" s="55">
        <f>INDEX('FY 22 OFA Shell'!$N$27:$N$195,MATCH(Data!H179,'FY 22 OFA Shell'!$H$27:$H$195,0))</f>
        <v>602</v>
      </c>
      <c r="K179" s="64">
        <f>INDEX('FY 22 OFA Shell'!$S$27:$S$195,MATCH(Data!H179,'FY 22 OFA Shell'!$H$27:$H$195,0))</f>
        <v>98</v>
      </c>
      <c r="L179" s="150">
        <f t="shared" si="90"/>
        <v>0.38547983274529513</v>
      </c>
      <c r="M179" s="149">
        <f>MAX(((L179-Inputs!$E$23)*Data!I179)*Inputs!$E$24,0)</f>
        <v>0</v>
      </c>
      <c r="N179" s="151">
        <f>INDEX('FY 22 OFA Shell'!$V$27:$V$195,MATCH(Data!H179,'FY 22 OFA Shell'!$H$27:$H$195,0))</f>
        <v>2029578662.3299999</v>
      </c>
      <c r="O179" s="63">
        <f>INDEX('FY 22 OFA Shell'!$W$27:$W$195,MATCH(Data!H179,'FY 22 OFA Shell'!$H$27:$H$195,0))</f>
        <v>12613</v>
      </c>
      <c r="P179" s="65">
        <f>INDEX('FY 22 OFA Shell'!$Z$27:$Z$195,MATCH(Data!H179,'FY 22 OFA Shell'!$H$27:$H$195,0))</f>
        <v>66846</v>
      </c>
      <c r="Q179" s="63">
        <f>INDEX('FY 22 OFA Shell'!$AF$27:$AF$195,MATCH(Data!H179,'FY 22 OFA Shell'!$H$27:$H$195,0))</f>
        <v>0</v>
      </c>
      <c r="R179" s="66">
        <f>INDEX('FY 22 OFA Shell'!$AG$27:$AG$195,MATCH(Data!H179,'FY 22 OFA Shell'!$H$27:$H$195,0))</f>
        <v>0</v>
      </c>
      <c r="S179" s="66">
        <f>INDEX('FY 22 OFA Shell'!$AJ$27:$AJ$195,MATCH(Data!H179,'FY 22 OFA Shell'!$H$27:$H$195,0))</f>
        <v>0</v>
      </c>
      <c r="T179" s="66">
        <f>INDEX('FY 22 OFA Shell'!$AK$27:$AK$195,MATCH(Data!H179,'FY 22 OFA Shell'!$H$27:$H$195,0))</f>
        <v>0</v>
      </c>
      <c r="U179" s="135">
        <v>5167806</v>
      </c>
      <c r="V179" s="67">
        <f>ROUND(J179*Inputs!$E$22, 2)</f>
        <v>180.6</v>
      </c>
      <c r="W179" s="68">
        <f>I179+V179+K179*Inputs!$E$28+Data!M179</f>
        <v>1766.79</v>
      </c>
      <c r="X179" s="69">
        <f t="shared" si="103"/>
        <v>160911.65</v>
      </c>
      <c r="Y179" s="70">
        <f>ROUND(X179/Inputs!$E$32, 6)</f>
        <v>0.83578799999999998</v>
      </c>
      <c r="Z179" s="70">
        <f>ROUND(P179/Inputs!$E$33, 6)</f>
        <v>0.55476499999999995</v>
      </c>
      <c r="AA179" s="59">
        <f>ROUND(1-((Y179*Inputs!$E$29)+Z179*Inputs!$E$27), 6)</f>
        <v>0.24851899999999999</v>
      </c>
      <c r="AB179" s="59">
        <v>246.90997703725645</v>
      </c>
      <c r="AC179" s="73">
        <f>INDEX('FY 22 OFA Shell'!$G$27:$G$195,MATCH(Data!H179,'FY 22 OFA Shell'!$H$27:$H$195,0))</f>
        <v>44</v>
      </c>
      <c r="AD179" s="73">
        <f t="shared" si="91"/>
        <v>5</v>
      </c>
      <c r="AE179" s="65">
        <v>5167806</v>
      </c>
      <c r="AF179" s="65">
        <f t="shared" si="104"/>
        <v>-107399</v>
      </c>
      <c r="AG179" s="65">
        <f t="shared" si="105"/>
        <v>0</v>
      </c>
      <c r="AH179" s="52">
        <v>5140076</v>
      </c>
      <c r="AI179" s="107">
        <v>5179535.6900000004</v>
      </c>
      <c r="AJ179"/>
      <c r="AK179">
        <v>0</v>
      </c>
      <c r="AL179" s="165">
        <f>INDEX('FY 22 OFA Shell'!$AU$27:$AU$195,MATCH(Data!H179,'FY 22 OFA Shell'!$H$27:$H$195,0))</f>
        <v>5225299</v>
      </c>
      <c r="AM179" s="165">
        <f>Outputs!H184</f>
        <v>5167806</v>
      </c>
      <c r="AN179" s="165">
        <f>Outputs!G184+Outputs!D184+Outputs!F184</f>
        <v>5060407</v>
      </c>
      <c r="AO179" s="165">
        <v>5232321</v>
      </c>
      <c r="AP179" s="165">
        <f t="shared" si="92"/>
        <v>5179535.6900000004</v>
      </c>
      <c r="AQ179" s="52" t="str">
        <f t="shared" si="106"/>
        <v>No</v>
      </c>
      <c r="AR179" s="308">
        <f>ABS(IF(AQ179="Yes",AF179*Inputs!$D$50,Data!AF179*Inputs!$D$51))</f>
        <v>0</v>
      </c>
      <c r="AS179" s="308">
        <f t="shared" si="93"/>
        <v>5225299</v>
      </c>
      <c r="AT179" s="308">
        <f t="shared" si="107"/>
        <v>5225299</v>
      </c>
      <c r="AU179" s="308"/>
      <c r="AV179" s="308">
        <f>ABS(IF($AQ179="Yes",$AF179*Inputs!E$50,Data!$AF179*Inputs!E$51))</f>
        <v>0</v>
      </c>
      <c r="AW179" s="308">
        <f>ABS(IF($AQ179="Yes",$AF179*Inputs!F$50,Data!$AF179*Inputs!F$51))</f>
        <v>8946.3366999999998</v>
      </c>
      <c r="AX179" s="308">
        <f>ABS(IF($AQ179="Yes",$AF179*Inputs!G$50,Data!$AF179*Inputs!G$51))</f>
        <v>8946.3366999999998</v>
      </c>
      <c r="AY179" s="308">
        <f>ABS(IF($AQ179="Yes",$AF179*Inputs!H$50,Data!$AF179*Inputs!H$51))</f>
        <v>8946.3366999999998</v>
      </c>
      <c r="AZ179" s="308">
        <f>ABS(IF($AQ179="Yes",$AF179*Inputs!I$50,Data!$AF179*Inputs!I$51))</f>
        <v>8946.3366999999998</v>
      </c>
      <c r="BA179" s="308">
        <f>ABS(IF($AQ179="Yes",$AF179*Inputs!J$50,Data!$AF179*Inputs!J$51))</f>
        <v>8946.3366999999998</v>
      </c>
      <c r="BB179" s="308">
        <f>ABS(IF($AQ179="Yes",$AF179*Inputs!K$50,Data!$AF179*Inputs!K$51))</f>
        <v>8946.3366999999998</v>
      </c>
      <c r="BC179" s="308">
        <f>ABS(IF($AQ179="Yes",$AF179*Inputs!L$50,Data!$AF179*Inputs!L$51))</f>
        <v>8946.3366999999998</v>
      </c>
      <c r="BE179" s="308">
        <f t="shared" si="94"/>
        <v>5225299</v>
      </c>
      <c r="BF179" s="308">
        <f t="shared" si="95"/>
        <v>5216352.6633000001</v>
      </c>
      <c r="BG179" s="308">
        <f t="shared" si="96"/>
        <v>5207406.3266000003</v>
      </c>
      <c r="BH179" s="308">
        <f t="shared" si="97"/>
        <v>5198459.9899000004</v>
      </c>
      <c r="BI179" s="308">
        <f t="shared" si="98"/>
        <v>5189513.6532000005</v>
      </c>
      <c r="BJ179" s="308">
        <f t="shared" si="99"/>
        <v>5180567.3165000007</v>
      </c>
      <c r="BK179" s="308">
        <f t="shared" si="100"/>
        <v>5171620.9798000008</v>
      </c>
      <c r="BL179" s="308">
        <f t="shared" si="101"/>
        <v>5060407</v>
      </c>
      <c r="BN179" s="308">
        <f t="shared" si="108"/>
        <v>5225299</v>
      </c>
      <c r="BO179" s="308">
        <f t="shared" si="109"/>
        <v>5216352.6633000001</v>
      </c>
      <c r="BP179" s="308">
        <f t="shared" si="110"/>
        <v>5207406.3266000003</v>
      </c>
      <c r="BQ179" s="308">
        <f t="shared" si="111"/>
        <v>5198459.9899000004</v>
      </c>
      <c r="BR179" s="308">
        <f t="shared" si="112"/>
        <v>5189513.6532000005</v>
      </c>
      <c r="BS179" s="308">
        <f t="shared" si="113"/>
        <v>5180567.3165000007</v>
      </c>
      <c r="BT179" s="308">
        <f t="shared" si="114"/>
        <v>5171620.9798000008</v>
      </c>
      <c r="BU179" s="308">
        <f t="shared" si="102"/>
        <v>5167806</v>
      </c>
    </row>
    <row r="180" spans="1:73" ht="15" x14ac:dyDescent="0.2">
      <c r="A180" s="62" t="s">
        <v>178</v>
      </c>
      <c r="B180" s="55" t="s">
        <v>32</v>
      </c>
      <c r="C180" s="55"/>
      <c r="D180" s="55"/>
      <c r="E180" s="55"/>
      <c r="F180" s="55"/>
      <c r="G180" s="48">
        <v>7</v>
      </c>
      <c r="H180" s="55">
        <v>166</v>
      </c>
      <c r="I180" s="55">
        <f>INDEX('FY 22 OFA Shell'!$K$27:$K$195,MATCH(Data!H180,'FY 22 OFA Shell'!$H$27:$H$195,0))</f>
        <v>2293.6799999999998</v>
      </c>
      <c r="J180" s="55">
        <f>INDEX('FY 22 OFA Shell'!$N$27:$N$195,MATCH(Data!H180,'FY 22 OFA Shell'!$H$27:$H$195,0))</f>
        <v>705</v>
      </c>
      <c r="K180" s="64">
        <f>INDEX('FY 22 OFA Shell'!$S$27:$S$195,MATCH(Data!H180,'FY 22 OFA Shell'!$H$27:$H$195,0))</f>
        <v>75</v>
      </c>
      <c r="L180" s="150">
        <f t="shared" si="90"/>
        <v>0.3073663283457152</v>
      </c>
      <c r="M180" s="149">
        <f>MAX(((L180-Inputs!$E$23)*Data!I180)*Inputs!$E$24,0)</f>
        <v>0</v>
      </c>
      <c r="N180" s="151">
        <f>INDEX('FY 22 OFA Shell'!$V$27:$V$195,MATCH(Data!H180,'FY 22 OFA Shell'!$H$27:$H$195,0))</f>
        <v>1811486207</v>
      </c>
      <c r="O180" s="63">
        <f>INDEX('FY 22 OFA Shell'!$W$27:$W$195,MATCH(Data!H180,'FY 22 OFA Shell'!$H$27:$H$195,0))</f>
        <v>16652</v>
      </c>
      <c r="P180" s="65">
        <f>INDEX('FY 22 OFA Shell'!$Z$27:$Z$195,MATCH(Data!H180,'FY 22 OFA Shell'!$H$27:$H$195,0))</f>
        <v>86786</v>
      </c>
      <c r="Q180" s="63">
        <f>INDEX('FY 22 OFA Shell'!$AF$27:$AF$195,MATCH(Data!H180,'FY 22 OFA Shell'!$H$27:$H$195,0))</f>
        <v>0</v>
      </c>
      <c r="R180" s="66">
        <f>INDEX('FY 22 OFA Shell'!$AG$27:$AG$195,MATCH(Data!H180,'FY 22 OFA Shell'!$H$27:$H$195,0))</f>
        <v>0</v>
      </c>
      <c r="S180" s="66">
        <f>INDEX('FY 22 OFA Shell'!$AJ$27:$AJ$195,MATCH(Data!H180,'FY 22 OFA Shell'!$H$27:$H$195,0))</f>
        <v>0</v>
      </c>
      <c r="T180" s="66">
        <f>INDEX('FY 22 OFA Shell'!$AK$27:$AK$195,MATCH(Data!H180,'FY 22 OFA Shell'!$H$27:$H$195,0))</f>
        <v>0</v>
      </c>
      <c r="U180" s="135">
        <v>13423576</v>
      </c>
      <c r="V180" s="67">
        <f>ROUND(J180*Inputs!$E$22, 2)</f>
        <v>211.5</v>
      </c>
      <c r="W180" s="68">
        <f>I180+V180+K180*Inputs!$E$28+Data!M180</f>
        <v>2523.9299999999998</v>
      </c>
      <c r="X180" s="69">
        <f t="shared" si="103"/>
        <v>108784.9</v>
      </c>
      <c r="Y180" s="70">
        <f>ROUND(X180/Inputs!$E$32, 6)</f>
        <v>0.56503800000000004</v>
      </c>
      <c r="Z180" s="70">
        <f>ROUND(P180/Inputs!$E$33, 6)</f>
        <v>0.72024999999999995</v>
      </c>
      <c r="AA180" s="59">
        <f>ROUND(1-((Y180*Inputs!$E$29)+Z180*Inputs!$E$27), 6)</f>
        <v>0.38839800000000002</v>
      </c>
      <c r="AB180" s="59">
        <v>227.18784407300831</v>
      </c>
      <c r="AC180" s="73">
        <f>INDEX('FY 22 OFA Shell'!$G$27:$G$195,MATCH(Data!H180,'FY 22 OFA Shell'!$H$27:$H$195,0))</f>
        <v>53</v>
      </c>
      <c r="AD180" s="73">
        <f t="shared" si="91"/>
        <v>5</v>
      </c>
      <c r="AE180" s="65">
        <v>13423576</v>
      </c>
      <c r="AF180" s="65">
        <f t="shared" si="104"/>
        <v>-2125741</v>
      </c>
      <c r="AG180" s="65">
        <f t="shared" si="105"/>
        <v>-2125741</v>
      </c>
      <c r="AH180" s="52">
        <v>11645463</v>
      </c>
      <c r="AI180" s="107">
        <v>12783924.5</v>
      </c>
      <c r="AJ180">
        <v>1</v>
      </c>
      <c r="AK180">
        <v>1272.4879333040808</v>
      </c>
      <c r="AL180" s="165">
        <f>INDEX('FY 22 OFA Shell'!$AU$27:$AU$195,MATCH(Data!H180,'FY 22 OFA Shell'!$H$27:$H$195,0))</f>
        <v>12387171</v>
      </c>
      <c r="AM180" s="165">
        <f>Outputs!H185</f>
        <v>11297835</v>
      </c>
      <c r="AN180" s="165">
        <f>Outputs!G185+Outputs!D185+Outputs!F185</f>
        <v>11297835</v>
      </c>
      <c r="AO180" s="165">
        <v>12589694</v>
      </c>
      <c r="AP180" s="165">
        <f t="shared" si="92"/>
        <v>12785196.987933304</v>
      </c>
      <c r="AQ180" s="52" t="str">
        <f t="shared" si="106"/>
        <v>No</v>
      </c>
      <c r="AR180" s="308">
        <f>ABS(IF(AQ180="Yes",AF180*Inputs!$D$50,Data!AF180*Inputs!$D$51))</f>
        <v>0</v>
      </c>
      <c r="AS180" s="308">
        <f t="shared" si="93"/>
        <v>12387171</v>
      </c>
      <c r="AT180" s="308">
        <f t="shared" si="107"/>
        <v>12387171</v>
      </c>
      <c r="AU180" s="308"/>
      <c r="AV180" s="308">
        <f>ABS(IF($AQ180="Yes",$AF180*Inputs!E$50,Data!$AF180*Inputs!E$51))</f>
        <v>0</v>
      </c>
      <c r="AW180" s="308">
        <f>ABS(IF($AQ180="Yes",$AF180*Inputs!F$50,Data!$AF180*Inputs!F$51))</f>
        <v>177074.22529999999</v>
      </c>
      <c r="AX180" s="308">
        <f>ABS(IF($AQ180="Yes",$AF180*Inputs!G$50,Data!$AF180*Inputs!G$51))</f>
        <v>177074.22529999999</v>
      </c>
      <c r="AY180" s="308">
        <f>ABS(IF($AQ180="Yes",$AF180*Inputs!H$50,Data!$AF180*Inputs!H$51))</f>
        <v>177074.22529999999</v>
      </c>
      <c r="AZ180" s="308">
        <f>ABS(IF($AQ180="Yes",$AF180*Inputs!I$50,Data!$AF180*Inputs!I$51))</f>
        <v>177074.22529999999</v>
      </c>
      <c r="BA180" s="308">
        <f>ABS(IF($AQ180="Yes",$AF180*Inputs!J$50,Data!$AF180*Inputs!J$51))</f>
        <v>177074.22529999999</v>
      </c>
      <c r="BB180" s="308">
        <f>ABS(IF($AQ180="Yes",$AF180*Inputs!K$50,Data!$AF180*Inputs!K$51))</f>
        <v>177074.22529999999</v>
      </c>
      <c r="BC180" s="308">
        <f>ABS(IF($AQ180="Yes",$AF180*Inputs!L$50,Data!$AF180*Inputs!L$51))</f>
        <v>177074.22529999999</v>
      </c>
      <c r="BE180" s="308">
        <f t="shared" si="94"/>
        <v>12387171</v>
      </c>
      <c r="BF180" s="308">
        <f t="shared" si="95"/>
        <v>12210096.774700001</v>
      </c>
      <c r="BG180" s="308">
        <f t="shared" si="96"/>
        <v>12033022.549400002</v>
      </c>
      <c r="BH180" s="308">
        <f t="shared" si="97"/>
        <v>11855948.324100003</v>
      </c>
      <c r="BI180" s="308">
        <f t="shared" si="98"/>
        <v>11678874.098800004</v>
      </c>
      <c r="BJ180" s="308">
        <f t="shared" si="99"/>
        <v>11501799.873500004</v>
      </c>
      <c r="BK180" s="308">
        <f t="shared" si="100"/>
        <v>11324725.648200005</v>
      </c>
      <c r="BL180" s="308">
        <f t="shared" si="101"/>
        <v>11297835</v>
      </c>
      <c r="BN180" s="308">
        <f t="shared" si="108"/>
        <v>12387171</v>
      </c>
      <c r="BO180" s="308">
        <f t="shared" si="109"/>
        <v>12210096.774700001</v>
      </c>
      <c r="BP180" s="308">
        <f t="shared" si="110"/>
        <v>12033022.549400002</v>
      </c>
      <c r="BQ180" s="308">
        <f t="shared" si="111"/>
        <v>11855948.324100003</v>
      </c>
      <c r="BR180" s="308">
        <f t="shared" si="112"/>
        <v>11678874.098800004</v>
      </c>
      <c r="BS180" s="308">
        <f t="shared" si="113"/>
        <v>11501799.873500004</v>
      </c>
      <c r="BT180" s="308">
        <f t="shared" si="114"/>
        <v>11324725.648200005</v>
      </c>
      <c r="BU180" s="308">
        <f t="shared" si="102"/>
        <v>11297835</v>
      </c>
    </row>
    <row r="181" spans="1:73" ht="15" x14ac:dyDescent="0.2">
      <c r="A181" s="62" t="s">
        <v>179</v>
      </c>
      <c r="B181" s="55" t="s">
        <v>10</v>
      </c>
      <c r="C181" s="55"/>
      <c r="D181" s="55"/>
      <c r="E181" s="55"/>
      <c r="F181" s="55"/>
      <c r="G181" s="48">
        <v>2</v>
      </c>
      <c r="H181" s="55">
        <v>167</v>
      </c>
      <c r="I181" s="55">
        <f>INDEX('FY 22 OFA Shell'!$K$27:$K$195,MATCH(Data!H181,'FY 22 OFA Shell'!$H$27:$H$195,0))</f>
        <v>1535.25</v>
      </c>
      <c r="J181" s="55">
        <f>INDEX('FY 22 OFA Shell'!$N$27:$N$195,MATCH(Data!H181,'FY 22 OFA Shell'!$H$27:$H$195,0))</f>
        <v>214</v>
      </c>
      <c r="K181" s="64">
        <f>INDEX('FY 22 OFA Shell'!$S$27:$S$195,MATCH(Data!H181,'FY 22 OFA Shell'!$H$27:$H$195,0))</f>
        <v>32</v>
      </c>
      <c r="L181" s="150">
        <f t="shared" si="90"/>
        <v>0.13939097866796937</v>
      </c>
      <c r="M181" s="149">
        <f>MAX(((L181-Inputs!$E$23)*Data!I181)*Inputs!$E$24,0)</f>
        <v>0</v>
      </c>
      <c r="N181" s="151">
        <f>INDEX('FY 22 OFA Shell'!$V$27:$V$195,MATCH(Data!H181,'FY 22 OFA Shell'!$H$27:$H$195,0))</f>
        <v>1671279204.6700001</v>
      </c>
      <c r="O181" s="63">
        <f>INDEX('FY 22 OFA Shell'!$W$27:$W$195,MATCH(Data!H181,'FY 22 OFA Shell'!$H$27:$H$195,0))</f>
        <v>8868</v>
      </c>
      <c r="P181" s="65">
        <f>INDEX('FY 22 OFA Shell'!$Z$27:$Z$195,MATCH(Data!H181,'FY 22 OFA Shell'!$H$27:$H$195,0))</f>
        <v>142188</v>
      </c>
      <c r="Q181" s="63">
        <f>INDEX('FY 22 OFA Shell'!$AF$27:$AF$195,MATCH(Data!H181,'FY 22 OFA Shell'!$H$27:$H$195,0))</f>
        <v>703</v>
      </c>
      <c r="R181" s="66">
        <f>INDEX('FY 22 OFA Shell'!$AG$27:$AG$195,MATCH(Data!H181,'FY 22 OFA Shell'!$H$27:$H$195,0))</f>
        <v>6</v>
      </c>
      <c r="S181" s="66">
        <f>INDEX('FY 22 OFA Shell'!$AJ$27:$AJ$195,MATCH(Data!H181,'FY 22 OFA Shell'!$H$27:$H$195,0))</f>
        <v>0</v>
      </c>
      <c r="T181" s="66">
        <f>INDEX('FY 22 OFA Shell'!$AK$27:$AK$195,MATCH(Data!H181,'FY 22 OFA Shell'!$H$27:$H$195,0))</f>
        <v>0</v>
      </c>
      <c r="U181" s="135">
        <v>656185</v>
      </c>
      <c r="V181" s="67">
        <f>ROUND(J181*Inputs!$E$22, 2)</f>
        <v>64.2</v>
      </c>
      <c r="W181" s="68">
        <f>I181+V181+K181*Inputs!$E$28+Data!M181</f>
        <v>1607.45</v>
      </c>
      <c r="X181" s="69">
        <f t="shared" si="103"/>
        <v>188461.8</v>
      </c>
      <c r="Y181" s="70">
        <f>ROUND(X181/Inputs!$E$32, 6)</f>
        <v>0.97888600000000003</v>
      </c>
      <c r="Z181" s="70">
        <f>ROUND(P181/Inputs!$E$33, 6)</f>
        <v>1.18004</v>
      </c>
      <c r="AA181" s="59">
        <f>ROUND(1-((Y181*Inputs!$E$29)+Z181*Inputs!$E$27), 6)</f>
        <v>-3.9232000000000003E-2</v>
      </c>
      <c r="AB181" s="59">
        <v>189.90648789552557</v>
      </c>
      <c r="AC181" s="73">
        <f>INDEX('FY 22 OFA Shell'!$G$27:$G$195,MATCH(Data!H181,'FY 22 OFA Shell'!$H$27:$H$195,0))</f>
        <v>127</v>
      </c>
      <c r="AD181" s="73">
        <f t="shared" si="91"/>
        <v>5</v>
      </c>
      <c r="AE181" s="65">
        <v>656185</v>
      </c>
      <c r="AF181" s="65">
        <f t="shared" si="104"/>
        <v>-49126</v>
      </c>
      <c r="AG181" s="65">
        <f t="shared" si="105"/>
        <v>-49126</v>
      </c>
      <c r="AH181" s="52">
        <v>569353</v>
      </c>
      <c r="AI181" s="107">
        <v>544689.5</v>
      </c>
      <c r="AJ181">
        <v>1</v>
      </c>
      <c r="AK181">
        <v>1272.4879333040808</v>
      </c>
      <c r="AL181" s="165">
        <f>INDEX('FY 22 OFA Shell'!$AU$27:$AU$195,MATCH(Data!H181,'FY 22 OFA Shell'!$H$27:$H$195,0))</f>
        <v>471575</v>
      </c>
      <c r="AM181" s="165">
        <f>Outputs!H186</f>
        <v>607059</v>
      </c>
      <c r="AN181" s="165">
        <f>Outputs!G186+Outputs!D186+Outputs!F186</f>
        <v>607059</v>
      </c>
      <c r="AO181" s="165">
        <v>508056</v>
      </c>
      <c r="AP181" s="165">
        <f t="shared" si="92"/>
        <v>545961.98793330404</v>
      </c>
      <c r="AQ181" s="52" t="str">
        <f t="shared" si="106"/>
        <v>No</v>
      </c>
      <c r="AR181" s="308">
        <f>ABS(IF(AQ181="Yes",AF181*Inputs!$D$50,Data!AF181*Inputs!$D$51))</f>
        <v>0</v>
      </c>
      <c r="AS181" s="308">
        <f t="shared" si="93"/>
        <v>471575</v>
      </c>
      <c r="AT181" s="308">
        <f t="shared" si="107"/>
        <v>471575</v>
      </c>
      <c r="AU181" s="308"/>
      <c r="AV181" s="308">
        <f>ABS(IF($AQ181="Yes",$AF181*Inputs!E$50,Data!$AF181*Inputs!E$51))</f>
        <v>0</v>
      </c>
      <c r="AW181" s="308">
        <f>ABS(IF($AQ181="Yes",$AF181*Inputs!F$50,Data!$AF181*Inputs!F$51))</f>
        <v>4092.1958</v>
      </c>
      <c r="AX181" s="308">
        <f>ABS(IF($AQ181="Yes",$AF181*Inputs!G$50,Data!$AF181*Inputs!G$51))</f>
        <v>4092.1958</v>
      </c>
      <c r="AY181" s="308">
        <f>ABS(IF($AQ181="Yes",$AF181*Inputs!H$50,Data!$AF181*Inputs!H$51))</f>
        <v>4092.1958</v>
      </c>
      <c r="AZ181" s="308">
        <f>ABS(IF($AQ181="Yes",$AF181*Inputs!I$50,Data!$AF181*Inputs!I$51))</f>
        <v>4092.1958</v>
      </c>
      <c r="BA181" s="308">
        <f>ABS(IF($AQ181="Yes",$AF181*Inputs!J$50,Data!$AF181*Inputs!J$51))</f>
        <v>4092.1958</v>
      </c>
      <c r="BB181" s="308">
        <f>ABS(IF($AQ181="Yes",$AF181*Inputs!K$50,Data!$AF181*Inputs!K$51))</f>
        <v>4092.1958</v>
      </c>
      <c r="BC181" s="308">
        <f>ABS(IF($AQ181="Yes",$AF181*Inputs!L$50,Data!$AF181*Inputs!L$51))</f>
        <v>4092.1958</v>
      </c>
      <c r="BE181" s="308">
        <f t="shared" si="94"/>
        <v>471575</v>
      </c>
      <c r="BF181" s="308">
        <f t="shared" si="95"/>
        <v>467482.80420000001</v>
      </c>
      <c r="BG181" s="308">
        <f t="shared" si="96"/>
        <v>463390.60840000003</v>
      </c>
      <c r="BH181" s="308">
        <f t="shared" si="97"/>
        <v>459298.41260000004</v>
      </c>
      <c r="BI181" s="308">
        <f t="shared" si="98"/>
        <v>455206.21680000005</v>
      </c>
      <c r="BJ181" s="308">
        <f t="shared" si="99"/>
        <v>451114.02100000007</v>
      </c>
      <c r="BK181" s="308">
        <f t="shared" si="100"/>
        <v>447021.82520000008</v>
      </c>
      <c r="BL181" s="308">
        <f t="shared" si="101"/>
        <v>607059</v>
      </c>
      <c r="BN181" s="308">
        <f t="shared" si="108"/>
        <v>471575</v>
      </c>
      <c r="BO181" s="308">
        <f t="shared" si="109"/>
        <v>467482.80420000001</v>
      </c>
      <c r="BP181" s="308">
        <f t="shared" si="110"/>
        <v>463390.60840000003</v>
      </c>
      <c r="BQ181" s="308">
        <f t="shared" si="111"/>
        <v>459298.41260000004</v>
      </c>
      <c r="BR181" s="308">
        <f t="shared" si="112"/>
        <v>455206.21680000005</v>
      </c>
      <c r="BS181" s="308">
        <f t="shared" si="113"/>
        <v>451114.02100000007</v>
      </c>
      <c r="BT181" s="308">
        <f t="shared" si="114"/>
        <v>447021.82520000008</v>
      </c>
      <c r="BU181" s="308">
        <f t="shared" si="102"/>
        <v>607059</v>
      </c>
    </row>
    <row r="182" spans="1:73" ht="15" x14ac:dyDescent="0.2">
      <c r="A182" s="62" t="s">
        <v>180</v>
      </c>
      <c r="B182" s="55" t="s">
        <v>4</v>
      </c>
      <c r="C182" s="55"/>
      <c r="D182" s="55"/>
      <c r="E182" s="55"/>
      <c r="F182" s="55"/>
      <c r="G182" s="48">
        <v>4</v>
      </c>
      <c r="H182" s="55">
        <v>168</v>
      </c>
      <c r="I182" s="55">
        <f>INDEX('FY 22 OFA Shell'!$K$27:$K$195,MATCH(Data!H182,'FY 22 OFA Shell'!$H$27:$H$195,0))</f>
        <v>993.12</v>
      </c>
      <c r="J182" s="55">
        <f>INDEX('FY 22 OFA Shell'!$N$27:$N$195,MATCH(Data!H182,'FY 22 OFA Shell'!$H$27:$H$195,0))</f>
        <v>158</v>
      </c>
      <c r="K182" s="64">
        <f>INDEX('FY 22 OFA Shell'!$S$27:$S$195,MATCH(Data!H182,'FY 22 OFA Shell'!$H$27:$H$195,0))</f>
        <v>13</v>
      </c>
      <c r="L182" s="150">
        <f t="shared" si="90"/>
        <v>0.15909457064604479</v>
      </c>
      <c r="M182" s="149">
        <f>MAX(((L182-Inputs!$E$23)*Data!I182)*Inputs!$E$24,0)</f>
        <v>0</v>
      </c>
      <c r="N182" s="151">
        <f>INDEX('FY 22 OFA Shell'!$V$27:$V$195,MATCH(Data!H182,'FY 22 OFA Shell'!$H$27:$H$195,0))</f>
        <v>1536756728</v>
      </c>
      <c r="O182" s="63">
        <f>INDEX('FY 22 OFA Shell'!$W$27:$W$195,MATCH(Data!H182,'FY 22 OFA Shell'!$H$27:$H$195,0))</f>
        <v>9617</v>
      </c>
      <c r="P182" s="65">
        <f>INDEX('FY 22 OFA Shell'!$Z$27:$Z$195,MATCH(Data!H182,'FY 22 OFA Shell'!$H$27:$H$195,0))</f>
        <v>78025</v>
      </c>
      <c r="Q182" s="63">
        <f>INDEX('FY 22 OFA Shell'!$AF$27:$AF$195,MATCH(Data!H182,'FY 22 OFA Shell'!$H$27:$H$195,0))</f>
        <v>993</v>
      </c>
      <c r="R182" s="66">
        <f>INDEX('FY 22 OFA Shell'!$AG$27:$AG$195,MATCH(Data!H182,'FY 22 OFA Shell'!$H$27:$H$195,0))</f>
        <v>13</v>
      </c>
      <c r="S182" s="66">
        <f>INDEX('FY 22 OFA Shell'!$AJ$27:$AJ$195,MATCH(Data!H182,'FY 22 OFA Shell'!$H$27:$H$195,0))</f>
        <v>0</v>
      </c>
      <c r="T182" s="66">
        <f>INDEX('FY 22 OFA Shell'!$AK$27:$AK$195,MATCH(Data!H182,'FY 22 OFA Shell'!$H$27:$H$195,0))</f>
        <v>0</v>
      </c>
      <c r="U182" s="135">
        <v>1276811</v>
      </c>
      <c r="V182" s="67">
        <f>ROUND(J182*Inputs!$E$22, 2)</f>
        <v>47.4</v>
      </c>
      <c r="W182" s="68">
        <f>I182+V182+K182*Inputs!$E$28+Data!M182</f>
        <v>1043.77</v>
      </c>
      <c r="X182" s="69">
        <f t="shared" si="103"/>
        <v>159795.85</v>
      </c>
      <c r="Y182" s="70">
        <f>ROUND(X182/Inputs!$E$32, 6)</f>
        <v>0.82999299999999998</v>
      </c>
      <c r="Z182" s="70">
        <f>ROUND(P182/Inputs!$E$33, 6)</f>
        <v>0.64754100000000003</v>
      </c>
      <c r="AA182" s="59">
        <f>ROUND(1-((Y182*Inputs!$E$29)+Z182*Inputs!$E$27), 6)</f>
        <v>0.224743</v>
      </c>
      <c r="AB182" s="59">
        <v>210.79962088787397</v>
      </c>
      <c r="AC182" s="73">
        <f>INDEX('FY 22 OFA Shell'!$G$27:$G$195,MATCH(Data!H182,'FY 22 OFA Shell'!$H$27:$H$195,0))</f>
        <v>113</v>
      </c>
      <c r="AD182" s="73">
        <f t="shared" si="91"/>
        <v>5</v>
      </c>
      <c r="AE182" s="65">
        <v>1276811</v>
      </c>
      <c r="AF182" s="65">
        <f t="shared" si="104"/>
        <v>2717624</v>
      </c>
      <c r="AG182" s="65">
        <f t="shared" si="105"/>
        <v>2717624</v>
      </c>
      <c r="AH182" s="52">
        <v>1095009</v>
      </c>
      <c r="AI182" s="107">
        <v>1312789.976</v>
      </c>
      <c r="AJ182"/>
      <c r="AK182">
        <v>0</v>
      </c>
      <c r="AL182" s="165">
        <f>INDEX('FY 22 OFA Shell'!$AU$27:$AU$195,MATCH(Data!H182,'FY 22 OFA Shell'!$H$27:$H$195,0))</f>
        <v>1539859</v>
      </c>
      <c r="AM182" s="165">
        <f>Outputs!H187</f>
        <v>3994435</v>
      </c>
      <c r="AN182" s="165">
        <f>Outputs!G187+Outputs!D187+Outputs!F187</f>
        <v>3994435</v>
      </c>
      <c r="AO182" s="165">
        <v>1428703</v>
      </c>
      <c r="AP182" s="165">
        <f t="shared" si="92"/>
        <v>1312789.976</v>
      </c>
      <c r="AQ182" s="52" t="str">
        <f t="shared" si="106"/>
        <v>Yes</v>
      </c>
      <c r="AR182" s="308">
        <f>ABS(IF(AQ182="Yes",AF182*Inputs!$D$50,Data!AF182*Inputs!$D$51))</f>
        <v>289698.71840000001</v>
      </c>
      <c r="AS182" s="308">
        <f t="shared" si="93"/>
        <v>1829557.7184000001</v>
      </c>
      <c r="AT182" s="308">
        <f t="shared" si="107"/>
        <v>1829557.7184000001</v>
      </c>
      <c r="AU182" s="308"/>
      <c r="AV182" s="308">
        <f>ABS(IF($AQ182="Yes",$AF182*Inputs!E$50,Data!$AF182*Inputs!E$51))</f>
        <v>289698.71840000001</v>
      </c>
      <c r="AW182" s="308">
        <f>ABS(IF($AQ182="Yes",$AF182*Inputs!F$50,Data!$AF182*Inputs!F$51))</f>
        <v>289698.71840000001</v>
      </c>
      <c r="AX182" s="308">
        <f>ABS(IF($AQ182="Yes",$AF182*Inputs!G$50,Data!$AF182*Inputs!G$51))</f>
        <v>289698.71840000001</v>
      </c>
      <c r="AY182" s="308">
        <f>ABS(IF($AQ182="Yes",$AF182*Inputs!H$50,Data!$AF182*Inputs!H$51))</f>
        <v>289698.71840000001</v>
      </c>
      <c r="AZ182" s="308">
        <f>ABS(IF($AQ182="Yes",$AF182*Inputs!I$50,Data!$AF182*Inputs!I$51))</f>
        <v>289698.71840000001</v>
      </c>
      <c r="BA182" s="308">
        <f>ABS(IF($AQ182="Yes",$AF182*Inputs!J$50,Data!$AF182*Inputs!J$51))</f>
        <v>289698.71840000001</v>
      </c>
      <c r="BB182" s="308">
        <f>ABS(IF($AQ182="Yes",$AF182*Inputs!K$50,Data!$AF182*Inputs!K$51))</f>
        <v>0</v>
      </c>
      <c r="BC182" s="308">
        <f>ABS(IF($AQ182="Yes",$AF182*Inputs!L$50,Data!$AF182*Inputs!L$51))</f>
        <v>0</v>
      </c>
      <c r="BE182" s="308">
        <f t="shared" si="94"/>
        <v>2119256.4368000003</v>
      </c>
      <c r="BF182" s="308">
        <f t="shared" si="95"/>
        <v>2408955.1552000004</v>
      </c>
      <c r="BG182" s="308">
        <f t="shared" si="96"/>
        <v>2698653.8736000005</v>
      </c>
      <c r="BH182" s="308">
        <f t="shared" si="97"/>
        <v>2988352.5920000006</v>
      </c>
      <c r="BI182" s="308">
        <f t="shared" si="98"/>
        <v>3278051.3104000008</v>
      </c>
      <c r="BJ182" s="308">
        <f t="shared" si="99"/>
        <v>3994435</v>
      </c>
      <c r="BK182" s="308">
        <f t="shared" si="100"/>
        <v>3994435</v>
      </c>
      <c r="BL182" s="308">
        <f t="shared" si="101"/>
        <v>3994435</v>
      </c>
      <c r="BN182" s="308">
        <f t="shared" si="108"/>
        <v>2119256.4368000003</v>
      </c>
      <c r="BO182" s="308">
        <f t="shared" si="109"/>
        <v>2408955.1552000004</v>
      </c>
      <c r="BP182" s="308">
        <f t="shared" si="110"/>
        <v>2698653.8736000005</v>
      </c>
      <c r="BQ182" s="308">
        <f t="shared" si="111"/>
        <v>2988352.5920000006</v>
      </c>
      <c r="BR182" s="308">
        <f t="shared" si="112"/>
        <v>3278051.3104000008</v>
      </c>
      <c r="BS182" s="308">
        <f t="shared" si="113"/>
        <v>3994435</v>
      </c>
      <c r="BT182" s="308">
        <f t="shared" si="114"/>
        <v>3994435</v>
      </c>
      <c r="BU182" s="308">
        <f t="shared" si="102"/>
        <v>3994435</v>
      </c>
    </row>
    <row r="183" spans="1:73" ht="15" x14ac:dyDescent="0.2">
      <c r="A183" s="62" t="s">
        <v>181</v>
      </c>
      <c r="B183" s="55" t="s">
        <v>8</v>
      </c>
      <c r="C183" s="55"/>
      <c r="D183" s="55"/>
      <c r="E183" s="55"/>
      <c r="F183" s="55"/>
      <c r="G183" s="48">
        <v>7</v>
      </c>
      <c r="H183" s="55">
        <v>169</v>
      </c>
      <c r="I183" s="55">
        <f>INDEX('FY 22 OFA Shell'!$K$27:$K$195,MATCH(Data!H183,'FY 22 OFA Shell'!$H$27:$H$195,0))</f>
        <v>1267.1400000000001</v>
      </c>
      <c r="J183" s="55">
        <f>INDEX('FY 22 OFA Shell'!$N$27:$N$195,MATCH(Data!H183,'FY 22 OFA Shell'!$H$27:$H$195,0))</f>
        <v>159</v>
      </c>
      <c r="K183" s="64">
        <f>INDEX('FY 22 OFA Shell'!$S$27:$S$195,MATCH(Data!H183,'FY 22 OFA Shell'!$H$27:$H$195,0))</f>
        <v>6</v>
      </c>
      <c r="L183" s="150">
        <f t="shared" si="90"/>
        <v>0.12547942610919077</v>
      </c>
      <c r="M183" s="149">
        <f>MAX(((L183-Inputs!$E$23)*Data!I183)*Inputs!$E$24,0)</f>
        <v>0</v>
      </c>
      <c r="N183" s="151">
        <f>INDEX('FY 22 OFA Shell'!$V$27:$V$195,MATCH(Data!H183,'FY 22 OFA Shell'!$H$27:$H$195,0))</f>
        <v>1114231023.6700001</v>
      </c>
      <c r="O183" s="63">
        <f>INDEX('FY 22 OFA Shell'!$W$27:$W$195,MATCH(Data!H183,'FY 22 OFA Shell'!$H$27:$H$195,0))</f>
        <v>7813</v>
      </c>
      <c r="P183" s="65">
        <f>INDEX('FY 22 OFA Shell'!$Z$27:$Z$195,MATCH(Data!H183,'FY 22 OFA Shell'!$H$27:$H$195,0))</f>
        <v>89531</v>
      </c>
      <c r="Q183" s="63">
        <f>INDEX('FY 22 OFA Shell'!$AF$27:$AF$195,MATCH(Data!H183,'FY 22 OFA Shell'!$H$27:$H$195,0))</f>
        <v>0</v>
      </c>
      <c r="R183" s="66">
        <f>INDEX('FY 22 OFA Shell'!$AG$27:$AG$195,MATCH(Data!H183,'FY 22 OFA Shell'!$H$27:$H$195,0))</f>
        <v>0</v>
      </c>
      <c r="S183" s="66">
        <f>INDEX('FY 22 OFA Shell'!$AJ$27:$AJ$195,MATCH(Data!H183,'FY 22 OFA Shell'!$H$27:$H$195,0))</f>
        <v>449</v>
      </c>
      <c r="T183" s="66">
        <f>INDEX('FY 22 OFA Shell'!$AK$27:$AK$195,MATCH(Data!H183,'FY 22 OFA Shell'!$H$27:$H$195,0))</f>
        <v>4</v>
      </c>
      <c r="U183" s="135">
        <v>5356542</v>
      </c>
      <c r="V183" s="67">
        <f>ROUND(J183*Inputs!$E$22, 2)</f>
        <v>47.7</v>
      </c>
      <c r="W183" s="68">
        <f>I183+V183+K183*Inputs!$E$28+Data!M183</f>
        <v>1316.3400000000001</v>
      </c>
      <c r="X183" s="69">
        <f t="shared" si="103"/>
        <v>142612.44</v>
      </c>
      <c r="Y183" s="70">
        <f>ROUND(X183/Inputs!$E$32, 6)</f>
        <v>0.74074099999999998</v>
      </c>
      <c r="Z183" s="70">
        <f>ROUND(P183/Inputs!$E$33, 6)</f>
        <v>0.743031</v>
      </c>
      <c r="AA183" s="59">
        <f>ROUND(1-((Y183*Inputs!$E$29)+Z183*Inputs!$E$27), 6)</f>
        <v>0.25857200000000002</v>
      </c>
      <c r="AB183" s="59">
        <v>219.7269293629617</v>
      </c>
      <c r="AC183" s="73">
        <f>INDEX('FY 22 OFA Shell'!$G$27:$G$195,MATCH(Data!H183,'FY 22 OFA Shell'!$H$27:$H$195,0))</f>
        <v>75</v>
      </c>
      <c r="AD183" s="73">
        <f t="shared" si="91"/>
        <v>5</v>
      </c>
      <c r="AE183" s="65">
        <v>5356542</v>
      </c>
      <c r="AF183" s="65">
        <f t="shared" si="104"/>
        <v>-1254193</v>
      </c>
      <c r="AG183" s="65">
        <f t="shared" si="105"/>
        <v>-1254193</v>
      </c>
      <c r="AH183" s="52">
        <v>4657232</v>
      </c>
      <c r="AI183" s="107">
        <v>5151841.75</v>
      </c>
      <c r="AJ183"/>
      <c r="AK183">
        <v>0</v>
      </c>
      <c r="AL183" s="165">
        <f>INDEX('FY 22 OFA Shell'!$AU$27:$AU$195,MATCH(Data!H183,'FY 22 OFA Shell'!$H$27:$H$195,0))</f>
        <v>4990532</v>
      </c>
      <c r="AM183" s="165">
        <f>Outputs!H188</f>
        <v>4102349</v>
      </c>
      <c r="AN183" s="165">
        <f>Outputs!G188+Outputs!D188+Outputs!F188</f>
        <v>4102349</v>
      </c>
      <c r="AO183" s="165">
        <v>5076056</v>
      </c>
      <c r="AP183" s="165">
        <f t="shared" si="92"/>
        <v>5151841.75</v>
      </c>
      <c r="AQ183" s="52" t="str">
        <f t="shared" si="106"/>
        <v>No</v>
      </c>
      <c r="AR183" s="308">
        <f>ABS(IF(AQ183="Yes",AF183*Inputs!$D$50,Data!AF183*Inputs!$D$51))</f>
        <v>0</v>
      </c>
      <c r="AS183" s="308">
        <f t="shared" si="93"/>
        <v>4990532</v>
      </c>
      <c r="AT183" s="308">
        <f t="shared" si="107"/>
        <v>4990532</v>
      </c>
      <c r="AU183" s="308"/>
      <c r="AV183" s="308">
        <f>ABS(IF($AQ183="Yes",$AF183*Inputs!E$50,Data!$AF183*Inputs!E$51))</f>
        <v>0</v>
      </c>
      <c r="AW183" s="308">
        <f>ABS(IF($AQ183="Yes",$AF183*Inputs!F$50,Data!$AF183*Inputs!F$51))</f>
        <v>104474.2769</v>
      </c>
      <c r="AX183" s="308">
        <f>ABS(IF($AQ183="Yes",$AF183*Inputs!G$50,Data!$AF183*Inputs!G$51))</f>
        <v>104474.2769</v>
      </c>
      <c r="AY183" s="308">
        <f>ABS(IF($AQ183="Yes",$AF183*Inputs!H$50,Data!$AF183*Inputs!H$51))</f>
        <v>104474.2769</v>
      </c>
      <c r="AZ183" s="308">
        <f>ABS(IF($AQ183="Yes",$AF183*Inputs!I$50,Data!$AF183*Inputs!I$51))</f>
        <v>104474.2769</v>
      </c>
      <c r="BA183" s="308">
        <f>ABS(IF($AQ183="Yes",$AF183*Inputs!J$50,Data!$AF183*Inputs!J$51))</f>
        <v>104474.2769</v>
      </c>
      <c r="BB183" s="308">
        <f>ABS(IF($AQ183="Yes",$AF183*Inputs!K$50,Data!$AF183*Inputs!K$51))</f>
        <v>104474.2769</v>
      </c>
      <c r="BC183" s="308">
        <f>ABS(IF($AQ183="Yes",$AF183*Inputs!L$50,Data!$AF183*Inputs!L$51))</f>
        <v>104474.2769</v>
      </c>
      <c r="BE183" s="308">
        <f t="shared" si="94"/>
        <v>4990532</v>
      </c>
      <c r="BF183" s="308">
        <f t="shared" si="95"/>
        <v>4886057.7231000001</v>
      </c>
      <c r="BG183" s="308">
        <f t="shared" si="96"/>
        <v>4781583.4462000001</v>
      </c>
      <c r="BH183" s="308">
        <f t="shared" si="97"/>
        <v>4677109.1693000002</v>
      </c>
      <c r="BI183" s="308">
        <f t="shared" si="98"/>
        <v>4572634.8924000002</v>
      </c>
      <c r="BJ183" s="308">
        <f t="shared" si="99"/>
        <v>4468160.6155000003</v>
      </c>
      <c r="BK183" s="308">
        <f t="shared" si="100"/>
        <v>4363686.3386000004</v>
      </c>
      <c r="BL183" s="308">
        <f t="shared" si="101"/>
        <v>4102349</v>
      </c>
      <c r="BN183" s="308">
        <f t="shared" si="108"/>
        <v>4990532</v>
      </c>
      <c r="BO183" s="308">
        <f t="shared" si="109"/>
        <v>4886057.7231000001</v>
      </c>
      <c r="BP183" s="308">
        <f t="shared" si="110"/>
        <v>4781583.4462000001</v>
      </c>
      <c r="BQ183" s="308">
        <f t="shared" si="111"/>
        <v>4677109.1693000002</v>
      </c>
      <c r="BR183" s="308">
        <f t="shared" si="112"/>
        <v>4572634.8924000002</v>
      </c>
      <c r="BS183" s="308">
        <f t="shared" si="113"/>
        <v>4468160.6155000003</v>
      </c>
      <c r="BT183" s="308">
        <f t="shared" si="114"/>
        <v>4363686.3386000004</v>
      </c>
      <c r="BU183" s="308">
        <f t="shared" si="102"/>
        <v>4102349</v>
      </c>
    </row>
  </sheetData>
  <sheetProtection selectLockedCells="1" selectUnlockedCells="1"/>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BO363"/>
  <sheetViews>
    <sheetView topLeftCell="O4" zoomScale="80" zoomScaleNormal="80" workbookViewId="0">
      <selection activeCell="X27" sqref="X27"/>
    </sheetView>
  </sheetViews>
  <sheetFormatPr baseColWidth="10" defaultColWidth="8.83203125" defaultRowHeight="14" x14ac:dyDescent="0.15"/>
  <cols>
    <col min="1" max="8" width="9.1640625" style="7" customWidth="1"/>
    <col min="9" max="9" width="8.83203125" style="7"/>
    <col min="10" max="11" width="19.33203125" style="7" customWidth="1"/>
    <col min="12" max="14" width="16.83203125" style="7" customWidth="1"/>
    <col min="15" max="22" width="15.83203125" style="7" customWidth="1"/>
    <col min="23" max="23" width="16.83203125" style="7" customWidth="1"/>
    <col min="24" max="24" width="25.83203125" style="7" customWidth="1"/>
    <col min="25" max="25" width="17.1640625" style="7" customWidth="1"/>
    <col min="26" max="26" width="26.6640625" style="7" customWidth="1"/>
    <col min="27" max="27" width="22.33203125" style="7" customWidth="1"/>
    <col min="28" max="28" width="18.33203125" style="7" customWidth="1"/>
    <col min="29" max="29" width="21.6640625" style="7" customWidth="1"/>
    <col min="30" max="30" width="18" style="7" customWidth="1"/>
    <col min="31" max="33" width="20.33203125" style="7" customWidth="1"/>
    <col min="34" max="34" width="15.33203125" style="7" customWidth="1"/>
    <col min="35" max="35" width="16.33203125" style="7" customWidth="1"/>
    <col min="36" max="36" width="15" style="7" customWidth="1"/>
    <col min="37" max="37" width="19.6640625" style="7" customWidth="1"/>
    <col min="38" max="38" width="23.1640625" style="7" customWidth="1"/>
    <col min="39" max="48" width="17.83203125" style="7" customWidth="1"/>
    <col min="49" max="55" width="17.33203125" style="7" customWidth="1"/>
    <col min="56" max="56" width="17.1640625" style="8" customWidth="1"/>
    <col min="57" max="57" width="17.33203125" style="8" bestFit="1" customWidth="1"/>
    <col min="58" max="59" width="17.33203125" style="8" customWidth="1"/>
    <col min="60" max="63" width="17.33203125" style="8" bestFit="1" customWidth="1"/>
    <col min="64" max="67" width="15" style="8" bestFit="1" customWidth="1"/>
    <col min="68" max="16384" width="8.83203125" style="8"/>
  </cols>
  <sheetData>
    <row r="1" spans="1:55" x14ac:dyDescent="0.15">
      <c r="A1" s="8"/>
      <c r="B1" s="249"/>
    </row>
    <row r="2" spans="1:55" x14ac:dyDescent="0.15">
      <c r="A2" s="8"/>
      <c r="B2" s="8"/>
      <c r="C2" s="249"/>
      <c r="D2" s="249"/>
      <c r="E2" s="249"/>
      <c r="F2" s="249"/>
      <c r="G2" s="10" t="s">
        <v>368</v>
      </c>
      <c r="H2" s="250"/>
      <c r="I2" s="251" t="s">
        <v>369</v>
      </c>
      <c r="L2" s="8"/>
      <c r="M2" s="252">
        <v>0.3</v>
      </c>
      <c r="N2" s="8"/>
      <c r="O2" s="252"/>
      <c r="P2" s="252"/>
      <c r="Q2" s="252"/>
      <c r="R2" s="252"/>
      <c r="S2" s="252"/>
      <c r="T2" s="252"/>
      <c r="U2" s="252"/>
      <c r="V2" s="252">
        <v>0.3</v>
      </c>
      <c r="W2" s="253"/>
      <c r="X2" s="10"/>
    </row>
    <row r="3" spans="1:55" x14ac:dyDescent="0.15">
      <c r="A3" s="8"/>
      <c r="B3" s="8"/>
      <c r="C3" s="249"/>
      <c r="D3" s="249"/>
      <c r="E3" s="249"/>
      <c r="F3" s="249"/>
      <c r="G3" s="10" t="s">
        <v>370</v>
      </c>
      <c r="H3" s="250"/>
      <c r="I3" s="251" t="s">
        <v>371</v>
      </c>
      <c r="M3" s="254">
        <v>1.35</v>
      </c>
      <c r="O3" s="254"/>
      <c r="P3" s="254"/>
      <c r="Q3" s="254"/>
      <c r="R3" s="254"/>
      <c r="S3" s="254"/>
      <c r="T3" s="254"/>
      <c r="U3" s="254"/>
      <c r="V3" s="254">
        <v>1.35</v>
      </c>
      <c r="W3" s="253"/>
      <c r="X3" s="10"/>
    </row>
    <row r="4" spans="1:55" x14ac:dyDescent="0.15">
      <c r="A4" s="8"/>
      <c r="B4" s="8"/>
      <c r="C4" s="249"/>
      <c r="D4" s="249"/>
      <c r="E4" s="249"/>
      <c r="F4" s="249"/>
      <c r="G4" s="10" t="s">
        <v>372</v>
      </c>
      <c r="H4" s="250"/>
      <c r="I4" s="251" t="s">
        <v>373</v>
      </c>
      <c r="L4" s="8"/>
      <c r="M4" s="252">
        <v>0.7</v>
      </c>
      <c r="N4" s="8"/>
      <c r="O4" s="252"/>
      <c r="P4" s="252"/>
      <c r="Q4" s="252"/>
      <c r="R4" s="252"/>
      <c r="S4" s="252"/>
      <c r="T4" s="252"/>
      <c r="U4" s="252"/>
      <c r="V4" s="252">
        <v>0.7</v>
      </c>
      <c r="W4" s="253"/>
      <c r="X4" s="10"/>
    </row>
    <row r="5" spans="1:55" x14ac:dyDescent="0.15">
      <c r="G5" s="10" t="s">
        <v>374</v>
      </c>
      <c r="H5" s="250"/>
      <c r="I5" s="8" t="s">
        <v>375</v>
      </c>
      <c r="J5" s="8"/>
      <c r="K5" s="8"/>
      <c r="L5" s="8"/>
      <c r="M5" s="252">
        <v>0.3</v>
      </c>
      <c r="N5" s="8"/>
      <c r="O5" s="8"/>
      <c r="P5" s="8"/>
      <c r="Q5" s="8"/>
      <c r="R5" s="8"/>
      <c r="S5" s="8"/>
      <c r="T5" s="8"/>
      <c r="U5" s="8"/>
      <c r="V5" s="252">
        <v>0.3</v>
      </c>
      <c r="W5" s="255"/>
      <c r="Y5" s="10"/>
      <c r="AB5" s="10"/>
      <c r="AC5" s="10"/>
      <c r="AD5" s="10"/>
      <c r="AE5" s="10"/>
      <c r="AF5" s="10"/>
      <c r="AG5" s="10"/>
    </row>
    <row r="6" spans="1:55" x14ac:dyDescent="0.15">
      <c r="G6" s="10" t="s">
        <v>376</v>
      </c>
      <c r="H6" s="250"/>
      <c r="I6" s="251" t="s">
        <v>377</v>
      </c>
      <c r="M6" s="252">
        <v>0.01</v>
      </c>
      <c r="O6" s="252"/>
      <c r="P6" s="252"/>
      <c r="Q6" s="252"/>
      <c r="R6" s="252"/>
      <c r="S6" s="252"/>
      <c r="T6" s="252"/>
      <c r="U6" s="252"/>
      <c r="V6" s="252">
        <v>0.01</v>
      </c>
      <c r="W6" s="252"/>
      <c r="Y6" s="10"/>
      <c r="AB6" s="10"/>
      <c r="AC6" s="10"/>
      <c r="AD6" s="10"/>
      <c r="AE6" s="10"/>
      <c r="AF6" s="10"/>
      <c r="AG6" s="10"/>
    </row>
    <row r="7" spans="1:55" x14ac:dyDescent="0.15">
      <c r="G7" s="10" t="s">
        <v>378</v>
      </c>
      <c r="H7" s="250"/>
      <c r="I7" s="251" t="s">
        <v>379</v>
      </c>
      <c r="M7" s="252">
        <v>0.1</v>
      </c>
      <c r="O7" s="252"/>
      <c r="P7" s="252"/>
      <c r="Q7" s="252"/>
      <c r="R7" s="252"/>
      <c r="S7" s="252"/>
      <c r="T7" s="252"/>
      <c r="U7" s="252"/>
      <c r="V7" s="252">
        <v>0.1</v>
      </c>
      <c r="W7" s="252"/>
      <c r="Y7" s="10"/>
      <c r="AB7" s="10"/>
      <c r="AC7" s="10"/>
      <c r="AD7" s="10"/>
      <c r="AE7" s="10"/>
      <c r="AF7" s="10"/>
      <c r="AG7" s="10"/>
    </row>
    <row r="8" spans="1:55" x14ac:dyDescent="0.15">
      <c r="G8" s="10" t="s">
        <v>380</v>
      </c>
      <c r="H8" s="250"/>
      <c r="I8" s="251" t="s">
        <v>381</v>
      </c>
      <c r="L8" s="8"/>
      <c r="M8" s="256">
        <v>11525</v>
      </c>
      <c r="N8" s="8"/>
      <c r="O8" s="257"/>
      <c r="P8" s="256"/>
      <c r="Q8" s="256"/>
      <c r="R8" s="256"/>
      <c r="S8" s="256"/>
      <c r="T8" s="256"/>
      <c r="U8" s="256"/>
      <c r="V8" s="256">
        <v>11525</v>
      </c>
      <c r="Y8" s="10"/>
      <c r="AB8" s="10"/>
      <c r="AC8" s="10"/>
      <c r="AD8" s="10"/>
      <c r="AE8" s="10"/>
      <c r="AF8" s="10"/>
      <c r="AG8" s="10"/>
    </row>
    <row r="9" spans="1:55" x14ac:dyDescent="0.15">
      <c r="G9" s="10" t="s">
        <v>382</v>
      </c>
      <c r="H9" s="250"/>
      <c r="I9" s="7" t="s">
        <v>383</v>
      </c>
      <c r="M9" s="252">
        <v>0.1066</v>
      </c>
      <c r="V9" s="252"/>
      <c r="W9" s="252"/>
      <c r="X9" s="258"/>
      <c r="Y9" s="10"/>
      <c r="AB9" s="10"/>
      <c r="AC9" s="10"/>
      <c r="AD9" s="10"/>
      <c r="AE9" s="10"/>
      <c r="AF9" s="10"/>
      <c r="AG9" s="10"/>
    </row>
    <row r="10" spans="1:55" x14ac:dyDescent="0.15">
      <c r="G10" s="259" t="s">
        <v>384</v>
      </c>
      <c r="H10" s="260"/>
      <c r="I10" s="7" t="s">
        <v>385</v>
      </c>
      <c r="J10" s="8"/>
      <c r="K10" s="8"/>
      <c r="L10" s="8"/>
      <c r="M10" s="261">
        <v>8.3299999999999999E-2</v>
      </c>
      <c r="N10" s="8"/>
      <c r="O10" s="8"/>
      <c r="P10" s="8"/>
      <c r="Q10" s="8"/>
      <c r="R10" s="8"/>
      <c r="S10" s="8"/>
      <c r="T10" s="8"/>
      <c r="U10" s="8"/>
      <c r="V10" s="252"/>
      <c r="W10" s="252"/>
      <c r="X10" s="258"/>
      <c r="Y10" s="10"/>
      <c r="AB10" s="10"/>
      <c r="AC10" s="10"/>
      <c r="AD10" s="10"/>
      <c r="AE10" s="10"/>
      <c r="AF10" s="10"/>
      <c r="AG10" s="10"/>
      <c r="AR10" s="8"/>
    </row>
    <row r="11" spans="1:55" x14ac:dyDescent="0.15">
      <c r="G11" s="260"/>
      <c r="H11" s="260"/>
      <c r="J11" s="8"/>
      <c r="K11" s="8"/>
      <c r="L11" s="8"/>
      <c r="M11" s="8"/>
      <c r="N11" s="8"/>
      <c r="O11" s="8"/>
      <c r="P11" s="8"/>
      <c r="Q11" s="8"/>
      <c r="R11" s="8"/>
      <c r="S11" s="8"/>
      <c r="T11" s="8"/>
      <c r="U11" s="8"/>
      <c r="V11" s="252"/>
      <c r="W11" s="252"/>
      <c r="X11" s="258"/>
      <c r="Y11" s="10"/>
      <c r="AB11" s="10"/>
      <c r="AC11" s="10"/>
      <c r="AD11" s="10"/>
      <c r="AE11" s="10"/>
      <c r="AF11" s="10"/>
      <c r="AG11" s="10"/>
      <c r="AR11" s="8"/>
      <c r="AZ11" s="9"/>
    </row>
    <row r="12" spans="1:55" hidden="1" x14ac:dyDescent="0.15">
      <c r="G12" s="250" t="s">
        <v>386</v>
      </c>
      <c r="H12" s="250"/>
      <c r="I12" s="7" t="s">
        <v>387</v>
      </c>
      <c r="V12" s="252">
        <v>1.7999999999999999E-2</v>
      </c>
      <c r="Y12" s="10"/>
      <c r="AB12" s="10"/>
      <c r="AC12" s="10"/>
      <c r="AD12" s="10"/>
      <c r="AE12" s="10"/>
      <c r="AF12" s="10"/>
      <c r="AG12" s="10"/>
    </row>
    <row r="13" spans="1:55" hidden="1" x14ac:dyDescent="0.15">
      <c r="G13" s="260" t="s">
        <v>388</v>
      </c>
      <c r="H13" s="260"/>
      <c r="I13" s="7" t="s">
        <v>389</v>
      </c>
      <c r="J13" s="8"/>
      <c r="K13" s="8"/>
      <c r="L13" s="8"/>
      <c r="M13" s="8"/>
      <c r="N13" s="8"/>
      <c r="O13" s="8"/>
      <c r="P13" s="8"/>
      <c r="Q13" s="8"/>
      <c r="R13" s="8"/>
      <c r="S13" s="8"/>
      <c r="T13" s="8"/>
      <c r="U13" s="8"/>
      <c r="V13" s="252">
        <v>0.14399999999999999</v>
      </c>
      <c r="Y13" s="10"/>
      <c r="AB13" s="10"/>
      <c r="AC13" s="10"/>
      <c r="AD13" s="10"/>
      <c r="AE13" s="10"/>
      <c r="AF13" s="10"/>
      <c r="AG13" s="10"/>
    </row>
    <row r="14" spans="1:55" hidden="1" x14ac:dyDescent="0.15">
      <c r="G14" s="260" t="s">
        <v>390</v>
      </c>
      <c r="H14" s="260"/>
      <c r="I14" s="7" t="s">
        <v>391</v>
      </c>
      <c r="J14" s="8"/>
      <c r="K14" s="8"/>
      <c r="L14" s="8"/>
      <c r="M14" s="8"/>
      <c r="N14" s="8"/>
      <c r="O14" s="8"/>
      <c r="P14" s="8"/>
      <c r="Q14" s="8"/>
      <c r="R14" s="8"/>
      <c r="S14" s="8"/>
      <c r="T14" s="8"/>
      <c r="U14" s="8"/>
      <c r="V14" s="252">
        <v>0.216</v>
      </c>
      <c r="Y14" s="10"/>
      <c r="AB14" s="10"/>
      <c r="AC14" s="10"/>
      <c r="AD14" s="10"/>
      <c r="AE14" s="10"/>
      <c r="AF14" s="10"/>
      <c r="AG14" s="10"/>
    </row>
    <row r="15" spans="1:55" x14ac:dyDescent="0.15">
      <c r="G15" s="260"/>
      <c r="H15" s="260"/>
      <c r="J15" s="8"/>
      <c r="K15" s="8"/>
      <c r="L15" s="8"/>
      <c r="M15" s="8"/>
      <c r="N15" s="8"/>
      <c r="O15" s="8"/>
      <c r="P15" s="8"/>
      <c r="Q15" s="8"/>
      <c r="R15" s="8"/>
      <c r="S15" s="8"/>
      <c r="T15" s="8"/>
      <c r="U15" s="8"/>
      <c r="V15" s="252"/>
      <c r="Y15" s="10"/>
      <c r="AB15" s="10"/>
      <c r="AC15" s="10"/>
      <c r="AD15" s="10"/>
      <c r="AE15" s="10"/>
      <c r="AF15" s="10"/>
      <c r="AG15" s="10"/>
    </row>
    <row r="16" spans="1:55" x14ac:dyDescent="0.15">
      <c r="I16" s="262"/>
      <c r="L16" s="263"/>
      <c r="M16" s="263"/>
      <c r="N16" s="263"/>
      <c r="O16" s="254"/>
      <c r="P16" s="254"/>
      <c r="Q16" s="254"/>
      <c r="R16" s="254"/>
      <c r="S16" s="254"/>
      <c r="T16" s="254"/>
      <c r="U16" s="254"/>
      <c r="V16" s="254"/>
      <c r="W16" s="254"/>
      <c r="X16" s="10"/>
      <c r="Y16" s="9"/>
      <c r="Z16" s="10"/>
      <c r="AA16" s="264"/>
      <c r="AB16" s="10"/>
      <c r="AC16" s="10"/>
      <c r="AD16" s="10"/>
      <c r="AE16" s="265"/>
      <c r="AF16" s="265"/>
      <c r="AG16" s="265"/>
      <c r="AH16" s="9"/>
      <c r="AK16" s="9"/>
      <c r="AL16" s="9"/>
      <c r="AM16" s="9"/>
      <c r="AN16" s="9"/>
      <c r="AO16" s="9"/>
      <c r="AP16" s="9"/>
      <c r="AQ16" s="9"/>
      <c r="AR16" s="9"/>
      <c r="AS16" s="9"/>
      <c r="AT16" s="9"/>
      <c r="AU16" s="9"/>
      <c r="AV16" s="9"/>
      <c r="AW16" s="9"/>
      <c r="AX16" s="9"/>
      <c r="AY16" s="9"/>
      <c r="AZ16" s="9"/>
      <c r="BA16" s="9"/>
      <c r="BB16" s="266"/>
      <c r="BC16" s="9"/>
    </row>
    <row r="17" spans="1:67" x14ac:dyDescent="0.15">
      <c r="C17" s="9">
        <f>SUM(C27:C195)</f>
        <v>33</v>
      </c>
      <c r="D17" s="9"/>
      <c r="E17" s="9">
        <f>SUM(E27:E195)</f>
        <v>20</v>
      </c>
      <c r="F17" s="9">
        <f>SUM(F27:F195)</f>
        <v>10</v>
      </c>
      <c r="J17" s="267" t="s">
        <v>392</v>
      </c>
      <c r="K17" s="9"/>
      <c r="L17" s="254">
        <f t="shared" ref="L17:Y17" si="0">SUM(L27:L195)</f>
        <v>501383.04000000015</v>
      </c>
      <c r="M17" s="254">
        <f t="shared" si="0"/>
        <v>0</v>
      </c>
      <c r="N17" s="254">
        <f t="shared" si="0"/>
        <v>0</v>
      </c>
      <c r="O17" s="9">
        <f t="shared" si="0"/>
        <v>211854</v>
      </c>
      <c r="P17" s="9"/>
      <c r="Q17" s="9"/>
      <c r="R17" s="9"/>
      <c r="S17" s="9">
        <f t="shared" si="0"/>
        <v>221.85787500000006</v>
      </c>
      <c r="T17" s="9">
        <f t="shared" si="0"/>
        <v>42212</v>
      </c>
      <c r="U17" s="9"/>
      <c r="V17" s="254">
        <f t="shared" si="0"/>
        <v>63556.200000000012</v>
      </c>
      <c r="W17" s="254">
        <f t="shared" si="0"/>
        <v>571492.89787499991</v>
      </c>
      <c r="X17" s="254">
        <f t="shared" si="0"/>
        <v>550311611843.04004</v>
      </c>
      <c r="Y17" s="9">
        <f t="shared" si="0"/>
        <v>3575967</v>
      </c>
      <c r="Z17" s="264">
        <f>ROUND(X17/Y17,2)</f>
        <v>153891.69</v>
      </c>
      <c r="AA17" s="8"/>
      <c r="AB17" s="9">
        <f>SUM(AB27:AB195)</f>
        <v>15064763</v>
      </c>
      <c r="AC17" s="9"/>
      <c r="AD17" s="268">
        <f>SUM(AD27:AD195)</f>
        <v>21.989735000000007</v>
      </c>
      <c r="AE17" s="268">
        <f>SUM(AE27:AE195)</f>
        <v>41.583909999999982</v>
      </c>
      <c r="AF17" s="268"/>
      <c r="AG17" s="268"/>
      <c r="AH17" s="9">
        <f>SUM(AH27:AH195)</f>
        <v>23451</v>
      </c>
      <c r="AK17" s="9">
        <f t="shared" ref="AK17:AP17" si="1">SUM(AK27:AK195)</f>
        <v>1889721</v>
      </c>
      <c r="AL17" s="9">
        <f t="shared" si="1"/>
        <v>2347801348</v>
      </c>
      <c r="AM17" s="9">
        <f t="shared" si="1"/>
        <v>2349691069</v>
      </c>
      <c r="AN17" s="9">
        <f t="shared" si="1"/>
        <v>2363608645</v>
      </c>
      <c r="AO17" s="9">
        <f t="shared" si="1"/>
        <v>2017587098</v>
      </c>
      <c r="AP17" s="9">
        <f t="shared" si="1"/>
        <v>537691183</v>
      </c>
      <c r="AQ17" s="9"/>
      <c r="AR17" s="9">
        <f>SUM(AR27:AR195)</f>
        <v>2054638032</v>
      </c>
      <c r="AS17" s="9">
        <f>SUM(AS27:AS195)</f>
        <v>54922789.087999992</v>
      </c>
      <c r="AT17" s="9">
        <f>SUM(AT27:AT195)</f>
        <v>2092435406.3284004</v>
      </c>
      <c r="AU17" s="9">
        <f>SUM(AU27:AU195)</f>
        <v>2093587718.0526001</v>
      </c>
      <c r="AV17" s="9"/>
      <c r="AW17" s="298">
        <f t="shared" ref="AW17:BC17" si="2">SUM(AW27:AW195)</f>
        <v>2131385092.3809996</v>
      </c>
      <c r="AX17" s="298">
        <f t="shared" si="2"/>
        <v>2169182466.7093997</v>
      </c>
      <c r="AY17" s="298">
        <f t="shared" si="2"/>
        <v>2206979841.0377989</v>
      </c>
      <c r="AZ17" s="298">
        <f t="shared" si="2"/>
        <v>2244777215.3662009</v>
      </c>
      <c r="BA17" s="298">
        <f t="shared" si="2"/>
        <v>2282574589.6946001</v>
      </c>
      <c r="BB17" s="298">
        <f t="shared" si="2"/>
        <v>2320371964.0230012</v>
      </c>
      <c r="BC17" s="298">
        <f t="shared" si="2"/>
        <v>2349691069</v>
      </c>
      <c r="BD17" s="9"/>
      <c r="BE17" s="298">
        <f>SUM(BE27:BE195)</f>
        <v>2132537404.1051998</v>
      </c>
      <c r="BF17" s="298">
        <f t="shared" ref="BF17:BK17" si="3">SUM(BF27:BF195)</f>
        <v>2171487090.1577997</v>
      </c>
      <c r="BG17" s="298">
        <f t="shared" si="3"/>
        <v>2210436776.2103987</v>
      </c>
      <c r="BH17" s="298">
        <f t="shared" si="3"/>
        <v>2249386462.2630005</v>
      </c>
      <c r="BI17" s="298">
        <f t="shared" si="3"/>
        <v>2288336148.3155999</v>
      </c>
      <c r="BJ17" s="298">
        <f t="shared" si="3"/>
        <v>2327285834.3682013</v>
      </c>
      <c r="BK17" s="298">
        <f t="shared" si="3"/>
        <v>2363608645</v>
      </c>
      <c r="BL17" s="9"/>
      <c r="BM17" s="9"/>
      <c r="BN17" s="9"/>
      <c r="BO17" s="9"/>
    </row>
    <row r="18" spans="1:67" x14ac:dyDescent="0.15">
      <c r="J18" s="9"/>
      <c r="K18" s="9"/>
      <c r="L18" s="10" t="s">
        <v>393</v>
      </c>
      <c r="M18" s="10"/>
      <c r="N18" s="10"/>
      <c r="O18" s="269" t="s">
        <v>394</v>
      </c>
      <c r="P18" s="269"/>
      <c r="Q18" s="269"/>
      <c r="R18" s="269"/>
      <c r="S18" s="269"/>
      <c r="T18" s="269"/>
      <c r="U18" s="269"/>
      <c r="V18" s="270" t="s">
        <v>395</v>
      </c>
      <c r="W18" s="270" t="s">
        <v>396</v>
      </c>
      <c r="X18" s="270" t="s">
        <v>397</v>
      </c>
      <c r="Y18" s="270" t="s">
        <v>398</v>
      </c>
      <c r="Z18" s="270" t="s">
        <v>399</v>
      </c>
      <c r="AA18" s="270" t="s">
        <v>400</v>
      </c>
      <c r="AB18" s="269" t="s">
        <v>401</v>
      </c>
      <c r="AC18" s="269" t="s">
        <v>402</v>
      </c>
      <c r="AD18" s="269" t="s">
        <v>403</v>
      </c>
      <c r="AE18" s="269" t="s">
        <v>404</v>
      </c>
      <c r="AF18" s="269" t="s">
        <v>405</v>
      </c>
      <c r="AG18" s="269" t="s">
        <v>406</v>
      </c>
      <c r="AH18" s="270" t="s">
        <v>405</v>
      </c>
      <c r="AI18" s="270" t="s">
        <v>406</v>
      </c>
      <c r="AJ18" s="270" t="s">
        <v>407</v>
      </c>
      <c r="AK18" s="270" t="s">
        <v>408</v>
      </c>
      <c r="AL18" s="270" t="s">
        <v>409</v>
      </c>
      <c r="AM18" s="270" t="s">
        <v>410</v>
      </c>
      <c r="AN18" s="270"/>
      <c r="AO18" s="270"/>
      <c r="AP18" s="270"/>
      <c r="AQ18" s="270"/>
      <c r="AR18" s="270" t="s">
        <v>411</v>
      </c>
      <c r="AS18" s="270"/>
      <c r="AT18" s="270"/>
      <c r="AU18" s="270"/>
      <c r="AV18" s="270"/>
      <c r="AW18" s="270"/>
      <c r="AX18" s="270"/>
      <c r="AY18" s="270"/>
      <c r="AZ18" s="271"/>
      <c r="BA18" s="272"/>
      <c r="BB18" s="273"/>
      <c r="BC18" s="270"/>
      <c r="BL18" s="274"/>
      <c r="BM18" s="274"/>
      <c r="BN18" s="274"/>
      <c r="BO18" s="274"/>
    </row>
    <row r="19" spans="1:67" x14ac:dyDescent="0.15">
      <c r="J19" s="9"/>
      <c r="K19" s="9"/>
      <c r="W19" s="8"/>
      <c r="Z19" s="275" t="s">
        <v>412</v>
      </c>
      <c r="AA19" s="275" t="s">
        <v>413</v>
      </c>
      <c r="AB19" s="275" t="s">
        <v>412</v>
      </c>
      <c r="AC19" s="275" t="s">
        <v>414</v>
      </c>
      <c r="AD19" s="275"/>
      <c r="AE19" s="276" t="s">
        <v>0</v>
      </c>
      <c r="AF19" s="276"/>
      <c r="AG19" s="276"/>
      <c r="AL19" s="275" t="s">
        <v>415</v>
      </c>
      <c r="AM19" s="8"/>
      <c r="AN19" s="8"/>
      <c r="AO19" s="8"/>
      <c r="AP19" s="8"/>
      <c r="AQ19" s="8"/>
      <c r="AR19" s="8"/>
      <c r="AS19" s="8"/>
      <c r="AT19" s="8"/>
      <c r="AU19" s="8"/>
      <c r="AV19" s="8"/>
      <c r="AW19" s="8"/>
      <c r="AX19" s="17"/>
      <c r="AY19" s="17"/>
      <c r="AZ19" s="17"/>
      <c r="BA19" s="17"/>
      <c r="BB19" s="17"/>
      <c r="BC19" s="8"/>
    </row>
    <row r="20" spans="1:67" x14ac:dyDescent="0.15">
      <c r="J20" s="9"/>
      <c r="K20" s="9"/>
      <c r="O20" s="276" t="s">
        <v>416</v>
      </c>
      <c r="P20" s="276"/>
      <c r="Q20" s="276"/>
      <c r="R20" s="276"/>
      <c r="S20" s="276"/>
      <c r="T20" s="276"/>
      <c r="U20" s="276"/>
      <c r="Z20" s="277">
        <f>MEDIAN(Z27:Z195)</f>
        <v>138296.42000000001</v>
      </c>
      <c r="AA20" s="275" t="s">
        <v>417</v>
      </c>
      <c r="AB20" s="278">
        <f>MEDIAN(AB27:AB195)</f>
        <v>85296</v>
      </c>
      <c r="AC20" s="275" t="s">
        <v>417</v>
      </c>
      <c r="AD20" s="10" t="s">
        <v>418</v>
      </c>
      <c r="AE20" s="10" t="s">
        <v>419</v>
      </c>
      <c r="AF20" s="10"/>
      <c r="AG20" s="10"/>
      <c r="AJ20" s="10" t="s">
        <v>420</v>
      </c>
      <c r="AL20" s="279" t="s">
        <v>421</v>
      </c>
      <c r="AM20" s="10"/>
      <c r="AN20" s="10"/>
      <c r="AO20" s="10"/>
      <c r="AP20" s="10"/>
      <c r="AQ20" s="10"/>
      <c r="AR20" s="276" t="s">
        <v>422</v>
      </c>
      <c r="AS20" s="10"/>
      <c r="AT20" s="10"/>
      <c r="AU20" s="10"/>
      <c r="AV20" s="10"/>
      <c r="AW20" s="10"/>
      <c r="AX20" s="10"/>
      <c r="AY20" s="10"/>
      <c r="AZ20" s="10"/>
      <c r="BA20" s="10"/>
      <c r="BB20" s="10"/>
      <c r="BC20" s="10"/>
    </row>
    <row r="21" spans="1:67" x14ac:dyDescent="0.15">
      <c r="L21" s="10"/>
      <c r="M21" s="10"/>
      <c r="N21" s="10"/>
      <c r="O21" s="280" t="s">
        <v>423</v>
      </c>
      <c r="P21" s="280"/>
      <c r="Q21" s="280"/>
      <c r="R21" s="280"/>
      <c r="S21" s="280"/>
      <c r="T21" s="280"/>
      <c r="U21" s="280"/>
      <c r="V21" s="8"/>
      <c r="X21" s="10" t="s">
        <v>424</v>
      </c>
      <c r="Z21" s="10"/>
      <c r="AA21" s="281">
        <f>ROUND(Z20*$V$3,2)</f>
        <v>186700.17</v>
      </c>
      <c r="AB21" s="10" t="s">
        <v>425</v>
      </c>
      <c r="AC21" s="281">
        <f>ROUND(AB20*$V$3,2)</f>
        <v>115149.6</v>
      </c>
      <c r="AD21" s="10" t="s">
        <v>426</v>
      </c>
      <c r="AE21" s="10" t="s">
        <v>427</v>
      </c>
      <c r="AF21" s="282" t="s">
        <v>428</v>
      </c>
      <c r="AG21" s="282" t="s">
        <v>0</v>
      </c>
      <c r="AH21" s="10" t="s">
        <v>429</v>
      </c>
      <c r="AI21" s="10" t="s">
        <v>430</v>
      </c>
      <c r="AJ21" s="10" t="s">
        <v>431</v>
      </c>
      <c r="AK21" s="10" t="s">
        <v>420</v>
      </c>
      <c r="AL21" s="283">
        <f>V8</f>
        <v>11525</v>
      </c>
      <c r="AP21" s="10" t="s">
        <v>432</v>
      </c>
      <c r="AR21" s="269" t="s">
        <v>433</v>
      </c>
      <c r="AT21" s="270" t="s">
        <v>434</v>
      </c>
      <c r="AU21" s="270"/>
      <c r="AV21" s="270"/>
    </row>
    <row r="22" spans="1:67" x14ac:dyDescent="0.15">
      <c r="L22" s="276" t="s">
        <v>416</v>
      </c>
      <c r="M22" s="276"/>
      <c r="N22" s="276"/>
      <c r="O22" s="280" t="s">
        <v>435</v>
      </c>
      <c r="P22" s="280"/>
      <c r="Q22" s="280" t="s">
        <v>436</v>
      </c>
      <c r="R22" s="280"/>
      <c r="S22" s="280"/>
      <c r="T22" s="280"/>
      <c r="U22" s="280"/>
      <c r="V22" s="259" t="s">
        <v>437</v>
      </c>
      <c r="W22" s="10" t="s">
        <v>438</v>
      </c>
      <c r="X22" s="10" t="s">
        <v>439</v>
      </c>
      <c r="Z22" s="10" t="s">
        <v>440</v>
      </c>
      <c r="AA22" s="275" t="s">
        <v>441</v>
      </c>
      <c r="AB22" s="10" t="s">
        <v>442</v>
      </c>
      <c r="AC22" s="275" t="s">
        <v>441</v>
      </c>
      <c r="AD22" s="10" t="s">
        <v>443</v>
      </c>
      <c r="AE22" s="10" t="s">
        <v>444</v>
      </c>
      <c r="AF22" s="282" t="s">
        <v>445</v>
      </c>
      <c r="AG22" s="282" t="s">
        <v>446</v>
      </c>
      <c r="AH22" s="10" t="s">
        <v>447</v>
      </c>
      <c r="AI22" s="10" t="s">
        <v>420</v>
      </c>
      <c r="AJ22" s="10" t="s">
        <v>448</v>
      </c>
      <c r="AK22" s="10" t="s">
        <v>431</v>
      </c>
      <c r="AL22" s="10" t="s">
        <v>449</v>
      </c>
      <c r="AM22" s="10" t="s">
        <v>450</v>
      </c>
      <c r="AN22" s="284" t="s">
        <v>451</v>
      </c>
      <c r="AO22" s="10"/>
      <c r="AP22" s="276" t="s">
        <v>426</v>
      </c>
      <c r="AQ22" s="10" t="s">
        <v>450</v>
      </c>
      <c r="AR22" s="276" t="s">
        <v>452</v>
      </c>
      <c r="AS22" s="8"/>
      <c r="AT22" s="269" t="s">
        <v>453</v>
      </c>
      <c r="AU22" s="269" t="s">
        <v>454</v>
      </c>
      <c r="AV22" s="269"/>
      <c r="AW22" s="8"/>
      <c r="AX22" s="17"/>
      <c r="AY22" s="17"/>
      <c r="AZ22" s="285"/>
      <c r="BA22" s="17"/>
      <c r="BB22" s="17"/>
      <c r="BC22" s="8"/>
    </row>
    <row r="23" spans="1:67" x14ac:dyDescent="0.15">
      <c r="A23" s="8"/>
      <c r="B23" s="259"/>
      <c r="C23" s="10"/>
      <c r="D23" s="10"/>
      <c r="E23" s="10" t="s">
        <v>455</v>
      </c>
      <c r="F23" s="10"/>
      <c r="G23" s="10" t="s">
        <v>456</v>
      </c>
      <c r="H23" s="10"/>
      <c r="L23" s="10" t="s">
        <v>457</v>
      </c>
      <c r="M23" s="10"/>
      <c r="N23" s="10"/>
      <c r="O23" s="280" t="s">
        <v>458</v>
      </c>
      <c r="P23" s="280"/>
      <c r="Q23" s="280" t="s">
        <v>459</v>
      </c>
      <c r="R23" s="280" t="s">
        <v>460</v>
      </c>
      <c r="S23" s="280"/>
      <c r="T23" s="280"/>
      <c r="U23" s="280"/>
      <c r="V23" s="10" t="s">
        <v>461</v>
      </c>
      <c r="W23" s="10" t="s">
        <v>429</v>
      </c>
      <c r="X23" s="10" t="s">
        <v>462</v>
      </c>
      <c r="Y23" s="10" t="s">
        <v>463</v>
      </c>
      <c r="Z23" s="10" t="s">
        <v>464</v>
      </c>
      <c r="AA23" s="10" t="s">
        <v>1</v>
      </c>
      <c r="AB23" s="10" t="s">
        <v>465</v>
      </c>
      <c r="AC23" s="10" t="s">
        <v>2</v>
      </c>
      <c r="AD23" s="269" t="s">
        <v>466</v>
      </c>
      <c r="AE23" s="276" t="s">
        <v>467</v>
      </c>
      <c r="AF23" s="282"/>
      <c r="AG23" s="282" t="s">
        <v>468</v>
      </c>
      <c r="AH23" s="10" t="s">
        <v>420</v>
      </c>
      <c r="AI23" s="10" t="s">
        <v>431</v>
      </c>
      <c r="AJ23" s="10" t="s">
        <v>469</v>
      </c>
      <c r="AK23" s="10" t="s">
        <v>469</v>
      </c>
      <c r="AL23" s="10" t="s">
        <v>470</v>
      </c>
      <c r="AM23" s="276" t="s">
        <v>471</v>
      </c>
      <c r="AN23" s="284" t="s">
        <v>472</v>
      </c>
      <c r="AO23" s="276" t="s">
        <v>473</v>
      </c>
      <c r="AP23" s="269" t="s">
        <v>474</v>
      </c>
      <c r="AQ23" s="276" t="s">
        <v>475</v>
      </c>
      <c r="AR23" s="10" t="s">
        <v>476</v>
      </c>
      <c r="AS23" s="276"/>
      <c r="AT23" s="276" t="s">
        <v>452</v>
      </c>
      <c r="AU23" s="270" t="s">
        <v>434</v>
      </c>
      <c r="AV23" s="270"/>
      <c r="AW23" s="276"/>
      <c r="AX23" s="276"/>
      <c r="AY23" s="276"/>
      <c r="AZ23" s="276"/>
      <c r="BA23" s="276"/>
      <c r="BB23" s="276"/>
      <c r="BC23" s="276"/>
    </row>
    <row r="24" spans="1:67" x14ac:dyDescent="0.15">
      <c r="B24" s="10" t="s">
        <v>477</v>
      </c>
      <c r="C24" s="276" t="s">
        <v>455</v>
      </c>
      <c r="D24" s="276" t="s">
        <v>455</v>
      </c>
      <c r="E24" s="276" t="s">
        <v>478</v>
      </c>
      <c r="F24" s="276" t="s">
        <v>479</v>
      </c>
      <c r="G24" s="276" t="s">
        <v>418</v>
      </c>
      <c r="H24" s="276" t="s">
        <v>480</v>
      </c>
      <c r="I24" s="10" t="s">
        <v>481</v>
      </c>
      <c r="J24" s="7" t="s">
        <v>481</v>
      </c>
      <c r="L24" s="10" t="s">
        <v>429</v>
      </c>
      <c r="M24" s="10"/>
      <c r="N24" s="10"/>
      <c r="O24" s="280" t="s">
        <v>482</v>
      </c>
      <c r="P24" s="280"/>
      <c r="Q24" s="280"/>
      <c r="R24" s="280" t="s">
        <v>483</v>
      </c>
      <c r="S24" s="280"/>
      <c r="T24" s="280" t="s">
        <v>484</v>
      </c>
      <c r="U24" s="280" t="s">
        <v>484</v>
      </c>
      <c r="V24" s="276" t="s">
        <v>485</v>
      </c>
      <c r="W24" s="10" t="s">
        <v>486</v>
      </c>
      <c r="X24" s="10" t="s">
        <v>487</v>
      </c>
      <c r="Y24" s="10" t="s">
        <v>488</v>
      </c>
      <c r="Z24" s="269" t="s">
        <v>489</v>
      </c>
      <c r="AA24" s="10" t="s">
        <v>490</v>
      </c>
      <c r="AB24" s="10" t="s">
        <v>491</v>
      </c>
      <c r="AC24" s="10" t="s">
        <v>492</v>
      </c>
      <c r="AD24" s="286" t="s">
        <v>493</v>
      </c>
      <c r="AE24" s="10" t="s">
        <v>427</v>
      </c>
      <c r="AF24" s="10"/>
      <c r="AG24" s="10"/>
      <c r="AH24" s="10" t="s">
        <v>431</v>
      </c>
      <c r="AI24" s="10" t="s">
        <v>494</v>
      </c>
      <c r="AJ24" s="276" t="s">
        <v>495</v>
      </c>
      <c r="AK24" s="276" t="s">
        <v>496</v>
      </c>
      <c r="AL24" s="276" t="s">
        <v>497</v>
      </c>
      <c r="AM24" s="269" t="s">
        <v>498</v>
      </c>
      <c r="AN24" s="269"/>
      <c r="AO24" s="269" t="s">
        <v>433</v>
      </c>
      <c r="AP24" s="276" t="s">
        <v>499</v>
      </c>
      <c r="AQ24" s="269" t="s">
        <v>500</v>
      </c>
      <c r="AR24" s="259" t="s">
        <v>501</v>
      </c>
      <c r="AS24" s="269" t="s">
        <v>502</v>
      </c>
      <c r="AT24" s="269" t="s">
        <v>503</v>
      </c>
      <c r="AU24" s="269" t="s">
        <v>453</v>
      </c>
      <c r="AV24" s="269"/>
      <c r="AW24" s="269" t="s">
        <v>504</v>
      </c>
      <c r="AX24" s="269" t="s">
        <v>504</v>
      </c>
      <c r="AY24" s="269" t="s">
        <v>504</v>
      </c>
      <c r="AZ24" s="269" t="s">
        <v>504</v>
      </c>
      <c r="BA24" s="269" t="s">
        <v>504</v>
      </c>
      <c r="BB24" s="269" t="s">
        <v>504</v>
      </c>
      <c r="BC24" s="269" t="s">
        <v>504</v>
      </c>
      <c r="BE24" s="269" t="s">
        <v>504</v>
      </c>
      <c r="BF24" s="269" t="s">
        <v>504</v>
      </c>
      <c r="BG24" s="269" t="s">
        <v>504</v>
      </c>
      <c r="BH24" s="269" t="s">
        <v>504</v>
      </c>
      <c r="BI24" s="269" t="s">
        <v>504</v>
      </c>
      <c r="BJ24" s="269" t="s">
        <v>504</v>
      </c>
      <c r="BK24" s="269" t="s">
        <v>504</v>
      </c>
    </row>
    <row r="25" spans="1:67" x14ac:dyDescent="0.15">
      <c r="A25" s="10" t="s">
        <v>3</v>
      </c>
      <c r="B25" s="10" t="s">
        <v>505</v>
      </c>
      <c r="C25" s="276" t="s">
        <v>505</v>
      </c>
      <c r="D25" s="276" t="s">
        <v>182</v>
      </c>
      <c r="E25" s="276" t="s">
        <v>479</v>
      </c>
      <c r="F25" s="276" t="s">
        <v>505</v>
      </c>
      <c r="G25" s="10" t="s">
        <v>506</v>
      </c>
      <c r="H25" s="10" t="s">
        <v>507</v>
      </c>
      <c r="I25" s="10" t="s">
        <v>508</v>
      </c>
      <c r="J25" s="7" t="s">
        <v>509</v>
      </c>
      <c r="L25" s="276" t="s">
        <v>510</v>
      </c>
      <c r="M25" s="276"/>
      <c r="N25" s="276"/>
      <c r="O25" s="280">
        <v>2019</v>
      </c>
      <c r="P25" s="280"/>
      <c r="Q25" s="280"/>
      <c r="R25" s="280" t="s">
        <v>511</v>
      </c>
      <c r="S25" s="280"/>
      <c r="T25" s="280">
        <v>2019</v>
      </c>
      <c r="U25" s="280" t="s">
        <v>461</v>
      </c>
      <c r="V25" s="10" t="s">
        <v>512</v>
      </c>
      <c r="W25" s="10" t="s">
        <v>513</v>
      </c>
      <c r="X25" s="276" t="s">
        <v>514</v>
      </c>
      <c r="Y25" s="10">
        <v>2017</v>
      </c>
      <c r="Z25" s="276" t="s">
        <v>515</v>
      </c>
      <c r="AA25" s="276" t="s">
        <v>516</v>
      </c>
      <c r="AB25" s="10">
        <v>2017</v>
      </c>
      <c r="AC25" s="276" t="s">
        <v>516</v>
      </c>
      <c r="AD25" s="276" t="s">
        <v>517</v>
      </c>
      <c r="AE25" s="10" t="s">
        <v>518</v>
      </c>
      <c r="AF25" s="10"/>
      <c r="AG25" s="10"/>
      <c r="AH25" s="276" t="s">
        <v>510</v>
      </c>
      <c r="AI25" s="276" t="s">
        <v>510</v>
      </c>
      <c r="AJ25" s="10" t="s">
        <v>519</v>
      </c>
      <c r="AK25" s="276" t="s">
        <v>520</v>
      </c>
      <c r="AL25" s="10" t="s">
        <v>521</v>
      </c>
      <c r="AM25" s="276" t="s">
        <v>522</v>
      </c>
      <c r="AN25" s="276"/>
      <c r="AO25" s="276" t="s">
        <v>523</v>
      </c>
      <c r="AP25" s="286" t="s">
        <v>524</v>
      </c>
      <c r="AQ25" s="270" t="s">
        <v>525</v>
      </c>
      <c r="AR25" s="276" t="s">
        <v>526</v>
      </c>
      <c r="AS25" s="276" t="s">
        <v>527</v>
      </c>
      <c r="AT25" s="276" t="s">
        <v>528</v>
      </c>
      <c r="AU25" s="276" t="s">
        <v>452</v>
      </c>
      <c r="AV25" s="276"/>
      <c r="AW25" s="276" t="s">
        <v>529</v>
      </c>
      <c r="AX25" s="276" t="s">
        <v>530</v>
      </c>
      <c r="AY25" s="276" t="s">
        <v>531</v>
      </c>
      <c r="AZ25" s="276" t="s">
        <v>532</v>
      </c>
      <c r="BA25" s="276" t="s">
        <v>533</v>
      </c>
      <c r="BB25" s="276" t="s">
        <v>534</v>
      </c>
      <c r="BC25" s="276" t="s">
        <v>535</v>
      </c>
      <c r="BE25" s="276" t="s">
        <v>529</v>
      </c>
      <c r="BF25" s="276" t="s">
        <v>530</v>
      </c>
      <c r="BG25" s="276" t="s">
        <v>531</v>
      </c>
      <c r="BH25" s="276" t="s">
        <v>532</v>
      </c>
      <c r="BI25" s="276" t="s">
        <v>533</v>
      </c>
      <c r="BJ25" s="276" t="s">
        <v>534</v>
      </c>
      <c r="BK25" s="276" t="s">
        <v>535</v>
      </c>
    </row>
    <row r="26" spans="1:67" x14ac:dyDescent="0.15">
      <c r="C26" s="251"/>
      <c r="D26" s="251"/>
      <c r="E26" s="251"/>
      <c r="F26" s="251"/>
      <c r="G26" s="251"/>
      <c r="H26" s="251"/>
      <c r="R26" s="7" t="s">
        <v>536</v>
      </c>
      <c r="AM26" s="10" t="s">
        <v>537</v>
      </c>
      <c r="AU26" s="282" t="s">
        <v>538</v>
      </c>
      <c r="AV26" s="282"/>
      <c r="AW26" s="7" t="s">
        <v>539</v>
      </c>
      <c r="AX26" s="7" t="s">
        <v>539</v>
      </c>
      <c r="AY26" s="7" t="s">
        <v>539</v>
      </c>
      <c r="AZ26" s="7" t="s">
        <v>539</v>
      </c>
      <c r="BA26" s="7" t="s">
        <v>539</v>
      </c>
      <c r="BB26" s="7" t="s">
        <v>539</v>
      </c>
      <c r="BC26" s="7" t="s">
        <v>539</v>
      </c>
      <c r="BE26" s="8" t="s">
        <v>538</v>
      </c>
      <c r="BF26" s="8" t="s">
        <v>538</v>
      </c>
      <c r="BG26" s="8" t="s">
        <v>538</v>
      </c>
      <c r="BH26" s="8" t="s">
        <v>538</v>
      </c>
      <c r="BI26" s="8" t="s">
        <v>538</v>
      </c>
      <c r="BJ26" s="8" t="s">
        <v>538</v>
      </c>
      <c r="BK26" s="8" t="s">
        <v>538</v>
      </c>
    </row>
    <row r="27" spans="1:67" x14ac:dyDescent="0.15">
      <c r="A27" s="10" t="s">
        <v>4</v>
      </c>
      <c r="B27" s="10"/>
      <c r="C27" s="276"/>
      <c r="D27" s="276" t="str">
        <f>IF(C27=1,"Yes","No")</f>
        <v>No</v>
      </c>
      <c r="E27" s="276"/>
      <c r="F27" s="276"/>
      <c r="G27" s="8">
        <v>7</v>
      </c>
      <c r="H27" s="1">
        <v>92</v>
      </c>
      <c r="I27" s="10">
        <v>1</v>
      </c>
      <c r="J27" s="7" t="s">
        <v>5</v>
      </c>
      <c r="K27" s="287"/>
      <c r="L27" s="1">
        <v>425.44</v>
      </c>
      <c r="M27" s="288"/>
      <c r="N27" s="289"/>
      <c r="O27" s="1">
        <v>87</v>
      </c>
      <c r="P27" s="290">
        <f t="shared" ref="P27:P90" si="4">O27/L27</f>
        <v>0.20449417074088003</v>
      </c>
      <c r="Q27" s="290">
        <f t="shared" ref="Q27:Q90" si="5">IF(P27&gt;0.75,+P27-0.75,0)</f>
        <v>0</v>
      </c>
      <c r="R27" s="291">
        <f t="shared" ref="R27:R90" si="6">Q27*L27</f>
        <v>0</v>
      </c>
      <c r="S27" s="291">
        <f>R27*0.05</f>
        <v>0</v>
      </c>
      <c r="T27" s="1">
        <v>7</v>
      </c>
      <c r="U27" s="1">
        <f>T27*0.15</f>
        <v>1.05</v>
      </c>
      <c r="V27" s="292">
        <f t="shared" ref="V27:V90" si="7">ROUND(O27*$V$2,2)</f>
        <v>26.1</v>
      </c>
      <c r="W27" s="254">
        <f t="shared" ref="W27:W90" si="8">L27+V27+0.15*T27+0.05*R27</f>
        <v>452.59000000000003</v>
      </c>
      <c r="X27" s="1">
        <v>374330136.32999998</v>
      </c>
      <c r="Y27" s="1">
        <v>3248</v>
      </c>
      <c r="Z27" s="264">
        <f t="shared" ref="Z27:Z90" si="9">ROUND(X27/Y27,2)</f>
        <v>115249.43</v>
      </c>
      <c r="AA27" s="293">
        <f t="shared" ref="AA27:AA90" si="10">(ROUND(Z27/$AA$21,6))</f>
        <v>0.61729699999999998</v>
      </c>
      <c r="AB27" s="1">
        <v>100507</v>
      </c>
      <c r="AC27" s="293">
        <f t="shared" ref="AC27:AC90" si="11">(ROUND(AB27/$AC$21,6))</f>
        <v>0.872838</v>
      </c>
      <c r="AD27" s="293">
        <f t="shared" ref="AD27:AD90" si="12">ROUND(1-((AA27*$V$4)+(AC27*$V$5)),6)</f>
        <v>0.30604100000000001</v>
      </c>
      <c r="AE27" s="294">
        <f t="shared" ref="AE27:AE90" si="13">IF(C27=1,MAX($V$7,AD27),MAX($V$6,AD27))</f>
        <v>0.30604100000000001</v>
      </c>
      <c r="AF27" s="295">
        <f>IF(H27&gt;=1,IF(H27&lt;=5,0.06,IF(H27&lt;=10,0.05,IF(H27&lt;=15,0.04,IF(H27&lt;=19,0.03,0)))),0)</f>
        <v>0</v>
      </c>
      <c r="AG27" s="296">
        <f>+AF27+AE27</f>
        <v>0.30604100000000001</v>
      </c>
      <c r="AH27" s="1">
        <v>260</v>
      </c>
      <c r="AI27" s="1">
        <v>6</v>
      </c>
      <c r="AJ27" s="254">
        <f t="shared" ref="AJ27:AJ90" si="14">ROUND((AI27/13)*100,2)</f>
        <v>46.15</v>
      </c>
      <c r="AK27" s="9">
        <f t="shared" ref="AK27:AK90" si="15">ROUND(AH27*AJ27,0)</f>
        <v>11999</v>
      </c>
      <c r="AL27" s="9">
        <f t="shared" ref="AL27:AL90" si="16">ROUND(W27*AG27*$AL$21,0)</f>
        <v>1596340</v>
      </c>
      <c r="AM27" s="9">
        <f t="shared" ref="AM27:AM90" si="17">IF(AL27=0, 0,AK27+AL27)</f>
        <v>1608339</v>
      </c>
      <c r="AN27" s="9">
        <f>IF(AND(C27=1,AM27&lt;AO27),AO27,AM27)</f>
        <v>1608339</v>
      </c>
      <c r="AO27" s="291">
        <v>2331185</v>
      </c>
      <c r="AP27" s="9">
        <f>ABS(SUM(AO27,-AM27))</f>
        <v>722846</v>
      </c>
      <c r="AQ27" s="297" t="str">
        <f>IF(AM27&gt;AO27,"Yes","No")</f>
        <v>No</v>
      </c>
      <c r="AR27" s="291">
        <v>2064995</v>
      </c>
      <c r="AS27" s="291">
        <f t="shared" ref="AS27:AS90" si="18">IF(AQ27="Yes",+AP27*$M$9,+AP27*$M$10)</f>
        <v>60213.071799999998</v>
      </c>
      <c r="AT27" s="291">
        <f t="shared" ref="AT27:AT90" si="19">IF(AQ27="Yes",+AR27+AS27,+AR27-AS27)</f>
        <v>2004781.9282</v>
      </c>
      <c r="AU27" s="291">
        <f t="shared" ref="AU27:AU90" si="20">IF(C27=1,MAX(AT27,AO27),AT27)</f>
        <v>2004781.9282</v>
      </c>
      <c r="AV27" s="291"/>
      <c r="AW27" s="291">
        <f>IF($AQ27="Yes",AU27+$AS27,AU27-$AS27)</f>
        <v>1944568.8563999999</v>
      </c>
      <c r="AX27" s="291">
        <f>IF($AQ27="Yes",AW27+$AS27,AW27-$AS27)</f>
        <v>1884355.7845999999</v>
      </c>
      <c r="AY27" s="291">
        <f t="shared" ref="AY27:BB27" si="21">IF($AQ27="Yes",AX27+$AS27,AX27-$AS27)</f>
        <v>1824142.7127999999</v>
      </c>
      <c r="AZ27" s="291">
        <f t="shared" si="21"/>
        <v>1763929.6409999998</v>
      </c>
      <c r="BA27" s="291">
        <f t="shared" si="21"/>
        <v>1703716.5691999998</v>
      </c>
      <c r="BB27" s="291">
        <f t="shared" si="21"/>
        <v>1643503.4973999998</v>
      </c>
      <c r="BC27" s="291">
        <f>AM27</f>
        <v>1608339</v>
      </c>
      <c r="BD27" s="298"/>
      <c r="BE27" s="291">
        <f>IF($C27=1,MAX(AW27,$AO27),AW27)</f>
        <v>1944568.8563999999</v>
      </c>
      <c r="BF27" s="291">
        <f t="shared" ref="BF27:BK42" si="22">IF($C27=1,MAX(AX27,$AO27),AX27)</f>
        <v>1884355.7845999999</v>
      </c>
      <c r="BG27" s="291">
        <f t="shared" si="22"/>
        <v>1824142.7127999999</v>
      </c>
      <c r="BH27" s="291">
        <f t="shared" si="22"/>
        <v>1763929.6409999998</v>
      </c>
      <c r="BI27" s="291">
        <f t="shared" si="22"/>
        <v>1703716.5691999998</v>
      </c>
      <c r="BJ27" s="291">
        <f t="shared" si="22"/>
        <v>1643503.4973999998</v>
      </c>
      <c r="BK27" s="291">
        <f t="shared" si="22"/>
        <v>1608339</v>
      </c>
      <c r="BL27" s="298"/>
      <c r="BM27" s="298"/>
      <c r="BN27" s="298"/>
      <c r="BO27" s="298"/>
    </row>
    <row r="28" spans="1:67" x14ac:dyDescent="0.15">
      <c r="A28" s="10" t="s">
        <v>6</v>
      </c>
      <c r="B28" s="299"/>
      <c r="C28" s="276">
        <v>1</v>
      </c>
      <c r="D28" s="276" t="str">
        <f t="shared" ref="D28:D91" si="23">IF(C28=1,"Yes","No")</f>
        <v>Yes</v>
      </c>
      <c r="E28" s="276">
        <v>1</v>
      </c>
      <c r="F28" s="276"/>
      <c r="G28" s="8">
        <v>10</v>
      </c>
      <c r="H28" s="1">
        <v>9</v>
      </c>
      <c r="I28" s="10">
        <v>2</v>
      </c>
      <c r="J28" s="7" t="s">
        <v>7</v>
      </c>
      <c r="K28" s="287"/>
      <c r="L28" s="1">
        <v>2456.41</v>
      </c>
      <c r="M28" s="300"/>
      <c r="N28" s="289"/>
      <c r="O28" s="1">
        <v>1613</v>
      </c>
      <c r="P28" s="290">
        <f t="shared" si="4"/>
        <v>0.65664933785483692</v>
      </c>
      <c r="Q28" s="290">
        <f t="shared" si="5"/>
        <v>0</v>
      </c>
      <c r="R28" s="291">
        <f t="shared" si="6"/>
        <v>0</v>
      </c>
      <c r="S28" s="291">
        <f t="shared" ref="S28:S91" si="24">R28*0.05</f>
        <v>0</v>
      </c>
      <c r="T28" s="1">
        <v>121</v>
      </c>
      <c r="U28" s="1">
        <f t="shared" ref="U28:U91" si="25">T28*0.15</f>
        <v>18.149999999999999</v>
      </c>
      <c r="V28" s="292">
        <f t="shared" si="7"/>
        <v>483.9</v>
      </c>
      <c r="W28" s="254">
        <f t="shared" si="8"/>
        <v>2958.46</v>
      </c>
      <c r="X28" s="1">
        <v>1406216743.6700001</v>
      </c>
      <c r="Y28" s="1">
        <v>18813</v>
      </c>
      <c r="Z28" s="264">
        <f t="shared" si="9"/>
        <v>74747.08</v>
      </c>
      <c r="AA28" s="293">
        <f t="shared" si="10"/>
        <v>0.40035900000000002</v>
      </c>
      <c r="AB28" s="1">
        <v>45563</v>
      </c>
      <c r="AC28" s="293">
        <f t="shared" si="11"/>
        <v>0.39568500000000001</v>
      </c>
      <c r="AD28" s="293">
        <f t="shared" si="12"/>
        <v>0.60104299999999999</v>
      </c>
      <c r="AE28" s="294">
        <f t="shared" si="13"/>
        <v>0.60104299999999999</v>
      </c>
      <c r="AF28" s="295">
        <f t="shared" ref="AF28:AF91" si="26">IF(H28&gt;=1,IF(H28&lt;=5,0.06,IF(H28&lt;=10,0.05,IF(H28&lt;=15,0.04,IF(H28&lt;=19,0.03,0)))),0)</f>
        <v>0.05</v>
      </c>
      <c r="AG28" s="296">
        <f t="shared" ref="AG28:AG91" si="27">+AF28+AE28</f>
        <v>0.65104300000000004</v>
      </c>
      <c r="AH28" s="1">
        <v>0</v>
      </c>
      <c r="AI28" s="1">
        <v>0</v>
      </c>
      <c r="AJ28" s="254">
        <f t="shared" si="14"/>
        <v>0</v>
      </c>
      <c r="AK28" s="9">
        <f t="shared" si="15"/>
        <v>0</v>
      </c>
      <c r="AL28" s="9">
        <f t="shared" si="16"/>
        <v>22198126</v>
      </c>
      <c r="AM28" s="9">
        <f t="shared" si="17"/>
        <v>22198126</v>
      </c>
      <c r="AN28" s="9">
        <f t="shared" ref="AN28:AN91" si="28">IF(AND(C28=1,AM28&lt;AO28),AO28,AM28)</f>
        <v>22198126</v>
      </c>
      <c r="AO28" s="291">
        <v>16473543</v>
      </c>
      <c r="AP28" s="9">
        <f t="shared" ref="AP28:AP91" si="29">ABS(SUM(AO28,-AM28))</f>
        <v>5724583</v>
      </c>
      <c r="AQ28" s="297" t="str">
        <f t="shared" ref="AQ28:AQ91" si="30">IF(AM28&gt;AO28,"Yes","No")</f>
        <v>Yes</v>
      </c>
      <c r="AR28" s="291">
        <v>17328187</v>
      </c>
      <c r="AS28" s="291">
        <f t="shared" si="18"/>
        <v>610240.54780000006</v>
      </c>
      <c r="AT28" s="291">
        <f t="shared" si="19"/>
        <v>17938427.547800001</v>
      </c>
      <c r="AU28" s="291">
        <f t="shared" si="20"/>
        <v>17938427.547800001</v>
      </c>
      <c r="AV28" s="291"/>
      <c r="AW28" s="291">
        <f t="shared" ref="AW28:AW91" si="31">IF($AQ28="Yes",AU28+$AS28,AU28-$AS28)</f>
        <v>18548668.095600002</v>
      </c>
      <c r="AX28" s="291">
        <f t="shared" ref="AX28:BB43" si="32">IF($AQ28="Yes",AW28+$AS28,AW28-$AS28)</f>
        <v>19158908.643400002</v>
      </c>
      <c r="AY28" s="291">
        <f t="shared" si="32"/>
        <v>19769149.191200003</v>
      </c>
      <c r="AZ28" s="291">
        <f t="shared" si="32"/>
        <v>20379389.739000004</v>
      </c>
      <c r="BA28" s="291">
        <f t="shared" si="32"/>
        <v>20989630.286800005</v>
      </c>
      <c r="BB28" s="291">
        <f t="shared" si="32"/>
        <v>21599870.834600005</v>
      </c>
      <c r="BC28" s="291">
        <f t="shared" ref="BC28:BC91" si="33">AM28</f>
        <v>22198126</v>
      </c>
      <c r="BD28" s="298"/>
      <c r="BE28" s="291">
        <f t="shared" ref="BE28:BK77" si="34">IF($C28=1,MAX(AW28,$AO28),AW28)</f>
        <v>18548668.095600002</v>
      </c>
      <c r="BF28" s="291">
        <f t="shared" si="22"/>
        <v>19158908.643400002</v>
      </c>
      <c r="BG28" s="291">
        <f t="shared" si="22"/>
        <v>19769149.191200003</v>
      </c>
      <c r="BH28" s="291">
        <f t="shared" si="22"/>
        <v>20379389.739000004</v>
      </c>
      <c r="BI28" s="291">
        <f t="shared" si="22"/>
        <v>20989630.286800005</v>
      </c>
      <c r="BJ28" s="291">
        <f t="shared" si="22"/>
        <v>21599870.834600005</v>
      </c>
      <c r="BK28" s="291">
        <f t="shared" si="22"/>
        <v>22198126</v>
      </c>
      <c r="BL28" s="298"/>
      <c r="BM28" s="298"/>
      <c r="BN28" s="298"/>
      <c r="BO28" s="298"/>
    </row>
    <row r="29" spans="1:67" x14ac:dyDescent="0.15">
      <c r="A29" s="10" t="s">
        <v>8</v>
      </c>
      <c r="B29" s="10"/>
      <c r="C29" s="276"/>
      <c r="D29" s="276" t="str">
        <f t="shared" si="23"/>
        <v>No</v>
      </c>
      <c r="E29" s="276"/>
      <c r="F29" s="276"/>
      <c r="G29" s="8">
        <v>8</v>
      </c>
      <c r="H29" s="1">
        <v>45</v>
      </c>
      <c r="I29" s="10">
        <v>3</v>
      </c>
      <c r="J29" s="7" t="s">
        <v>9</v>
      </c>
      <c r="K29" s="287"/>
      <c r="L29" s="1">
        <v>544.82000000000005</v>
      </c>
      <c r="M29" s="300"/>
      <c r="N29" s="289"/>
      <c r="O29" s="1">
        <v>206</v>
      </c>
      <c r="P29" s="290">
        <f t="shared" si="4"/>
        <v>0.37810653059726146</v>
      </c>
      <c r="Q29" s="290">
        <f t="shared" si="5"/>
        <v>0</v>
      </c>
      <c r="R29" s="291">
        <f t="shared" si="6"/>
        <v>0</v>
      </c>
      <c r="S29" s="291">
        <f t="shared" si="24"/>
        <v>0</v>
      </c>
      <c r="T29" s="1">
        <v>6</v>
      </c>
      <c r="U29" s="1">
        <f t="shared" si="25"/>
        <v>0.89999999999999991</v>
      </c>
      <c r="V29" s="292">
        <f t="shared" si="7"/>
        <v>61.8</v>
      </c>
      <c r="W29" s="254">
        <f t="shared" si="8"/>
        <v>607.52</v>
      </c>
      <c r="X29" s="1">
        <v>440762339.32999998</v>
      </c>
      <c r="Y29" s="1">
        <v>4244</v>
      </c>
      <c r="Z29" s="264">
        <f t="shared" si="9"/>
        <v>103855.41</v>
      </c>
      <c r="AA29" s="293">
        <f t="shared" si="10"/>
        <v>0.55626799999999998</v>
      </c>
      <c r="AB29" s="1">
        <v>68846</v>
      </c>
      <c r="AC29" s="293">
        <f t="shared" si="11"/>
        <v>0.59788300000000005</v>
      </c>
      <c r="AD29" s="293">
        <f t="shared" si="12"/>
        <v>0.43124800000000002</v>
      </c>
      <c r="AE29" s="294">
        <f t="shared" si="13"/>
        <v>0.43124800000000002</v>
      </c>
      <c r="AF29" s="295">
        <f t="shared" si="26"/>
        <v>0</v>
      </c>
      <c r="AG29" s="296">
        <f t="shared" si="27"/>
        <v>0.43124800000000002</v>
      </c>
      <c r="AH29" s="1">
        <v>171</v>
      </c>
      <c r="AI29" s="1">
        <v>4</v>
      </c>
      <c r="AJ29" s="254">
        <f t="shared" si="14"/>
        <v>30.77</v>
      </c>
      <c r="AK29" s="9">
        <f t="shared" si="15"/>
        <v>5262</v>
      </c>
      <c r="AL29" s="9">
        <f t="shared" si="16"/>
        <v>3019455</v>
      </c>
      <c r="AM29" s="9">
        <f t="shared" si="17"/>
        <v>3024717</v>
      </c>
      <c r="AN29" s="9">
        <f t="shared" si="28"/>
        <v>3024717</v>
      </c>
      <c r="AO29" s="291">
        <v>3859564</v>
      </c>
      <c r="AP29" s="9">
        <f t="shared" si="29"/>
        <v>834847</v>
      </c>
      <c r="AQ29" s="297" t="str">
        <f t="shared" si="30"/>
        <v>No</v>
      </c>
      <c r="AR29" s="291">
        <v>3528605</v>
      </c>
      <c r="AS29" s="291">
        <f t="shared" si="18"/>
        <v>69542.755099999995</v>
      </c>
      <c r="AT29" s="291">
        <f t="shared" si="19"/>
        <v>3459062.2448999998</v>
      </c>
      <c r="AU29" s="291">
        <f t="shared" si="20"/>
        <v>3459062.2448999998</v>
      </c>
      <c r="AV29" s="291"/>
      <c r="AW29" s="291">
        <f t="shared" si="31"/>
        <v>3389519.4897999996</v>
      </c>
      <c r="AX29" s="291">
        <f t="shared" si="32"/>
        <v>3319976.7346999994</v>
      </c>
      <c r="AY29" s="291">
        <f t="shared" si="32"/>
        <v>3250433.9795999993</v>
      </c>
      <c r="AZ29" s="291">
        <f t="shared" si="32"/>
        <v>3180891.2244999991</v>
      </c>
      <c r="BA29" s="291">
        <f t="shared" si="32"/>
        <v>3111348.4693999989</v>
      </c>
      <c r="BB29" s="291">
        <f t="shared" si="32"/>
        <v>3041805.7142999987</v>
      </c>
      <c r="BC29" s="291">
        <f t="shared" si="33"/>
        <v>3024717</v>
      </c>
      <c r="BD29" s="298"/>
      <c r="BE29" s="291">
        <f t="shared" si="34"/>
        <v>3389519.4897999996</v>
      </c>
      <c r="BF29" s="291">
        <f t="shared" si="22"/>
        <v>3319976.7346999994</v>
      </c>
      <c r="BG29" s="291">
        <f t="shared" si="22"/>
        <v>3250433.9795999993</v>
      </c>
      <c r="BH29" s="291">
        <f t="shared" si="22"/>
        <v>3180891.2244999991</v>
      </c>
      <c r="BI29" s="291">
        <f t="shared" si="22"/>
        <v>3111348.4693999989</v>
      </c>
      <c r="BJ29" s="291">
        <f t="shared" si="22"/>
        <v>3041805.7142999987</v>
      </c>
      <c r="BK29" s="291">
        <f t="shared" si="22"/>
        <v>3024717</v>
      </c>
      <c r="BL29" s="298"/>
      <c r="BM29" s="298"/>
      <c r="BN29" s="298"/>
      <c r="BO29" s="298"/>
    </row>
    <row r="30" spans="1:67" x14ac:dyDescent="0.15">
      <c r="A30" s="10" t="s">
        <v>10</v>
      </c>
      <c r="B30" s="10"/>
      <c r="C30" s="276"/>
      <c r="D30" s="276" t="str">
        <f t="shared" si="23"/>
        <v>No</v>
      </c>
      <c r="E30" s="276"/>
      <c r="F30" s="276"/>
      <c r="G30" s="8">
        <v>2</v>
      </c>
      <c r="H30" s="1">
        <v>152</v>
      </c>
      <c r="I30" s="10">
        <v>4</v>
      </c>
      <c r="J30" s="7" t="s">
        <v>11</v>
      </c>
      <c r="K30" s="287"/>
      <c r="L30" s="1">
        <v>3184.37</v>
      </c>
      <c r="M30" s="288"/>
      <c r="N30" s="289"/>
      <c r="O30" s="1">
        <v>245</v>
      </c>
      <c r="P30" s="290">
        <f t="shared" si="4"/>
        <v>7.6938295487019415E-2</v>
      </c>
      <c r="Q30" s="290">
        <f t="shared" si="5"/>
        <v>0</v>
      </c>
      <c r="R30" s="291">
        <f t="shared" si="6"/>
        <v>0</v>
      </c>
      <c r="S30" s="291">
        <f t="shared" si="24"/>
        <v>0</v>
      </c>
      <c r="T30" s="1">
        <v>93</v>
      </c>
      <c r="U30" s="1">
        <f t="shared" si="25"/>
        <v>13.95</v>
      </c>
      <c r="V30" s="292">
        <f t="shared" si="7"/>
        <v>73.5</v>
      </c>
      <c r="W30" s="254">
        <f t="shared" si="8"/>
        <v>3271.8199999999997</v>
      </c>
      <c r="X30" s="1">
        <v>3699970563</v>
      </c>
      <c r="Y30" s="1">
        <v>18352</v>
      </c>
      <c r="Z30" s="264">
        <f t="shared" si="9"/>
        <v>201611.3</v>
      </c>
      <c r="AA30" s="293">
        <f t="shared" si="10"/>
        <v>1.0798669999999999</v>
      </c>
      <c r="AB30" s="1">
        <v>125536</v>
      </c>
      <c r="AC30" s="293">
        <f t="shared" si="11"/>
        <v>1.0901989999999999</v>
      </c>
      <c r="AD30" s="293">
        <f t="shared" si="12"/>
        <v>-8.2966999999999999E-2</v>
      </c>
      <c r="AE30" s="294">
        <f t="shared" si="13"/>
        <v>0.01</v>
      </c>
      <c r="AF30" s="295">
        <f t="shared" si="26"/>
        <v>0</v>
      </c>
      <c r="AG30" s="296">
        <f t="shared" si="27"/>
        <v>0.01</v>
      </c>
      <c r="AH30" s="1">
        <v>0</v>
      </c>
      <c r="AI30" s="1">
        <v>0</v>
      </c>
      <c r="AJ30" s="254">
        <f t="shared" si="14"/>
        <v>0</v>
      </c>
      <c r="AK30" s="9">
        <f t="shared" si="15"/>
        <v>0</v>
      </c>
      <c r="AL30" s="9">
        <f t="shared" si="16"/>
        <v>377077</v>
      </c>
      <c r="AM30" s="9">
        <f t="shared" si="17"/>
        <v>377077</v>
      </c>
      <c r="AN30" s="9">
        <f t="shared" si="28"/>
        <v>377077</v>
      </c>
      <c r="AO30" s="291">
        <v>731456</v>
      </c>
      <c r="AP30" s="9">
        <f t="shared" si="29"/>
        <v>354379</v>
      </c>
      <c r="AQ30" s="297" t="str">
        <f t="shared" si="30"/>
        <v>No</v>
      </c>
      <c r="AR30" s="291">
        <v>613536</v>
      </c>
      <c r="AS30" s="291">
        <f t="shared" si="18"/>
        <v>29519.770700000001</v>
      </c>
      <c r="AT30" s="291">
        <f t="shared" si="19"/>
        <v>584016.22930000001</v>
      </c>
      <c r="AU30" s="291">
        <f t="shared" si="20"/>
        <v>584016.22930000001</v>
      </c>
      <c r="AV30" s="291"/>
      <c r="AW30" s="291">
        <f t="shared" si="31"/>
        <v>554496.45860000001</v>
      </c>
      <c r="AX30" s="291">
        <f t="shared" si="32"/>
        <v>524976.68790000002</v>
      </c>
      <c r="AY30" s="291">
        <f t="shared" si="32"/>
        <v>495456.91720000003</v>
      </c>
      <c r="AZ30" s="291">
        <f t="shared" si="32"/>
        <v>465937.14650000003</v>
      </c>
      <c r="BA30" s="291">
        <f t="shared" si="32"/>
        <v>436417.37580000004</v>
      </c>
      <c r="BB30" s="291">
        <f t="shared" si="32"/>
        <v>406897.60510000004</v>
      </c>
      <c r="BC30" s="291">
        <f t="shared" si="33"/>
        <v>377077</v>
      </c>
      <c r="BD30" s="298"/>
      <c r="BE30" s="291">
        <f t="shared" si="34"/>
        <v>554496.45860000001</v>
      </c>
      <c r="BF30" s="291">
        <f t="shared" si="22"/>
        <v>524976.68790000002</v>
      </c>
      <c r="BG30" s="291">
        <f t="shared" si="22"/>
        <v>495456.91720000003</v>
      </c>
      <c r="BH30" s="291">
        <f t="shared" si="22"/>
        <v>465937.14650000003</v>
      </c>
      <c r="BI30" s="291">
        <f t="shared" si="22"/>
        <v>436417.37580000004</v>
      </c>
      <c r="BJ30" s="291">
        <f t="shared" si="22"/>
        <v>406897.60510000004</v>
      </c>
      <c r="BK30" s="291">
        <f t="shared" si="22"/>
        <v>377077</v>
      </c>
      <c r="BL30" s="298"/>
      <c r="BM30" s="298"/>
      <c r="BN30" s="298"/>
      <c r="BO30" s="298"/>
    </row>
    <row r="31" spans="1:67" x14ac:dyDescent="0.15">
      <c r="A31" s="10" t="s">
        <v>4</v>
      </c>
      <c r="B31" s="10"/>
      <c r="C31" s="276"/>
      <c r="D31" s="276" t="str">
        <f t="shared" si="23"/>
        <v>No</v>
      </c>
      <c r="E31" s="276"/>
      <c r="F31" s="276"/>
      <c r="G31" s="8">
        <v>5</v>
      </c>
      <c r="H31" s="1">
        <v>90</v>
      </c>
      <c r="I31" s="10">
        <v>5</v>
      </c>
      <c r="J31" s="7" t="s">
        <v>12</v>
      </c>
      <c r="K31" s="287"/>
      <c r="L31" s="1">
        <v>491.97</v>
      </c>
      <c r="M31" s="288"/>
      <c r="N31" s="289"/>
      <c r="O31" s="1">
        <v>89</v>
      </c>
      <c r="P31" s="290">
        <f t="shared" si="4"/>
        <v>0.1809053397564892</v>
      </c>
      <c r="Q31" s="290">
        <f t="shared" si="5"/>
        <v>0</v>
      </c>
      <c r="R31" s="291">
        <f t="shared" si="6"/>
        <v>0</v>
      </c>
      <c r="S31" s="291">
        <f t="shared" si="24"/>
        <v>0</v>
      </c>
      <c r="T31" s="1">
        <v>1</v>
      </c>
      <c r="U31" s="1">
        <f t="shared" si="25"/>
        <v>0.15</v>
      </c>
      <c r="V31" s="292">
        <f t="shared" si="7"/>
        <v>26.7</v>
      </c>
      <c r="W31" s="254">
        <f t="shared" si="8"/>
        <v>518.82000000000005</v>
      </c>
      <c r="X31" s="1">
        <v>522099049</v>
      </c>
      <c r="Y31" s="1">
        <v>3651</v>
      </c>
      <c r="Z31" s="264">
        <f t="shared" si="9"/>
        <v>143001.66</v>
      </c>
      <c r="AA31" s="293">
        <f t="shared" si="10"/>
        <v>0.76594300000000004</v>
      </c>
      <c r="AB31" s="1">
        <v>111198</v>
      </c>
      <c r="AC31" s="293">
        <f t="shared" si="11"/>
        <v>0.96568299999999996</v>
      </c>
      <c r="AD31" s="293">
        <f t="shared" si="12"/>
        <v>0.17413500000000001</v>
      </c>
      <c r="AE31" s="294">
        <f t="shared" si="13"/>
        <v>0.17413500000000001</v>
      </c>
      <c r="AF31" s="295">
        <f t="shared" si="26"/>
        <v>0</v>
      </c>
      <c r="AG31" s="296">
        <f t="shared" si="27"/>
        <v>0.17413500000000001</v>
      </c>
      <c r="AH31" s="1">
        <v>278</v>
      </c>
      <c r="AI31" s="1">
        <v>6</v>
      </c>
      <c r="AJ31" s="254">
        <f t="shared" si="14"/>
        <v>46.15</v>
      </c>
      <c r="AK31" s="9">
        <f t="shared" si="15"/>
        <v>12830</v>
      </c>
      <c r="AL31" s="9">
        <f t="shared" si="16"/>
        <v>1041223</v>
      </c>
      <c r="AM31" s="9">
        <f t="shared" si="17"/>
        <v>1054053</v>
      </c>
      <c r="AN31" s="9">
        <f t="shared" si="28"/>
        <v>1054053</v>
      </c>
      <c r="AO31" s="291">
        <v>1633686</v>
      </c>
      <c r="AP31" s="9">
        <f t="shared" si="29"/>
        <v>579633</v>
      </c>
      <c r="AQ31" s="297" t="str">
        <f t="shared" si="30"/>
        <v>No</v>
      </c>
      <c r="AR31" s="291">
        <v>1542525</v>
      </c>
      <c r="AS31" s="291">
        <f t="shared" si="18"/>
        <v>48283.428899999999</v>
      </c>
      <c r="AT31" s="291">
        <f t="shared" si="19"/>
        <v>1494241.5711000001</v>
      </c>
      <c r="AU31" s="291">
        <f t="shared" si="20"/>
        <v>1494241.5711000001</v>
      </c>
      <c r="AV31" s="291"/>
      <c r="AW31" s="291">
        <f t="shared" si="31"/>
        <v>1445958.1422000001</v>
      </c>
      <c r="AX31" s="291">
        <f t="shared" si="32"/>
        <v>1397674.7133000002</v>
      </c>
      <c r="AY31" s="291">
        <f t="shared" si="32"/>
        <v>1349391.2844000002</v>
      </c>
      <c r="AZ31" s="291">
        <f t="shared" si="32"/>
        <v>1301107.8555000003</v>
      </c>
      <c r="BA31" s="291">
        <f t="shared" si="32"/>
        <v>1252824.4266000004</v>
      </c>
      <c r="BB31" s="291">
        <f t="shared" si="32"/>
        <v>1204540.9977000004</v>
      </c>
      <c r="BC31" s="291">
        <f t="shared" si="33"/>
        <v>1054053</v>
      </c>
      <c r="BD31" s="298"/>
      <c r="BE31" s="291">
        <f t="shared" si="34"/>
        <v>1445958.1422000001</v>
      </c>
      <c r="BF31" s="291">
        <f t="shared" si="22"/>
        <v>1397674.7133000002</v>
      </c>
      <c r="BG31" s="291">
        <f t="shared" si="22"/>
        <v>1349391.2844000002</v>
      </c>
      <c r="BH31" s="291">
        <f t="shared" si="22"/>
        <v>1301107.8555000003</v>
      </c>
      <c r="BI31" s="291">
        <f t="shared" si="22"/>
        <v>1252824.4266000004</v>
      </c>
      <c r="BJ31" s="291">
        <f t="shared" si="22"/>
        <v>1204540.9977000004</v>
      </c>
      <c r="BK31" s="291">
        <f t="shared" si="22"/>
        <v>1054053</v>
      </c>
      <c r="BL31" s="298"/>
      <c r="BM31" s="298"/>
      <c r="BN31" s="298"/>
      <c r="BO31" s="298"/>
    </row>
    <row r="32" spans="1:67" x14ac:dyDescent="0.15">
      <c r="A32" s="10" t="s">
        <v>8</v>
      </c>
      <c r="B32" s="10"/>
      <c r="C32" s="276"/>
      <c r="D32" s="276" t="str">
        <f t="shared" si="23"/>
        <v>No</v>
      </c>
      <c r="E32" s="276"/>
      <c r="F32" s="276"/>
      <c r="G32" s="8">
        <v>7</v>
      </c>
      <c r="H32" s="1">
        <v>46</v>
      </c>
      <c r="I32" s="10">
        <v>6</v>
      </c>
      <c r="J32" s="7" t="s">
        <v>13</v>
      </c>
      <c r="K32" s="287"/>
      <c r="L32" s="1">
        <v>786.31</v>
      </c>
      <c r="M32" s="300"/>
      <c r="N32" s="289"/>
      <c r="O32" s="1">
        <v>208</v>
      </c>
      <c r="P32" s="290">
        <f t="shared" si="4"/>
        <v>0.26452671338276257</v>
      </c>
      <c r="Q32" s="290">
        <f t="shared" si="5"/>
        <v>0</v>
      </c>
      <c r="R32" s="291">
        <f t="shared" si="6"/>
        <v>0</v>
      </c>
      <c r="S32" s="291">
        <f t="shared" si="24"/>
        <v>0</v>
      </c>
      <c r="T32" s="1">
        <v>13</v>
      </c>
      <c r="U32" s="1">
        <f t="shared" si="25"/>
        <v>1.95</v>
      </c>
      <c r="V32" s="292">
        <f t="shared" si="7"/>
        <v>62.4</v>
      </c>
      <c r="W32" s="254">
        <f t="shared" si="8"/>
        <v>850.66</v>
      </c>
      <c r="X32" s="1">
        <v>694719877.66999996</v>
      </c>
      <c r="Y32" s="1">
        <v>6168</v>
      </c>
      <c r="Z32" s="264">
        <f t="shared" si="9"/>
        <v>112632.92</v>
      </c>
      <c r="AA32" s="293">
        <f t="shared" si="10"/>
        <v>0.60328199999999998</v>
      </c>
      <c r="AB32" s="1">
        <v>88355</v>
      </c>
      <c r="AC32" s="293">
        <f t="shared" si="11"/>
        <v>0.76730600000000004</v>
      </c>
      <c r="AD32" s="293">
        <f t="shared" si="12"/>
        <v>0.34751100000000001</v>
      </c>
      <c r="AE32" s="294">
        <f t="shared" si="13"/>
        <v>0.34751100000000001</v>
      </c>
      <c r="AF32" s="295">
        <f t="shared" si="26"/>
        <v>0</v>
      </c>
      <c r="AG32" s="296">
        <f t="shared" si="27"/>
        <v>0.34751100000000001</v>
      </c>
      <c r="AH32" s="1">
        <v>779</v>
      </c>
      <c r="AI32" s="1">
        <v>13</v>
      </c>
      <c r="AJ32" s="254">
        <f t="shared" si="14"/>
        <v>100</v>
      </c>
      <c r="AK32" s="9">
        <f t="shared" si="15"/>
        <v>77900</v>
      </c>
      <c r="AL32" s="9">
        <f t="shared" si="16"/>
        <v>3406948</v>
      </c>
      <c r="AM32" s="9">
        <f t="shared" si="17"/>
        <v>3484848</v>
      </c>
      <c r="AN32" s="9">
        <f t="shared" si="28"/>
        <v>3484848</v>
      </c>
      <c r="AO32" s="291">
        <v>4067920</v>
      </c>
      <c r="AP32" s="9">
        <f t="shared" si="29"/>
        <v>583072</v>
      </c>
      <c r="AQ32" s="297" t="str">
        <f t="shared" si="30"/>
        <v>No</v>
      </c>
      <c r="AR32" s="291">
        <v>3995130</v>
      </c>
      <c r="AS32" s="291">
        <f t="shared" si="18"/>
        <v>48569.897599999997</v>
      </c>
      <c r="AT32" s="291">
        <f t="shared" si="19"/>
        <v>3946560.1024000002</v>
      </c>
      <c r="AU32" s="291">
        <f t="shared" si="20"/>
        <v>3946560.1024000002</v>
      </c>
      <c r="AV32" s="291"/>
      <c r="AW32" s="291">
        <f t="shared" si="31"/>
        <v>3897990.2048000004</v>
      </c>
      <c r="AX32" s="291">
        <f t="shared" si="32"/>
        <v>3849420.3072000006</v>
      </c>
      <c r="AY32" s="291">
        <f t="shared" si="32"/>
        <v>3800850.4096000008</v>
      </c>
      <c r="AZ32" s="291">
        <f t="shared" si="32"/>
        <v>3752280.512000001</v>
      </c>
      <c r="BA32" s="291">
        <f t="shared" si="32"/>
        <v>3703710.6144000012</v>
      </c>
      <c r="BB32" s="291">
        <f t="shared" si="32"/>
        <v>3655140.7168000014</v>
      </c>
      <c r="BC32" s="291">
        <f t="shared" si="33"/>
        <v>3484848</v>
      </c>
      <c r="BD32" s="298"/>
      <c r="BE32" s="291">
        <f t="shared" si="34"/>
        <v>3897990.2048000004</v>
      </c>
      <c r="BF32" s="291">
        <f t="shared" si="22"/>
        <v>3849420.3072000006</v>
      </c>
      <c r="BG32" s="291">
        <f t="shared" si="22"/>
        <v>3800850.4096000008</v>
      </c>
      <c r="BH32" s="291">
        <f t="shared" si="22"/>
        <v>3752280.512000001</v>
      </c>
      <c r="BI32" s="291">
        <f t="shared" si="22"/>
        <v>3703710.6144000012</v>
      </c>
      <c r="BJ32" s="291">
        <f t="shared" si="22"/>
        <v>3655140.7168000014</v>
      </c>
      <c r="BK32" s="291">
        <f t="shared" si="22"/>
        <v>3484848</v>
      </c>
      <c r="BL32" s="298"/>
      <c r="BM32" s="298"/>
      <c r="BN32" s="298"/>
      <c r="BO32" s="298"/>
    </row>
    <row r="33" spans="1:67" x14ac:dyDescent="0.15">
      <c r="A33" s="10" t="s">
        <v>14</v>
      </c>
      <c r="B33" s="10"/>
      <c r="C33" s="276"/>
      <c r="D33" s="276" t="str">
        <f t="shared" si="23"/>
        <v>No</v>
      </c>
      <c r="E33" s="276"/>
      <c r="F33" s="276"/>
      <c r="G33" s="8">
        <v>4</v>
      </c>
      <c r="H33" s="1">
        <v>95</v>
      </c>
      <c r="I33" s="10">
        <v>7</v>
      </c>
      <c r="J33" s="7" t="s">
        <v>15</v>
      </c>
      <c r="K33" s="287"/>
      <c r="L33" s="1">
        <v>2796.21</v>
      </c>
      <c r="M33" s="288"/>
      <c r="N33" s="289"/>
      <c r="O33" s="1">
        <v>544</v>
      </c>
      <c r="P33" s="290">
        <f t="shared" si="4"/>
        <v>0.19454905032168543</v>
      </c>
      <c r="Q33" s="290">
        <f t="shared" si="5"/>
        <v>0</v>
      </c>
      <c r="R33" s="291">
        <f t="shared" si="6"/>
        <v>0</v>
      </c>
      <c r="S33" s="291">
        <f t="shared" si="24"/>
        <v>0</v>
      </c>
      <c r="T33" s="1">
        <v>87</v>
      </c>
      <c r="U33" s="1">
        <f t="shared" si="25"/>
        <v>13.049999999999999</v>
      </c>
      <c r="V33" s="292">
        <f t="shared" si="7"/>
        <v>163.19999999999999</v>
      </c>
      <c r="W33" s="254">
        <f t="shared" si="8"/>
        <v>2972.46</v>
      </c>
      <c r="X33" s="1">
        <v>3300442307.3299999</v>
      </c>
      <c r="Y33" s="1">
        <v>20505</v>
      </c>
      <c r="Z33" s="264">
        <f t="shared" si="9"/>
        <v>160957.93</v>
      </c>
      <c r="AA33" s="293">
        <f t="shared" si="10"/>
        <v>0.86212</v>
      </c>
      <c r="AB33" s="1">
        <v>93328</v>
      </c>
      <c r="AC33" s="293">
        <f t="shared" si="11"/>
        <v>0.81049300000000002</v>
      </c>
      <c r="AD33" s="293">
        <f t="shared" si="12"/>
        <v>0.153368</v>
      </c>
      <c r="AE33" s="294">
        <f t="shared" si="13"/>
        <v>0.153368</v>
      </c>
      <c r="AF33" s="295">
        <f t="shared" si="26"/>
        <v>0</v>
      </c>
      <c r="AG33" s="296">
        <f t="shared" si="27"/>
        <v>0.153368</v>
      </c>
      <c r="AH33" s="1">
        <v>0</v>
      </c>
      <c r="AI33" s="1">
        <v>0</v>
      </c>
      <c r="AJ33" s="254">
        <f t="shared" si="14"/>
        <v>0</v>
      </c>
      <c r="AK33" s="9">
        <f t="shared" si="15"/>
        <v>0</v>
      </c>
      <c r="AL33" s="9">
        <f t="shared" si="16"/>
        <v>5254020</v>
      </c>
      <c r="AM33" s="9">
        <f t="shared" si="17"/>
        <v>5254020</v>
      </c>
      <c r="AN33" s="9">
        <f t="shared" si="28"/>
        <v>5254020</v>
      </c>
      <c r="AO33" s="291">
        <v>6215712</v>
      </c>
      <c r="AP33" s="9">
        <f t="shared" si="29"/>
        <v>961692</v>
      </c>
      <c r="AQ33" s="297" t="str">
        <f t="shared" si="30"/>
        <v>No</v>
      </c>
      <c r="AR33" s="291">
        <v>5950709</v>
      </c>
      <c r="AS33" s="291">
        <f t="shared" si="18"/>
        <v>80108.943599999999</v>
      </c>
      <c r="AT33" s="291">
        <f t="shared" si="19"/>
        <v>5870600.0564000001</v>
      </c>
      <c r="AU33" s="291">
        <f t="shared" si="20"/>
        <v>5870600.0564000001</v>
      </c>
      <c r="AV33" s="291"/>
      <c r="AW33" s="291">
        <f t="shared" si="31"/>
        <v>5790491.1128000002</v>
      </c>
      <c r="AX33" s="291">
        <f t="shared" si="32"/>
        <v>5710382.1692000004</v>
      </c>
      <c r="AY33" s="291">
        <f t="shared" si="32"/>
        <v>5630273.2256000005</v>
      </c>
      <c r="AZ33" s="291">
        <f t="shared" si="32"/>
        <v>5550164.2820000006</v>
      </c>
      <c r="BA33" s="291">
        <f t="shared" si="32"/>
        <v>5470055.3384000007</v>
      </c>
      <c r="BB33" s="291">
        <f t="shared" si="32"/>
        <v>5389946.3948000008</v>
      </c>
      <c r="BC33" s="291">
        <f t="shared" si="33"/>
        <v>5254020</v>
      </c>
      <c r="BD33" s="298"/>
      <c r="BE33" s="291">
        <f t="shared" si="34"/>
        <v>5790491.1128000002</v>
      </c>
      <c r="BF33" s="291">
        <f t="shared" si="22"/>
        <v>5710382.1692000004</v>
      </c>
      <c r="BG33" s="291">
        <f t="shared" si="22"/>
        <v>5630273.2256000005</v>
      </c>
      <c r="BH33" s="291">
        <f t="shared" si="22"/>
        <v>5550164.2820000006</v>
      </c>
      <c r="BI33" s="291">
        <f t="shared" si="22"/>
        <v>5470055.3384000007</v>
      </c>
      <c r="BJ33" s="291">
        <f t="shared" si="22"/>
        <v>5389946.3948000008</v>
      </c>
      <c r="BK33" s="291">
        <f t="shared" si="22"/>
        <v>5254020</v>
      </c>
      <c r="BL33" s="298"/>
      <c r="BM33" s="298"/>
      <c r="BN33" s="298"/>
      <c r="BO33" s="298"/>
    </row>
    <row r="34" spans="1:67" x14ac:dyDescent="0.15">
      <c r="A34" s="10" t="s">
        <v>4</v>
      </c>
      <c r="B34" s="10"/>
      <c r="C34" s="276"/>
      <c r="D34" s="276" t="str">
        <f t="shared" si="23"/>
        <v>No</v>
      </c>
      <c r="E34" s="276"/>
      <c r="F34" s="276"/>
      <c r="G34" s="8">
        <v>3</v>
      </c>
      <c r="H34" s="1">
        <v>110</v>
      </c>
      <c r="I34" s="10">
        <v>8</v>
      </c>
      <c r="J34" s="7" t="s">
        <v>16</v>
      </c>
      <c r="K34" s="287"/>
      <c r="L34" s="1">
        <v>764.63</v>
      </c>
      <c r="M34" s="288"/>
      <c r="N34" s="289"/>
      <c r="O34" s="1">
        <v>87</v>
      </c>
      <c r="P34" s="290">
        <f t="shared" si="4"/>
        <v>0.11378052129788263</v>
      </c>
      <c r="Q34" s="290">
        <f t="shared" si="5"/>
        <v>0</v>
      </c>
      <c r="R34" s="291">
        <f t="shared" si="6"/>
        <v>0</v>
      </c>
      <c r="S34" s="291">
        <f t="shared" si="24"/>
        <v>0</v>
      </c>
      <c r="T34" s="1">
        <v>11</v>
      </c>
      <c r="U34" s="1">
        <f t="shared" si="25"/>
        <v>1.65</v>
      </c>
      <c r="V34" s="292">
        <f t="shared" si="7"/>
        <v>26.1</v>
      </c>
      <c r="W34" s="254">
        <f t="shared" si="8"/>
        <v>792.38</v>
      </c>
      <c r="X34" s="1">
        <v>834733328.33000004</v>
      </c>
      <c r="Y34" s="1">
        <v>5497</v>
      </c>
      <c r="Z34" s="264">
        <f t="shared" si="9"/>
        <v>151852.51999999999</v>
      </c>
      <c r="AA34" s="293">
        <f t="shared" si="10"/>
        <v>0.81335000000000002</v>
      </c>
      <c r="AB34" s="1">
        <v>109844</v>
      </c>
      <c r="AC34" s="293">
        <f t="shared" si="11"/>
        <v>0.95392399999999999</v>
      </c>
      <c r="AD34" s="293">
        <f t="shared" si="12"/>
        <v>0.144478</v>
      </c>
      <c r="AE34" s="294">
        <f t="shared" si="13"/>
        <v>0.144478</v>
      </c>
      <c r="AF34" s="295">
        <f t="shared" si="26"/>
        <v>0</v>
      </c>
      <c r="AG34" s="296">
        <f t="shared" si="27"/>
        <v>0.144478</v>
      </c>
      <c r="AH34" s="1">
        <v>397</v>
      </c>
      <c r="AI34" s="1">
        <v>6</v>
      </c>
      <c r="AJ34" s="254">
        <f t="shared" si="14"/>
        <v>46.15</v>
      </c>
      <c r="AK34" s="9">
        <f t="shared" si="15"/>
        <v>18322</v>
      </c>
      <c r="AL34" s="9">
        <f t="shared" si="16"/>
        <v>1319399</v>
      </c>
      <c r="AM34" s="9">
        <f t="shared" si="17"/>
        <v>1337721</v>
      </c>
      <c r="AN34" s="9">
        <f t="shared" si="28"/>
        <v>1337721</v>
      </c>
      <c r="AO34" s="291">
        <v>2000209</v>
      </c>
      <c r="AP34" s="9">
        <f t="shared" si="29"/>
        <v>662488</v>
      </c>
      <c r="AQ34" s="297" t="str">
        <f t="shared" si="30"/>
        <v>No</v>
      </c>
      <c r="AR34" s="291">
        <v>1819759</v>
      </c>
      <c r="AS34" s="291">
        <f t="shared" si="18"/>
        <v>55185.250399999997</v>
      </c>
      <c r="AT34" s="291">
        <f t="shared" si="19"/>
        <v>1764573.7496</v>
      </c>
      <c r="AU34" s="291">
        <f t="shared" si="20"/>
        <v>1764573.7496</v>
      </c>
      <c r="AV34" s="291"/>
      <c r="AW34" s="291">
        <f t="shared" si="31"/>
        <v>1709388.4992</v>
      </c>
      <c r="AX34" s="291">
        <f t="shared" si="32"/>
        <v>1654203.2487999999</v>
      </c>
      <c r="AY34" s="291">
        <f t="shared" si="32"/>
        <v>1599017.9983999999</v>
      </c>
      <c r="AZ34" s="291">
        <f t="shared" si="32"/>
        <v>1543832.7479999999</v>
      </c>
      <c r="BA34" s="291">
        <f t="shared" si="32"/>
        <v>1488647.4975999999</v>
      </c>
      <c r="BB34" s="291">
        <f t="shared" si="32"/>
        <v>1433462.2471999999</v>
      </c>
      <c r="BC34" s="291">
        <f t="shared" si="33"/>
        <v>1337721</v>
      </c>
      <c r="BD34" s="298"/>
      <c r="BE34" s="291">
        <f t="shared" si="34"/>
        <v>1709388.4992</v>
      </c>
      <c r="BF34" s="291">
        <f t="shared" si="22"/>
        <v>1654203.2487999999</v>
      </c>
      <c r="BG34" s="291">
        <f t="shared" si="22"/>
        <v>1599017.9983999999</v>
      </c>
      <c r="BH34" s="291">
        <f t="shared" si="22"/>
        <v>1543832.7479999999</v>
      </c>
      <c r="BI34" s="291">
        <f t="shared" si="22"/>
        <v>1488647.4975999999</v>
      </c>
      <c r="BJ34" s="291">
        <f t="shared" si="22"/>
        <v>1433462.2471999999</v>
      </c>
      <c r="BK34" s="291">
        <f t="shared" si="22"/>
        <v>1337721</v>
      </c>
      <c r="BL34" s="298"/>
      <c r="BM34" s="298"/>
      <c r="BN34" s="298"/>
      <c r="BO34" s="298"/>
    </row>
    <row r="35" spans="1:67" x14ac:dyDescent="0.15">
      <c r="A35" s="10" t="s">
        <v>14</v>
      </c>
      <c r="B35" s="10"/>
      <c r="C35" s="276"/>
      <c r="D35" s="276" t="str">
        <f t="shared" si="23"/>
        <v>No</v>
      </c>
      <c r="E35" s="276"/>
      <c r="F35" s="276"/>
      <c r="G35" s="8">
        <v>4</v>
      </c>
      <c r="H35" s="1">
        <v>81</v>
      </c>
      <c r="I35" s="10">
        <v>9</v>
      </c>
      <c r="J35" s="7" t="s">
        <v>17</v>
      </c>
      <c r="K35" s="287"/>
      <c r="L35" s="1">
        <v>3118.16</v>
      </c>
      <c r="M35" s="288"/>
      <c r="N35" s="289"/>
      <c r="O35" s="1">
        <v>977</v>
      </c>
      <c r="P35" s="290">
        <f t="shared" si="4"/>
        <v>0.31332580752751626</v>
      </c>
      <c r="Q35" s="290">
        <f t="shared" si="5"/>
        <v>0</v>
      </c>
      <c r="R35" s="291">
        <f t="shared" si="6"/>
        <v>0</v>
      </c>
      <c r="S35" s="291">
        <f t="shared" si="24"/>
        <v>0</v>
      </c>
      <c r="T35" s="1">
        <v>208</v>
      </c>
      <c r="U35" s="1">
        <f t="shared" si="25"/>
        <v>31.2</v>
      </c>
      <c r="V35" s="292">
        <f t="shared" si="7"/>
        <v>293.10000000000002</v>
      </c>
      <c r="W35" s="254">
        <f t="shared" si="8"/>
        <v>3442.4599999999996</v>
      </c>
      <c r="X35" s="1">
        <v>2857037313</v>
      </c>
      <c r="Y35" s="1">
        <v>19802</v>
      </c>
      <c r="Z35" s="264">
        <f t="shared" si="9"/>
        <v>144280.24</v>
      </c>
      <c r="AA35" s="293">
        <f t="shared" si="10"/>
        <v>0.77279100000000001</v>
      </c>
      <c r="AB35" s="1">
        <v>97289</v>
      </c>
      <c r="AC35" s="293">
        <f t="shared" si="11"/>
        <v>0.84489199999999998</v>
      </c>
      <c r="AD35" s="293">
        <f t="shared" si="12"/>
        <v>0.20557900000000001</v>
      </c>
      <c r="AE35" s="294">
        <f t="shared" si="13"/>
        <v>0.20557900000000001</v>
      </c>
      <c r="AF35" s="295">
        <f t="shared" si="26"/>
        <v>0</v>
      </c>
      <c r="AG35" s="296">
        <f t="shared" si="27"/>
        <v>0.20557900000000001</v>
      </c>
      <c r="AH35" s="1">
        <v>0</v>
      </c>
      <c r="AI35" s="1">
        <v>0</v>
      </c>
      <c r="AJ35" s="254">
        <f t="shared" si="14"/>
        <v>0</v>
      </c>
      <c r="AK35" s="9">
        <f t="shared" si="15"/>
        <v>0</v>
      </c>
      <c r="AL35" s="9">
        <f t="shared" si="16"/>
        <v>8156214</v>
      </c>
      <c r="AM35" s="9">
        <f t="shared" si="17"/>
        <v>8156214</v>
      </c>
      <c r="AN35" s="9">
        <f t="shared" si="28"/>
        <v>8156214</v>
      </c>
      <c r="AO35" s="291">
        <v>8087732</v>
      </c>
      <c r="AP35" s="9">
        <f t="shared" si="29"/>
        <v>68482</v>
      </c>
      <c r="AQ35" s="297" t="str">
        <f t="shared" si="30"/>
        <v>Yes</v>
      </c>
      <c r="AR35" s="291">
        <v>7873429</v>
      </c>
      <c r="AS35" s="291">
        <f t="shared" si="18"/>
        <v>7300.1812</v>
      </c>
      <c r="AT35" s="291">
        <f t="shared" si="19"/>
        <v>7880729.1812000005</v>
      </c>
      <c r="AU35" s="291">
        <f t="shared" si="20"/>
        <v>7880729.1812000005</v>
      </c>
      <c r="AV35" s="291"/>
      <c r="AW35" s="291">
        <f t="shared" si="31"/>
        <v>7888029.3624000009</v>
      </c>
      <c r="AX35" s="291">
        <f t="shared" si="32"/>
        <v>7895329.5436000014</v>
      </c>
      <c r="AY35" s="291">
        <f t="shared" si="32"/>
        <v>7902629.7248000018</v>
      </c>
      <c r="AZ35" s="291">
        <f t="shared" si="32"/>
        <v>7909929.9060000023</v>
      </c>
      <c r="BA35" s="291">
        <f t="shared" si="32"/>
        <v>7917230.0872000027</v>
      </c>
      <c r="BB35" s="291">
        <f t="shared" si="32"/>
        <v>7924530.2684000032</v>
      </c>
      <c r="BC35" s="291">
        <f t="shared" si="33"/>
        <v>8156214</v>
      </c>
      <c r="BD35" s="298"/>
      <c r="BE35" s="291">
        <f t="shared" si="34"/>
        <v>7888029.3624000009</v>
      </c>
      <c r="BF35" s="291">
        <f t="shared" si="22"/>
        <v>7895329.5436000014</v>
      </c>
      <c r="BG35" s="291">
        <f t="shared" si="22"/>
        <v>7902629.7248000018</v>
      </c>
      <c r="BH35" s="291">
        <f t="shared" si="22"/>
        <v>7909929.9060000023</v>
      </c>
      <c r="BI35" s="291">
        <f t="shared" si="22"/>
        <v>7917230.0872000027</v>
      </c>
      <c r="BJ35" s="291">
        <f t="shared" si="22"/>
        <v>7924530.2684000032</v>
      </c>
      <c r="BK35" s="291">
        <f t="shared" si="22"/>
        <v>8156214</v>
      </c>
      <c r="BL35" s="298"/>
      <c r="BM35" s="298"/>
      <c r="BN35" s="298"/>
      <c r="BO35" s="298"/>
    </row>
    <row r="36" spans="1:67" x14ac:dyDescent="0.15">
      <c r="A36" s="10" t="s">
        <v>4</v>
      </c>
      <c r="B36" s="10"/>
      <c r="C36" s="276"/>
      <c r="D36" s="276" t="str">
        <f t="shared" si="23"/>
        <v>No</v>
      </c>
      <c r="E36" s="276"/>
      <c r="F36" s="276"/>
      <c r="G36" s="8">
        <v>5</v>
      </c>
      <c r="H36" s="1">
        <v>116</v>
      </c>
      <c r="I36" s="10">
        <v>10</v>
      </c>
      <c r="J36" s="7" t="s">
        <v>18</v>
      </c>
      <c r="K36" s="287"/>
      <c r="L36" s="1">
        <v>357.43</v>
      </c>
      <c r="M36" s="288"/>
      <c r="N36" s="289"/>
      <c r="O36" s="1">
        <v>82</v>
      </c>
      <c r="P36" s="290">
        <f t="shared" si="4"/>
        <v>0.2294155498978821</v>
      </c>
      <c r="Q36" s="290">
        <f t="shared" si="5"/>
        <v>0</v>
      </c>
      <c r="R36" s="291">
        <f t="shared" si="6"/>
        <v>0</v>
      </c>
      <c r="S36" s="291">
        <f t="shared" si="24"/>
        <v>0</v>
      </c>
      <c r="T36" s="1">
        <v>1</v>
      </c>
      <c r="U36" s="1">
        <f t="shared" si="25"/>
        <v>0.15</v>
      </c>
      <c r="V36" s="292">
        <f t="shared" si="7"/>
        <v>24.6</v>
      </c>
      <c r="W36" s="254">
        <f t="shared" si="8"/>
        <v>382.18</v>
      </c>
      <c r="X36" s="1">
        <v>513990235.32999998</v>
      </c>
      <c r="Y36" s="1">
        <v>3439</v>
      </c>
      <c r="Z36" s="264">
        <f t="shared" si="9"/>
        <v>149459.21</v>
      </c>
      <c r="AA36" s="293">
        <f t="shared" si="10"/>
        <v>0.80053099999999999</v>
      </c>
      <c r="AB36" s="1">
        <v>91712</v>
      </c>
      <c r="AC36" s="293">
        <f t="shared" si="11"/>
        <v>0.79645999999999995</v>
      </c>
      <c r="AD36" s="293">
        <f t="shared" si="12"/>
        <v>0.20069000000000001</v>
      </c>
      <c r="AE36" s="294">
        <f t="shared" si="13"/>
        <v>0.20069000000000001</v>
      </c>
      <c r="AF36" s="295">
        <f t="shared" si="26"/>
        <v>0</v>
      </c>
      <c r="AG36" s="296">
        <f t="shared" si="27"/>
        <v>0.20069000000000001</v>
      </c>
      <c r="AH36" s="1">
        <v>354</v>
      </c>
      <c r="AI36" s="1">
        <v>13</v>
      </c>
      <c r="AJ36" s="254">
        <f t="shared" si="14"/>
        <v>100</v>
      </c>
      <c r="AK36" s="9">
        <f t="shared" si="15"/>
        <v>35400</v>
      </c>
      <c r="AL36" s="9">
        <f t="shared" si="16"/>
        <v>883964</v>
      </c>
      <c r="AM36" s="9">
        <f t="shared" si="17"/>
        <v>919364</v>
      </c>
      <c r="AN36" s="9">
        <f t="shared" si="28"/>
        <v>919364</v>
      </c>
      <c r="AO36" s="291">
        <v>1278838</v>
      </c>
      <c r="AP36" s="9">
        <f t="shared" si="29"/>
        <v>359474</v>
      </c>
      <c r="AQ36" s="297" t="str">
        <f t="shared" si="30"/>
        <v>No</v>
      </c>
      <c r="AR36" s="291">
        <v>1158471</v>
      </c>
      <c r="AS36" s="291">
        <f t="shared" si="18"/>
        <v>29944.1842</v>
      </c>
      <c r="AT36" s="291">
        <f t="shared" si="19"/>
        <v>1128526.8158</v>
      </c>
      <c r="AU36" s="291">
        <f t="shared" si="20"/>
        <v>1128526.8158</v>
      </c>
      <c r="AV36" s="291"/>
      <c r="AW36" s="291">
        <f t="shared" si="31"/>
        <v>1098582.6316</v>
      </c>
      <c r="AX36" s="291">
        <f t="shared" si="32"/>
        <v>1068638.4473999999</v>
      </c>
      <c r="AY36" s="291">
        <f t="shared" si="32"/>
        <v>1038694.2631999999</v>
      </c>
      <c r="AZ36" s="291">
        <f t="shared" si="32"/>
        <v>1008750.0789999999</v>
      </c>
      <c r="BA36" s="291">
        <f t="shared" si="32"/>
        <v>978805.89479999989</v>
      </c>
      <c r="BB36" s="291">
        <f t="shared" si="32"/>
        <v>948861.71059999987</v>
      </c>
      <c r="BC36" s="291">
        <f t="shared" si="33"/>
        <v>919364</v>
      </c>
      <c r="BD36" s="298"/>
      <c r="BE36" s="291">
        <f t="shared" si="34"/>
        <v>1098582.6316</v>
      </c>
      <c r="BF36" s="291">
        <f t="shared" si="22"/>
        <v>1068638.4473999999</v>
      </c>
      <c r="BG36" s="291">
        <f t="shared" si="22"/>
        <v>1038694.2631999999</v>
      </c>
      <c r="BH36" s="291">
        <f t="shared" si="22"/>
        <v>1008750.0789999999</v>
      </c>
      <c r="BI36" s="291">
        <f t="shared" si="22"/>
        <v>978805.89479999989</v>
      </c>
      <c r="BJ36" s="291">
        <f t="shared" si="22"/>
        <v>948861.71059999987</v>
      </c>
      <c r="BK36" s="291">
        <f t="shared" si="22"/>
        <v>919364</v>
      </c>
      <c r="BL36" s="298"/>
      <c r="BM36" s="298"/>
      <c r="BN36" s="298"/>
      <c r="BO36" s="298"/>
    </row>
    <row r="37" spans="1:67" x14ac:dyDescent="0.15">
      <c r="A37" s="10" t="s">
        <v>19</v>
      </c>
      <c r="B37" s="10"/>
      <c r="C37" s="276">
        <v>1</v>
      </c>
      <c r="D37" s="276" t="str">
        <f t="shared" si="23"/>
        <v>Yes</v>
      </c>
      <c r="E37" s="276">
        <v>1</v>
      </c>
      <c r="F37" s="276"/>
      <c r="G37" s="8">
        <v>6</v>
      </c>
      <c r="H37" s="1">
        <v>36</v>
      </c>
      <c r="I37" s="10">
        <v>11</v>
      </c>
      <c r="J37" s="7" t="s">
        <v>20</v>
      </c>
      <c r="K37" s="287"/>
      <c r="L37" s="1">
        <v>2335.6999999999998</v>
      </c>
      <c r="M37" s="300"/>
      <c r="N37" s="289"/>
      <c r="O37" s="1">
        <v>1318</v>
      </c>
      <c r="P37" s="290">
        <f t="shared" si="4"/>
        <v>0.56428479684891042</v>
      </c>
      <c r="Q37" s="290">
        <f t="shared" si="5"/>
        <v>0</v>
      </c>
      <c r="R37" s="291">
        <f t="shared" si="6"/>
        <v>0</v>
      </c>
      <c r="S37" s="291">
        <f t="shared" si="24"/>
        <v>0</v>
      </c>
      <c r="T37" s="1">
        <v>63</v>
      </c>
      <c r="U37" s="1">
        <f t="shared" si="25"/>
        <v>9.4499999999999993</v>
      </c>
      <c r="V37" s="292">
        <f t="shared" si="7"/>
        <v>395.4</v>
      </c>
      <c r="W37" s="254">
        <f t="shared" si="8"/>
        <v>2740.5499999999997</v>
      </c>
      <c r="X37" s="1">
        <v>3028045743.3299999</v>
      </c>
      <c r="Y37" s="1">
        <v>21406</v>
      </c>
      <c r="Z37" s="264">
        <f t="shared" si="9"/>
        <v>141457.79999999999</v>
      </c>
      <c r="AA37" s="293">
        <f t="shared" si="10"/>
        <v>0.75767399999999996</v>
      </c>
      <c r="AB37" s="1">
        <v>73593</v>
      </c>
      <c r="AC37" s="293">
        <f t="shared" si="11"/>
        <v>0.63910800000000001</v>
      </c>
      <c r="AD37" s="293">
        <f t="shared" si="12"/>
        <v>0.27789599999999998</v>
      </c>
      <c r="AE37" s="294">
        <f t="shared" si="13"/>
        <v>0.27789599999999998</v>
      </c>
      <c r="AF37" s="295">
        <f t="shared" si="26"/>
        <v>0</v>
      </c>
      <c r="AG37" s="296">
        <f t="shared" si="27"/>
        <v>0.27789599999999998</v>
      </c>
      <c r="AH37" s="1">
        <v>0</v>
      </c>
      <c r="AI37" s="1">
        <v>0</v>
      </c>
      <c r="AJ37" s="254">
        <f t="shared" si="14"/>
        <v>0</v>
      </c>
      <c r="AK37" s="9">
        <f t="shared" si="15"/>
        <v>0</v>
      </c>
      <c r="AL37" s="9">
        <f t="shared" si="16"/>
        <v>8777300</v>
      </c>
      <c r="AM37" s="9">
        <f t="shared" si="17"/>
        <v>8777300</v>
      </c>
      <c r="AN37" s="9">
        <f t="shared" si="28"/>
        <v>8777300</v>
      </c>
      <c r="AO37" s="291">
        <v>6160837</v>
      </c>
      <c r="AP37" s="9">
        <f t="shared" si="29"/>
        <v>2616463</v>
      </c>
      <c r="AQ37" s="297" t="str">
        <f t="shared" si="30"/>
        <v>Yes</v>
      </c>
      <c r="AR37" s="291">
        <v>6421768</v>
      </c>
      <c r="AS37" s="291">
        <f t="shared" si="18"/>
        <v>278914.9558</v>
      </c>
      <c r="AT37" s="291">
        <f t="shared" si="19"/>
        <v>6700682.9557999996</v>
      </c>
      <c r="AU37" s="291">
        <f t="shared" si="20"/>
        <v>6700682.9557999996</v>
      </c>
      <c r="AV37" s="291"/>
      <c r="AW37" s="291">
        <f t="shared" si="31"/>
        <v>6979597.9115999993</v>
      </c>
      <c r="AX37" s="291">
        <f t="shared" si="32"/>
        <v>7258512.8673999989</v>
      </c>
      <c r="AY37" s="291">
        <f t="shared" si="32"/>
        <v>7537427.8231999986</v>
      </c>
      <c r="AZ37" s="291">
        <f t="shared" si="32"/>
        <v>7816342.7789999982</v>
      </c>
      <c r="BA37" s="291">
        <f t="shared" si="32"/>
        <v>8095257.7347999979</v>
      </c>
      <c r="BB37" s="291">
        <f t="shared" si="32"/>
        <v>8374172.6905999975</v>
      </c>
      <c r="BC37" s="291">
        <f t="shared" si="33"/>
        <v>8777300</v>
      </c>
      <c r="BD37" s="298"/>
      <c r="BE37" s="291">
        <f t="shared" si="34"/>
        <v>6979597.9115999993</v>
      </c>
      <c r="BF37" s="291">
        <f t="shared" si="22"/>
        <v>7258512.8673999989</v>
      </c>
      <c r="BG37" s="291">
        <f t="shared" si="22"/>
        <v>7537427.8231999986</v>
      </c>
      <c r="BH37" s="291">
        <f t="shared" si="22"/>
        <v>7816342.7789999982</v>
      </c>
      <c r="BI37" s="291">
        <f t="shared" si="22"/>
        <v>8095257.7347999979</v>
      </c>
      <c r="BJ37" s="291">
        <f t="shared" si="22"/>
        <v>8374172.6905999975</v>
      </c>
      <c r="BK37" s="291">
        <f t="shared" si="22"/>
        <v>8777300</v>
      </c>
      <c r="BL37" s="298"/>
      <c r="BM37" s="298"/>
      <c r="BN37" s="298"/>
      <c r="BO37" s="298"/>
    </row>
    <row r="38" spans="1:67" x14ac:dyDescent="0.15">
      <c r="A38" s="10" t="s">
        <v>4</v>
      </c>
      <c r="B38" s="10"/>
      <c r="C38" s="276"/>
      <c r="D38" s="276" t="str">
        <f t="shared" si="23"/>
        <v>No</v>
      </c>
      <c r="E38" s="276"/>
      <c r="F38" s="276"/>
      <c r="G38" s="8">
        <v>5</v>
      </c>
      <c r="H38" s="1">
        <v>115</v>
      </c>
      <c r="I38" s="10">
        <v>12</v>
      </c>
      <c r="J38" s="7" t="s">
        <v>21</v>
      </c>
      <c r="K38" s="287"/>
      <c r="L38" s="1">
        <v>714.56</v>
      </c>
      <c r="M38" s="288"/>
      <c r="N38" s="289"/>
      <c r="O38" s="1">
        <v>134</v>
      </c>
      <c r="P38" s="290">
        <f t="shared" si="4"/>
        <v>0.18752798925212719</v>
      </c>
      <c r="Q38" s="290">
        <f t="shared" si="5"/>
        <v>0</v>
      </c>
      <c r="R38" s="291">
        <f t="shared" si="6"/>
        <v>0</v>
      </c>
      <c r="S38" s="291">
        <f t="shared" si="24"/>
        <v>0</v>
      </c>
      <c r="T38" s="1">
        <v>6</v>
      </c>
      <c r="U38" s="1">
        <f t="shared" si="25"/>
        <v>0.89999999999999991</v>
      </c>
      <c r="V38" s="292">
        <f t="shared" si="7"/>
        <v>40.200000000000003</v>
      </c>
      <c r="W38" s="254">
        <f t="shared" si="8"/>
        <v>755.66</v>
      </c>
      <c r="X38" s="1">
        <v>630105313</v>
      </c>
      <c r="Y38" s="1">
        <v>4916</v>
      </c>
      <c r="Z38" s="264">
        <f t="shared" si="9"/>
        <v>128174.39</v>
      </c>
      <c r="AA38" s="293">
        <f t="shared" si="10"/>
        <v>0.68652500000000005</v>
      </c>
      <c r="AB38" s="1">
        <v>101667</v>
      </c>
      <c r="AC38" s="293">
        <f t="shared" si="11"/>
        <v>0.88291200000000003</v>
      </c>
      <c r="AD38" s="293">
        <f t="shared" si="12"/>
        <v>0.25455899999999998</v>
      </c>
      <c r="AE38" s="294">
        <f t="shared" si="13"/>
        <v>0.25455899999999998</v>
      </c>
      <c r="AF38" s="295">
        <f t="shared" si="26"/>
        <v>0</v>
      </c>
      <c r="AG38" s="296">
        <f t="shared" si="27"/>
        <v>0.25455899999999998</v>
      </c>
      <c r="AH38" s="1">
        <v>0</v>
      </c>
      <c r="AI38" s="1">
        <v>0</v>
      </c>
      <c r="AJ38" s="254">
        <f t="shared" si="14"/>
        <v>0</v>
      </c>
      <c r="AK38" s="9">
        <f t="shared" si="15"/>
        <v>0</v>
      </c>
      <c r="AL38" s="9">
        <f t="shared" si="16"/>
        <v>2216950</v>
      </c>
      <c r="AM38" s="9">
        <f t="shared" si="17"/>
        <v>2216950</v>
      </c>
      <c r="AN38" s="9">
        <f t="shared" si="28"/>
        <v>2216950</v>
      </c>
      <c r="AO38" s="291">
        <v>2983350</v>
      </c>
      <c r="AP38" s="9">
        <f t="shared" si="29"/>
        <v>766400</v>
      </c>
      <c r="AQ38" s="297" t="str">
        <f t="shared" si="30"/>
        <v>No</v>
      </c>
      <c r="AR38" s="291">
        <v>2747057</v>
      </c>
      <c r="AS38" s="291">
        <f t="shared" si="18"/>
        <v>63841.120000000003</v>
      </c>
      <c r="AT38" s="291">
        <f t="shared" si="19"/>
        <v>2683215.88</v>
      </c>
      <c r="AU38" s="291">
        <f t="shared" si="20"/>
        <v>2683215.88</v>
      </c>
      <c r="AV38" s="291"/>
      <c r="AW38" s="291">
        <f t="shared" si="31"/>
        <v>2619374.7599999998</v>
      </c>
      <c r="AX38" s="291">
        <f t="shared" si="32"/>
        <v>2555533.6399999997</v>
      </c>
      <c r="AY38" s="291">
        <f t="shared" si="32"/>
        <v>2491692.5199999996</v>
      </c>
      <c r="AZ38" s="291">
        <f t="shared" si="32"/>
        <v>2427851.3999999994</v>
      </c>
      <c r="BA38" s="291">
        <f t="shared" si="32"/>
        <v>2364010.2799999993</v>
      </c>
      <c r="BB38" s="291">
        <f t="shared" si="32"/>
        <v>2300169.1599999992</v>
      </c>
      <c r="BC38" s="291">
        <f t="shared" si="33"/>
        <v>2216950</v>
      </c>
      <c r="BD38" s="298"/>
      <c r="BE38" s="291">
        <f t="shared" si="34"/>
        <v>2619374.7599999998</v>
      </c>
      <c r="BF38" s="291">
        <f t="shared" si="22"/>
        <v>2555533.6399999997</v>
      </c>
      <c r="BG38" s="291">
        <f t="shared" si="22"/>
        <v>2491692.5199999996</v>
      </c>
      <c r="BH38" s="291">
        <f t="shared" si="22"/>
        <v>2427851.3999999994</v>
      </c>
      <c r="BI38" s="291">
        <f t="shared" si="22"/>
        <v>2364010.2799999993</v>
      </c>
      <c r="BJ38" s="291">
        <f t="shared" si="22"/>
        <v>2300169.1599999992</v>
      </c>
      <c r="BK38" s="291">
        <f t="shared" si="22"/>
        <v>2216950</v>
      </c>
      <c r="BL38" s="298"/>
      <c r="BM38" s="298"/>
      <c r="BN38" s="298"/>
      <c r="BO38" s="298"/>
    </row>
    <row r="39" spans="1:67" x14ac:dyDescent="0.15">
      <c r="A39" s="10" t="s">
        <v>8</v>
      </c>
      <c r="B39" s="10"/>
      <c r="C39" s="276"/>
      <c r="D39" s="276" t="str">
        <f t="shared" si="23"/>
        <v>No</v>
      </c>
      <c r="E39" s="276"/>
      <c r="F39" s="276"/>
      <c r="G39" s="8">
        <v>7</v>
      </c>
      <c r="H39" s="1">
        <v>59</v>
      </c>
      <c r="I39" s="10">
        <v>13</v>
      </c>
      <c r="J39" s="7" t="s">
        <v>22</v>
      </c>
      <c r="K39" s="287"/>
      <c r="L39" s="1">
        <v>267.95</v>
      </c>
      <c r="M39" s="288"/>
      <c r="N39" s="289"/>
      <c r="O39" s="1">
        <v>93</v>
      </c>
      <c r="P39" s="290">
        <f t="shared" si="4"/>
        <v>0.34707967904459791</v>
      </c>
      <c r="Q39" s="290">
        <f t="shared" si="5"/>
        <v>0</v>
      </c>
      <c r="R39" s="291">
        <f t="shared" si="6"/>
        <v>0</v>
      </c>
      <c r="S39" s="291">
        <f t="shared" si="24"/>
        <v>0</v>
      </c>
      <c r="T39" s="1">
        <v>4</v>
      </c>
      <c r="U39" s="1">
        <f t="shared" si="25"/>
        <v>0.6</v>
      </c>
      <c r="V39" s="292">
        <f t="shared" si="7"/>
        <v>27.9</v>
      </c>
      <c r="W39" s="254">
        <f t="shared" si="8"/>
        <v>296.45</v>
      </c>
      <c r="X39" s="1">
        <v>333806423</v>
      </c>
      <c r="Y39" s="1">
        <v>2563</v>
      </c>
      <c r="Z39" s="264">
        <f t="shared" si="9"/>
        <v>130240.51</v>
      </c>
      <c r="AA39" s="293">
        <f t="shared" si="10"/>
        <v>0.69759199999999999</v>
      </c>
      <c r="AB39" s="1">
        <v>82500</v>
      </c>
      <c r="AC39" s="293">
        <f t="shared" si="11"/>
        <v>0.71645899999999996</v>
      </c>
      <c r="AD39" s="293">
        <f t="shared" si="12"/>
        <v>0.29674800000000001</v>
      </c>
      <c r="AE39" s="294">
        <f t="shared" si="13"/>
        <v>0.29674800000000001</v>
      </c>
      <c r="AF39" s="295">
        <f t="shared" si="26"/>
        <v>0</v>
      </c>
      <c r="AG39" s="296">
        <f t="shared" si="27"/>
        <v>0.29674800000000001</v>
      </c>
      <c r="AH39" s="1">
        <v>0</v>
      </c>
      <c r="AI39" s="1">
        <v>0</v>
      </c>
      <c r="AJ39" s="254">
        <f t="shared" si="14"/>
        <v>0</v>
      </c>
      <c r="AK39" s="9">
        <f t="shared" si="15"/>
        <v>0</v>
      </c>
      <c r="AL39" s="9">
        <f t="shared" si="16"/>
        <v>1013865</v>
      </c>
      <c r="AM39" s="9">
        <f t="shared" si="17"/>
        <v>1013865</v>
      </c>
      <c r="AN39" s="9">
        <f t="shared" si="28"/>
        <v>1013865</v>
      </c>
      <c r="AO39" s="291">
        <v>1223830</v>
      </c>
      <c r="AP39" s="9">
        <f t="shared" si="29"/>
        <v>209965</v>
      </c>
      <c r="AQ39" s="297" t="str">
        <f t="shared" si="30"/>
        <v>No</v>
      </c>
      <c r="AR39" s="291">
        <v>1207585</v>
      </c>
      <c r="AS39" s="291">
        <f t="shared" si="18"/>
        <v>17490.084500000001</v>
      </c>
      <c r="AT39" s="291">
        <f t="shared" si="19"/>
        <v>1190094.9154999999</v>
      </c>
      <c r="AU39" s="291">
        <f t="shared" si="20"/>
        <v>1190094.9154999999</v>
      </c>
      <c r="AV39" s="291"/>
      <c r="AW39" s="291">
        <f t="shared" si="31"/>
        <v>1172604.8309999998</v>
      </c>
      <c r="AX39" s="291">
        <f t="shared" si="32"/>
        <v>1155114.7464999997</v>
      </c>
      <c r="AY39" s="291">
        <f t="shared" si="32"/>
        <v>1137624.6619999995</v>
      </c>
      <c r="AZ39" s="291">
        <f t="shared" si="32"/>
        <v>1120134.5774999994</v>
      </c>
      <c r="BA39" s="291">
        <f t="shared" si="32"/>
        <v>1102644.4929999993</v>
      </c>
      <c r="BB39" s="291">
        <f t="shared" si="32"/>
        <v>1085154.4084999992</v>
      </c>
      <c r="BC39" s="291">
        <f t="shared" si="33"/>
        <v>1013865</v>
      </c>
      <c r="BD39" s="298"/>
      <c r="BE39" s="291">
        <f t="shared" si="34"/>
        <v>1172604.8309999998</v>
      </c>
      <c r="BF39" s="291">
        <f t="shared" si="22"/>
        <v>1155114.7464999997</v>
      </c>
      <c r="BG39" s="291">
        <f t="shared" si="22"/>
        <v>1137624.6619999995</v>
      </c>
      <c r="BH39" s="291">
        <f t="shared" si="22"/>
        <v>1120134.5774999994</v>
      </c>
      <c r="BI39" s="291">
        <f t="shared" si="22"/>
        <v>1102644.4929999993</v>
      </c>
      <c r="BJ39" s="291">
        <f t="shared" si="22"/>
        <v>1085154.4084999992</v>
      </c>
      <c r="BK39" s="291">
        <f t="shared" si="22"/>
        <v>1013865</v>
      </c>
      <c r="BL39" s="298"/>
      <c r="BM39" s="298"/>
      <c r="BN39" s="298"/>
      <c r="BO39" s="298"/>
    </row>
    <row r="40" spans="1:67" x14ac:dyDescent="0.15">
      <c r="A40" s="10" t="s">
        <v>14</v>
      </c>
      <c r="B40" s="10"/>
      <c r="C40" s="276"/>
      <c r="D40" s="276" t="str">
        <f t="shared" si="23"/>
        <v>No</v>
      </c>
      <c r="E40" s="276"/>
      <c r="F40" s="276"/>
      <c r="G40" s="8">
        <v>4</v>
      </c>
      <c r="H40" s="1">
        <v>105</v>
      </c>
      <c r="I40" s="10">
        <v>14</v>
      </c>
      <c r="J40" s="7" t="s">
        <v>23</v>
      </c>
      <c r="K40" s="287"/>
      <c r="L40" s="1">
        <v>2829.03</v>
      </c>
      <c r="M40" s="288"/>
      <c r="N40" s="289"/>
      <c r="O40" s="1">
        <v>991</v>
      </c>
      <c r="P40" s="290">
        <f t="shared" si="4"/>
        <v>0.35029674482066286</v>
      </c>
      <c r="Q40" s="290">
        <f t="shared" si="5"/>
        <v>0</v>
      </c>
      <c r="R40" s="291">
        <f t="shared" si="6"/>
        <v>0</v>
      </c>
      <c r="S40" s="291">
        <f t="shared" si="24"/>
        <v>0</v>
      </c>
      <c r="T40" s="1">
        <v>152</v>
      </c>
      <c r="U40" s="1">
        <f t="shared" si="25"/>
        <v>22.8</v>
      </c>
      <c r="V40" s="292">
        <f t="shared" si="7"/>
        <v>297.3</v>
      </c>
      <c r="W40" s="254">
        <f t="shared" si="8"/>
        <v>3149.1300000000006</v>
      </c>
      <c r="X40" s="1">
        <v>5306354915</v>
      </c>
      <c r="Y40" s="1">
        <v>28111</v>
      </c>
      <c r="Z40" s="264">
        <f t="shared" si="9"/>
        <v>188764.36</v>
      </c>
      <c r="AA40" s="293">
        <f t="shared" si="10"/>
        <v>1.011056</v>
      </c>
      <c r="AB40" s="1">
        <v>75366</v>
      </c>
      <c r="AC40" s="293">
        <f t="shared" si="11"/>
        <v>0.654505</v>
      </c>
      <c r="AD40" s="293">
        <f t="shared" si="12"/>
        <v>9.5908999999999994E-2</v>
      </c>
      <c r="AE40" s="294">
        <f t="shared" si="13"/>
        <v>9.5908999999999994E-2</v>
      </c>
      <c r="AF40" s="295">
        <f t="shared" si="26"/>
        <v>0</v>
      </c>
      <c r="AG40" s="296">
        <f t="shared" si="27"/>
        <v>9.5908999999999994E-2</v>
      </c>
      <c r="AH40" s="1">
        <v>0</v>
      </c>
      <c r="AI40" s="1">
        <v>0</v>
      </c>
      <c r="AJ40" s="254">
        <f t="shared" si="14"/>
        <v>0</v>
      </c>
      <c r="AK40" s="9">
        <f t="shared" si="15"/>
        <v>0</v>
      </c>
      <c r="AL40" s="9">
        <f t="shared" si="16"/>
        <v>3480895</v>
      </c>
      <c r="AM40" s="9">
        <f t="shared" si="17"/>
        <v>3480895</v>
      </c>
      <c r="AN40" s="9">
        <f t="shared" si="28"/>
        <v>3480895</v>
      </c>
      <c r="AO40" s="291">
        <v>2211848</v>
      </c>
      <c r="AP40" s="9">
        <f t="shared" si="29"/>
        <v>1269047</v>
      </c>
      <c r="AQ40" s="297" t="str">
        <f t="shared" si="30"/>
        <v>Yes</v>
      </c>
      <c r="AR40" s="291">
        <v>2483807</v>
      </c>
      <c r="AS40" s="291">
        <f t="shared" si="18"/>
        <v>135280.41020000001</v>
      </c>
      <c r="AT40" s="291">
        <f t="shared" si="19"/>
        <v>2619087.4101999998</v>
      </c>
      <c r="AU40" s="291">
        <f t="shared" si="20"/>
        <v>2619087.4101999998</v>
      </c>
      <c r="AV40" s="291"/>
      <c r="AW40" s="291">
        <f t="shared" si="31"/>
        <v>2754367.8203999996</v>
      </c>
      <c r="AX40" s="291">
        <f t="shared" si="32"/>
        <v>2889648.2305999994</v>
      </c>
      <c r="AY40" s="291">
        <f t="shared" si="32"/>
        <v>3024928.6407999992</v>
      </c>
      <c r="AZ40" s="291">
        <f t="shared" si="32"/>
        <v>3160209.050999999</v>
      </c>
      <c r="BA40" s="291">
        <f t="shared" si="32"/>
        <v>3295489.4611999989</v>
      </c>
      <c r="BB40" s="291">
        <f t="shared" si="32"/>
        <v>3430769.8713999987</v>
      </c>
      <c r="BC40" s="291">
        <f t="shared" si="33"/>
        <v>3480895</v>
      </c>
      <c r="BD40" s="298"/>
      <c r="BE40" s="291">
        <f t="shared" si="34"/>
        <v>2754367.8203999996</v>
      </c>
      <c r="BF40" s="291">
        <f t="shared" si="22"/>
        <v>2889648.2305999994</v>
      </c>
      <c r="BG40" s="291">
        <f t="shared" si="22"/>
        <v>3024928.6407999992</v>
      </c>
      <c r="BH40" s="291">
        <f t="shared" si="22"/>
        <v>3160209.050999999</v>
      </c>
      <c r="BI40" s="291">
        <f t="shared" si="22"/>
        <v>3295489.4611999989</v>
      </c>
      <c r="BJ40" s="291">
        <f t="shared" si="22"/>
        <v>3430769.8713999987</v>
      </c>
      <c r="BK40" s="291">
        <f t="shared" si="22"/>
        <v>3480895</v>
      </c>
      <c r="BL40" s="298"/>
      <c r="BM40" s="298"/>
      <c r="BN40" s="298"/>
      <c r="BO40" s="298"/>
    </row>
    <row r="41" spans="1:67" x14ac:dyDescent="0.15">
      <c r="A41" s="10" t="s">
        <v>24</v>
      </c>
      <c r="B41" s="10">
        <v>1</v>
      </c>
      <c r="C41" s="276">
        <v>1</v>
      </c>
      <c r="D41" s="276" t="str">
        <f t="shared" si="23"/>
        <v>Yes</v>
      </c>
      <c r="E41" s="276">
        <v>0</v>
      </c>
      <c r="F41" s="276">
        <v>1</v>
      </c>
      <c r="G41" s="8">
        <v>10</v>
      </c>
      <c r="H41" s="1">
        <v>4</v>
      </c>
      <c r="I41" s="10">
        <v>15</v>
      </c>
      <c r="J41" s="7" t="s">
        <v>25</v>
      </c>
      <c r="K41" s="287"/>
      <c r="L41" s="1">
        <v>20066.78</v>
      </c>
      <c r="M41" s="300"/>
      <c r="N41" s="289"/>
      <c r="O41" s="1">
        <v>14397</v>
      </c>
      <c r="P41" s="290">
        <f t="shared" si="4"/>
        <v>0.71745441969264634</v>
      </c>
      <c r="Q41" s="290">
        <f t="shared" si="5"/>
        <v>0</v>
      </c>
      <c r="R41" s="291">
        <f t="shared" si="6"/>
        <v>0</v>
      </c>
      <c r="S41" s="291">
        <f t="shared" si="24"/>
        <v>0</v>
      </c>
      <c r="T41" s="1">
        <v>4158</v>
      </c>
      <c r="U41" s="1">
        <f t="shared" si="25"/>
        <v>623.69999999999993</v>
      </c>
      <c r="V41" s="292">
        <f t="shared" si="7"/>
        <v>4319.1000000000004</v>
      </c>
      <c r="W41" s="254">
        <f t="shared" si="8"/>
        <v>25009.579999999998</v>
      </c>
      <c r="X41" s="1">
        <v>9352629810.6700001</v>
      </c>
      <c r="Y41" s="1">
        <v>146579</v>
      </c>
      <c r="Z41" s="264">
        <f t="shared" si="9"/>
        <v>63806.07</v>
      </c>
      <c r="AA41" s="293">
        <f t="shared" si="10"/>
        <v>0.34175699999999998</v>
      </c>
      <c r="AB41" s="1">
        <v>44841</v>
      </c>
      <c r="AC41" s="293">
        <f t="shared" si="11"/>
        <v>0.38941500000000001</v>
      </c>
      <c r="AD41" s="293">
        <f t="shared" si="12"/>
        <v>0.64394600000000002</v>
      </c>
      <c r="AE41" s="294">
        <f t="shared" si="13"/>
        <v>0.64394600000000002</v>
      </c>
      <c r="AF41" s="295">
        <f t="shared" si="26"/>
        <v>0.06</v>
      </c>
      <c r="AG41" s="296">
        <f t="shared" si="27"/>
        <v>0.70394599999999996</v>
      </c>
      <c r="AH41" s="1">
        <v>0</v>
      </c>
      <c r="AI41" s="1">
        <v>0</v>
      </c>
      <c r="AJ41" s="254">
        <f t="shared" si="14"/>
        <v>0</v>
      </c>
      <c r="AK41" s="9">
        <f t="shared" si="15"/>
        <v>0</v>
      </c>
      <c r="AL41" s="9">
        <f t="shared" si="16"/>
        <v>202902164</v>
      </c>
      <c r="AM41" s="9">
        <f t="shared" si="17"/>
        <v>202902164</v>
      </c>
      <c r="AN41" s="9">
        <f t="shared" si="28"/>
        <v>202902164</v>
      </c>
      <c r="AO41" s="291">
        <v>181105390</v>
      </c>
      <c r="AP41" s="9">
        <f t="shared" si="29"/>
        <v>21796774</v>
      </c>
      <c r="AQ41" s="297" t="str">
        <f t="shared" si="30"/>
        <v>Yes</v>
      </c>
      <c r="AR41" s="291">
        <v>185090842</v>
      </c>
      <c r="AS41" s="291">
        <f t="shared" si="18"/>
        <v>2323536.1083999998</v>
      </c>
      <c r="AT41" s="291">
        <f t="shared" si="19"/>
        <v>187414378.10839999</v>
      </c>
      <c r="AU41" s="291">
        <f t="shared" si="20"/>
        <v>187414378.10839999</v>
      </c>
      <c r="AV41" s="291"/>
      <c r="AW41" s="291">
        <f t="shared" si="31"/>
        <v>189737914.21679997</v>
      </c>
      <c r="AX41" s="291">
        <f t="shared" si="32"/>
        <v>192061450.32519996</v>
      </c>
      <c r="AY41" s="291">
        <f t="shared" si="32"/>
        <v>194384986.43359995</v>
      </c>
      <c r="AZ41" s="291">
        <f t="shared" si="32"/>
        <v>196708522.54199994</v>
      </c>
      <c r="BA41" s="291">
        <f t="shared" si="32"/>
        <v>199032058.65039992</v>
      </c>
      <c r="BB41" s="291">
        <f t="shared" si="32"/>
        <v>201355594.75879991</v>
      </c>
      <c r="BC41" s="291">
        <f t="shared" si="33"/>
        <v>202902164</v>
      </c>
      <c r="BD41" s="298"/>
      <c r="BE41" s="291">
        <f t="shared" si="34"/>
        <v>189737914.21679997</v>
      </c>
      <c r="BF41" s="291">
        <f t="shared" si="22"/>
        <v>192061450.32519996</v>
      </c>
      <c r="BG41" s="291">
        <f t="shared" si="22"/>
        <v>194384986.43359995</v>
      </c>
      <c r="BH41" s="291">
        <f t="shared" si="22"/>
        <v>196708522.54199994</v>
      </c>
      <c r="BI41" s="291">
        <f t="shared" si="22"/>
        <v>199032058.65039992</v>
      </c>
      <c r="BJ41" s="291">
        <f t="shared" si="22"/>
        <v>201355594.75879991</v>
      </c>
      <c r="BK41" s="291">
        <f t="shared" si="22"/>
        <v>202902164</v>
      </c>
      <c r="BL41" s="298"/>
      <c r="BM41" s="298"/>
      <c r="BN41" s="298"/>
      <c r="BO41" s="298"/>
    </row>
    <row r="42" spans="1:67" x14ac:dyDescent="0.15">
      <c r="A42" s="10" t="s">
        <v>4</v>
      </c>
      <c r="B42" s="10"/>
      <c r="C42" s="276"/>
      <c r="D42" s="276" t="str">
        <f t="shared" si="23"/>
        <v>No</v>
      </c>
      <c r="E42" s="276"/>
      <c r="F42" s="276"/>
      <c r="G42" s="8">
        <v>2</v>
      </c>
      <c r="H42" s="1">
        <v>159</v>
      </c>
      <c r="I42" s="10">
        <v>16</v>
      </c>
      <c r="J42" s="7" t="s">
        <v>26</v>
      </c>
      <c r="K42" s="287"/>
      <c r="L42" s="1">
        <v>118.76</v>
      </c>
      <c r="M42" s="288"/>
      <c r="N42" s="289"/>
      <c r="O42" s="1">
        <v>12</v>
      </c>
      <c r="P42" s="290">
        <f t="shared" si="4"/>
        <v>0.10104412260020208</v>
      </c>
      <c r="Q42" s="290">
        <f t="shared" si="5"/>
        <v>0</v>
      </c>
      <c r="R42" s="291">
        <f t="shared" si="6"/>
        <v>0</v>
      </c>
      <c r="S42" s="291">
        <f t="shared" si="24"/>
        <v>0</v>
      </c>
      <c r="T42" s="1">
        <v>0</v>
      </c>
      <c r="U42" s="1">
        <f t="shared" si="25"/>
        <v>0</v>
      </c>
      <c r="V42" s="292">
        <f t="shared" si="7"/>
        <v>3.6</v>
      </c>
      <c r="W42" s="254">
        <f t="shared" si="8"/>
        <v>122.36</v>
      </c>
      <c r="X42" s="1">
        <v>542878070</v>
      </c>
      <c r="Y42" s="1">
        <v>1644</v>
      </c>
      <c r="Z42" s="264">
        <f t="shared" si="9"/>
        <v>330217.8</v>
      </c>
      <c r="AA42" s="293">
        <f t="shared" si="10"/>
        <v>1.7687059999999999</v>
      </c>
      <c r="AB42" s="1">
        <v>102250</v>
      </c>
      <c r="AC42" s="293">
        <f t="shared" si="11"/>
        <v>0.88797499999999996</v>
      </c>
      <c r="AD42" s="293">
        <f t="shared" si="12"/>
        <v>-0.50448700000000002</v>
      </c>
      <c r="AE42" s="294">
        <f t="shared" si="13"/>
        <v>0.01</v>
      </c>
      <c r="AF42" s="295">
        <f t="shared" si="26"/>
        <v>0</v>
      </c>
      <c r="AG42" s="296">
        <f t="shared" si="27"/>
        <v>0.01</v>
      </c>
      <c r="AH42" s="1">
        <v>117</v>
      </c>
      <c r="AI42" s="1">
        <v>13</v>
      </c>
      <c r="AJ42" s="254">
        <f t="shared" si="14"/>
        <v>100</v>
      </c>
      <c r="AK42" s="9">
        <f t="shared" si="15"/>
        <v>11700</v>
      </c>
      <c r="AL42" s="9">
        <f t="shared" si="16"/>
        <v>14102</v>
      </c>
      <c r="AM42" s="9">
        <f t="shared" si="17"/>
        <v>25802</v>
      </c>
      <c r="AN42" s="9">
        <f t="shared" si="28"/>
        <v>25802</v>
      </c>
      <c r="AO42" s="291">
        <v>23014</v>
      </c>
      <c r="AP42" s="9">
        <f t="shared" si="29"/>
        <v>2788</v>
      </c>
      <c r="AQ42" s="297" t="str">
        <f t="shared" si="30"/>
        <v>Yes</v>
      </c>
      <c r="AR42" s="291">
        <v>23267</v>
      </c>
      <c r="AS42" s="291">
        <f t="shared" si="18"/>
        <v>297.20080000000002</v>
      </c>
      <c r="AT42" s="291">
        <f t="shared" si="19"/>
        <v>23564.200799999999</v>
      </c>
      <c r="AU42" s="291">
        <f t="shared" si="20"/>
        <v>23564.200799999999</v>
      </c>
      <c r="AV42" s="291"/>
      <c r="AW42" s="291">
        <f t="shared" si="31"/>
        <v>23861.401599999997</v>
      </c>
      <c r="AX42" s="291">
        <f t="shared" si="32"/>
        <v>24158.602399999996</v>
      </c>
      <c r="AY42" s="291">
        <f t="shared" si="32"/>
        <v>24455.803199999995</v>
      </c>
      <c r="AZ42" s="291">
        <f t="shared" si="32"/>
        <v>24753.003999999994</v>
      </c>
      <c r="BA42" s="291">
        <f t="shared" si="32"/>
        <v>25050.204799999992</v>
      </c>
      <c r="BB42" s="291">
        <f t="shared" si="32"/>
        <v>25347.405599999991</v>
      </c>
      <c r="BC42" s="291">
        <f t="shared" si="33"/>
        <v>25802</v>
      </c>
      <c r="BD42" s="298"/>
      <c r="BE42" s="291">
        <f t="shared" si="34"/>
        <v>23861.401599999997</v>
      </c>
      <c r="BF42" s="291">
        <f t="shared" si="22"/>
        <v>24158.602399999996</v>
      </c>
      <c r="BG42" s="291">
        <f t="shared" si="22"/>
        <v>24455.803199999995</v>
      </c>
      <c r="BH42" s="291">
        <f t="shared" si="22"/>
        <v>24753.003999999994</v>
      </c>
      <c r="BI42" s="291">
        <f t="shared" si="22"/>
        <v>25050.204799999992</v>
      </c>
      <c r="BJ42" s="291">
        <f t="shared" si="22"/>
        <v>25347.405599999991</v>
      </c>
      <c r="BK42" s="291">
        <f t="shared" si="22"/>
        <v>25802</v>
      </c>
      <c r="BL42" s="298"/>
      <c r="BM42" s="298"/>
      <c r="BN42" s="298"/>
      <c r="BO42" s="298"/>
    </row>
    <row r="43" spans="1:67" x14ac:dyDescent="0.15">
      <c r="A43" s="10" t="s">
        <v>19</v>
      </c>
      <c r="B43" s="10"/>
      <c r="C43" s="276">
        <v>1</v>
      </c>
      <c r="D43" s="276" t="str">
        <f t="shared" si="23"/>
        <v>Yes</v>
      </c>
      <c r="E43" s="276">
        <v>1</v>
      </c>
      <c r="F43" s="276"/>
      <c r="G43" s="8">
        <v>9</v>
      </c>
      <c r="H43" s="1">
        <v>16</v>
      </c>
      <c r="I43" s="10">
        <v>17</v>
      </c>
      <c r="J43" s="7" t="s">
        <v>27</v>
      </c>
      <c r="K43" s="287"/>
      <c r="L43" s="1">
        <v>8211.3700000000008</v>
      </c>
      <c r="M43" s="300"/>
      <c r="N43" s="289"/>
      <c r="O43" s="1">
        <v>4410</v>
      </c>
      <c r="P43" s="290">
        <f t="shared" si="4"/>
        <v>0.5370601982373221</v>
      </c>
      <c r="Q43" s="290">
        <f t="shared" si="5"/>
        <v>0</v>
      </c>
      <c r="R43" s="291">
        <f t="shared" si="6"/>
        <v>0</v>
      </c>
      <c r="S43" s="291">
        <f t="shared" si="24"/>
        <v>0</v>
      </c>
      <c r="T43" s="1">
        <v>434</v>
      </c>
      <c r="U43" s="1">
        <f t="shared" si="25"/>
        <v>65.099999999999994</v>
      </c>
      <c r="V43" s="292">
        <f t="shared" si="7"/>
        <v>1323</v>
      </c>
      <c r="W43" s="254">
        <f t="shared" si="8"/>
        <v>9599.4700000000012</v>
      </c>
      <c r="X43" s="1">
        <v>5778563027.3299999</v>
      </c>
      <c r="Y43" s="1">
        <v>60223</v>
      </c>
      <c r="Z43" s="264">
        <f t="shared" si="9"/>
        <v>95952.76</v>
      </c>
      <c r="AA43" s="293">
        <f t="shared" si="10"/>
        <v>0.51393999999999995</v>
      </c>
      <c r="AB43" s="1">
        <v>64586</v>
      </c>
      <c r="AC43" s="293">
        <f t="shared" si="11"/>
        <v>0.56088800000000005</v>
      </c>
      <c r="AD43" s="293">
        <f t="shared" si="12"/>
        <v>0.47197600000000001</v>
      </c>
      <c r="AE43" s="294">
        <f t="shared" si="13"/>
        <v>0.47197600000000001</v>
      </c>
      <c r="AF43" s="295">
        <f t="shared" si="26"/>
        <v>0.03</v>
      </c>
      <c r="AG43" s="296">
        <f t="shared" si="27"/>
        <v>0.50197599999999998</v>
      </c>
      <c r="AH43" s="1">
        <v>0</v>
      </c>
      <c r="AI43" s="1">
        <v>0</v>
      </c>
      <c r="AJ43" s="254">
        <f t="shared" si="14"/>
        <v>0</v>
      </c>
      <c r="AK43" s="9">
        <f t="shared" si="15"/>
        <v>0</v>
      </c>
      <c r="AL43" s="9">
        <f t="shared" si="16"/>
        <v>55535558</v>
      </c>
      <c r="AM43" s="9">
        <f t="shared" si="17"/>
        <v>55535558</v>
      </c>
      <c r="AN43" s="9">
        <f t="shared" si="28"/>
        <v>55535558</v>
      </c>
      <c r="AO43" s="291">
        <v>44853676</v>
      </c>
      <c r="AP43" s="9">
        <f t="shared" si="29"/>
        <v>10681882</v>
      </c>
      <c r="AQ43" s="297" t="str">
        <f t="shared" si="30"/>
        <v>Yes</v>
      </c>
      <c r="AR43" s="291">
        <v>46286500</v>
      </c>
      <c r="AS43" s="291">
        <f t="shared" si="18"/>
        <v>1138688.6211999999</v>
      </c>
      <c r="AT43" s="291">
        <f t="shared" si="19"/>
        <v>47425188.621200003</v>
      </c>
      <c r="AU43" s="291">
        <f t="shared" si="20"/>
        <v>47425188.621200003</v>
      </c>
      <c r="AV43" s="291"/>
      <c r="AW43" s="291">
        <f t="shared" si="31"/>
        <v>48563877.242400005</v>
      </c>
      <c r="AX43" s="291">
        <f t="shared" si="32"/>
        <v>49702565.863600008</v>
      </c>
      <c r="AY43" s="291">
        <f t="shared" si="32"/>
        <v>50841254.484800011</v>
      </c>
      <c r="AZ43" s="291">
        <f t="shared" si="32"/>
        <v>51979943.106000014</v>
      </c>
      <c r="BA43" s="291">
        <f t="shared" si="32"/>
        <v>53118631.727200016</v>
      </c>
      <c r="BB43" s="291">
        <f t="shared" si="32"/>
        <v>54257320.348400019</v>
      </c>
      <c r="BC43" s="291">
        <f t="shared" si="33"/>
        <v>55535558</v>
      </c>
      <c r="BD43" s="298"/>
      <c r="BE43" s="291">
        <f t="shared" si="34"/>
        <v>48563877.242400005</v>
      </c>
      <c r="BF43" s="291">
        <f t="shared" si="34"/>
        <v>49702565.863600008</v>
      </c>
      <c r="BG43" s="291">
        <f t="shared" si="34"/>
        <v>50841254.484800011</v>
      </c>
      <c r="BH43" s="291">
        <f t="shared" si="34"/>
        <v>51979943.106000014</v>
      </c>
      <c r="BI43" s="291">
        <f t="shared" si="34"/>
        <v>53118631.727200016</v>
      </c>
      <c r="BJ43" s="291">
        <f t="shared" si="34"/>
        <v>54257320.348400019</v>
      </c>
      <c r="BK43" s="291">
        <f t="shared" si="34"/>
        <v>55535558</v>
      </c>
      <c r="BL43" s="298"/>
      <c r="BM43" s="298"/>
      <c r="BN43" s="298"/>
      <c r="BO43" s="298"/>
    </row>
    <row r="44" spans="1:67" x14ac:dyDescent="0.15">
      <c r="A44" s="10" t="s">
        <v>10</v>
      </c>
      <c r="B44" s="10"/>
      <c r="C44" s="276"/>
      <c r="D44" s="276" t="str">
        <f t="shared" si="23"/>
        <v>No</v>
      </c>
      <c r="E44" s="276"/>
      <c r="F44" s="276"/>
      <c r="G44" s="8">
        <v>2</v>
      </c>
      <c r="H44" s="1">
        <v>122</v>
      </c>
      <c r="I44" s="10">
        <v>18</v>
      </c>
      <c r="J44" s="7" t="s">
        <v>28</v>
      </c>
      <c r="K44" s="287"/>
      <c r="L44" s="1">
        <v>2677.72</v>
      </c>
      <c r="M44" s="288"/>
      <c r="N44" s="289"/>
      <c r="O44" s="1">
        <v>551</v>
      </c>
      <c r="P44" s="290">
        <f t="shared" si="4"/>
        <v>0.2057720747501606</v>
      </c>
      <c r="Q44" s="290">
        <f t="shared" si="5"/>
        <v>0</v>
      </c>
      <c r="R44" s="291">
        <f t="shared" si="6"/>
        <v>0</v>
      </c>
      <c r="S44" s="291">
        <f t="shared" si="24"/>
        <v>0</v>
      </c>
      <c r="T44" s="1">
        <v>115</v>
      </c>
      <c r="U44" s="1">
        <f t="shared" si="25"/>
        <v>17.25</v>
      </c>
      <c r="V44" s="292">
        <f t="shared" si="7"/>
        <v>165.3</v>
      </c>
      <c r="W44" s="254">
        <f t="shared" si="8"/>
        <v>2860.27</v>
      </c>
      <c r="X44" s="1">
        <v>3321806343.6700001</v>
      </c>
      <c r="Y44" s="1">
        <v>17133</v>
      </c>
      <c r="Z44" s="264">
        <f t="shared" si="9"/>
        <v>193883.51999999999</v>
      </c>
      <c r="AA44" s="293">
        <f t="shared" si="10"/>
        <v>1.038475</v>
      </c>
      <c r="AB44" s="1">
        <v>113009</v>
      </c>
      <c r="AC44" s="293">
        <f t="shared" si="11"/>
        <v>0.98141</v>
      </c>
      <c r="AD44" s="293">
        <f t="shared" si="12"/>
        <v>-2.1354999999999999E-2</v>
      </c>
      <c r="AE44" s="294">
        <f t="shared" si="13"/>
        <v>0.01</v>
      </c>
      <c r="AF44" s="295">
        <f t="shared" si="26"/>
        <v>0</v>
      </c>
      <c r="AG44" s="296">
        <f t="shared" si="27"/>
        <v>0.01</v>
      </c>
      <c r="AH44" s="1">
        <v>0</v>
      </c>
      <c r="AI44" s="1">
        <v>0</v>
      </c>
      <c r="AJ44" s="254">
        <f t="shared" si="14"/>
        <v>0</v>
      </c>
      <c r="AK44" s="9">
        <f t="shared" si="15"/>
        <v>0</v>
      </c>
      <c r="AL44" s="9">
        <f t="shared" si="16"/>
        <v>329646</v>
      </c>
      <c r="AM44" s="9">
        <f t="shared" si="17"/>
        <v>329646</v>
      </c>
      <c r="AN44" s="9">
        <f t="shared" si="28"/>
        <v>329646</v>
      </c>
      <c r="AO44" s="291">
        <v>1417583</v>
      </c>
      <c r="AP44" s="9">
        <f t="shared" si="29"/>
        <v>1087937</v>
      </c>
      <c r="AQ44" s="297" t="str">
        <f t="shared" si="30"/>
        <v>No</v>
      </c>
      <c r="AR44" s="291">
        <v>1052942</v>
      </c>
      <c r="AS44" s="291">
        <f t="shared" si="18"/>
        <v>90625.152099999992</v>
      </c>
      <c r="AT44" s="291">
        <f t="shared" si="19"/>
        <v>962316.84790000005</v>
      </c>
      <c r="AU44" s="291">
        <f t="shared" si="20"/>
        <v>962316.84790000005</v>
      </c>
      <c r="AV44" s="291"/>
      <c r="AW44" s="291">
        <f t="shared" si="31"/>
        <v>871691.6958000001</v>
      </c>
      <c r="AX44" s="291">
        <f t="shared" ref="AX44:BB59" si="35">IF($AQ44="Yes",AW44+$AS44,AW44-$AS44)</f>
        <v>781066.54370000015</v>
      </c>
      <c r="AY44" s="291">
        <f t="shared" si="35"/>
        <v>690441.39160000021</v>
      </c>
      <c r="AZ44" s="291">
        <f t="shared" si="35"/>
        <v>599816.23950000026</v>
      </c>
      <c r="BA44" s="291">
        <f t="shared" si="35"/>
        <v>509191.08740000025</v>
      </c>
      <c r="BB44" s="291">
        <f t="shared" si="35"/>
        <v>418565.93530000024</v>
      </c>
      <c r="BC44" s="291">
        <f t="shared" si="33"/>
        <v>329646</v>
      </c>
      <c r="BD44" s="298"/>
      <c r="BE44" s="291">
        <f t="shared" si="34"/>
        <v>871691.6958000001</v>
      </c>
      <c r="BF44" s="291">
        <f t="shared" si="34"/>
        <v>781066.54370000015</v>
      </c>
      <c r="BG44" s="291">
        <f t="shared" si="34"/>
        <v>690441.39160000021</v>
      </c>
      <c r="BH44" s="291">
        <f t="shared" si="34"/>
        <v>599816.23950000026</v>
      </c>
      <c r="BI44" s="291">
        <f t="shared" si="34"/>
        <v>509191.08740000025</v>
      </c>
      <c r="BJ44" s="291">
        <f t="shared" si="34"/>
        <v>418565.93530000024</v>
      </c>
      <c r="BK44" s="291">
        <f t="shared" si="34"/>
        <v>329646</v>
      </c>
      <c r="BL44" s="298"/>
      <c r="BM44" s="298"/>
      <c r="BN44" s="298"/>
      <c r="BO44" s="298"/>
    </row>
    <row r="45" spans="1:67" x14ac:dyDescent="0.15">
      <c r="A45" s="10" t="s">
        <v>8</v>
      </c>
      <c r="B45" s="10"/>
      <c r="C45" s="276"/>
      <c r="D45" s="276" t="str">
        <f t="shared" si="23"/>
        <v>No</v>
      </c>
      <c r="E45" s="276"/>
      <c r="F45" s="276"/>
      <c r="G45" s="8">
        <v>9</v>
      </c>
      <c r="H45" s="1">
        <v>42</v>
      </c>
      <c r="I45" s="10">
        <v>19</v>
      </c>
      <c r="J45" s="7" t="s">
        <v>29</v>
      </c>
      <c r="K45" s="287"/>
      <c r="L45" s="1">
        <v>1255.5</v>
      </c>
      <c r="M45" s="300"/>
      <c r="N45" s="289"/>
      <c r="O45" s="1">
        <v>416</v>
      </c>
      <c r="P45" s="290">
        <f t="shared" si="4"/>
        <v>0.33134209478295501</v>
      </c>
      <c r="Q45" s="290">
        <f t="shared" si="5"/>
        <v>0</v>
      </c>
      <c r="R45" s="291">
        <f t="shared" si="6"/>
        <v>0</v>
      </c>
      <c r="S45" s="291">
        <f t="shared" si="24"/>
        <v>0</v>
      </c>
      <c r="T45" s="1">
        <v>16</v>
      </c>
      <c r="U45" s="1">
        <f t="shared" si="25"/>
        <v>2.4</v>
      </c>
      <c r="V45" s="292">
        <f t="shared" si="7"/>
        <v>124.8</v>
      </c>
      <c r="W45" s="254">
        <f t="shared" si="8"/>
        <v>1382.7</v>
      </c>
      <c r="X45" s="1">
        <v>853243505</v>
      </c>
      <c r="Y45" s="1">
        <v>8208</v>
      </c>
      <c r="Z45" s="264">
        <f t="shared" si="9"/>
        <v>103952.67</v>
      </c>
      <c r="AA45" s="293">
        <f t="shared" si="10"/>
        <v>0.55678899999999998</v>
      </c>
      <c r="AB45" s="1">
        <v>75000</v>
      </c>
      <c r="AC45" s="293">
        <f t="shared" si="11"/>
        <v>0.65132699999999999</v>
      </c>
      <c r="AD45" s="293">
        <f t="shared" si="12"/>
        <v>0.41485</v>
      </c>
      <c r="AE45" s="294">
        <f t="shared" si="13"/>
        <v>0.41485</v>
      </c>
      <c r="AF45" s="295">
        <f t="shared" si="26"/>
        <v>0</v>
      </c>
      <c r="AG45" s="296">
        <f t="shared" si="27"/>
        <v>0.41485</v>
      </c>
      <c r="AH45" s="1">
        <v>0</v>
      </c>
      <c r="AI45" s="1">
        <v>0</v>
      </c>
      <c r="AJ45" s="254">
        <f t="shared" si="14"/>
        <v>0</v>
      </c>
      <c r="AK45" s="9">
        <f t="shared" si="15"/>
        <v>0</v>
      </c>
      <c r="AL45" s="9">
        <f t="shared" si="16"/>
        <v>6610891</v>
      </c>
      <c r="AM45" s="9">
        <f t="shared" si="17"/>
        <v>6610891</v>
      </c>
      <c r="AN45" s="9">
        <f t="shared" si="28"/>
        <v>6610891</v>
      </c>
      <c r="AO45" s="291">
        <v>6975373</v>
      </c>
      <c r="AP45" s="9">
        <f t="shared" si="29"/>
        <v>364482</v>
      </c>
      <c r="AQ45" s="297" t="str">
        <f t="shared" si="30"/>
        <v>No</v>
      </c>
      <c r="AR45" s="291">
        <v>6956456</v>
      </c>
      <c r="AS45" s="291">
        <f t="shared" si="18"/>
        <v>30361.350599999998</v>
      </c>
      <c r="AT45" s="291">
        <f t="shared" si="19"/>
        <v>6926094.6494000005</v>
      </c>
      <c r="AU45" s="291">
        <f t="shared" si="20"/>
        <v>6926094.6494000005</v>
      </c>
      <c r="AV45" s="291"/>
      <c r="AW45" s="291">
        <f t="shared" si="31"/>
        <v>6895733.2988000009</v>
      </c>
      <c r="AX45" s="291">
        <f t="shared" si="35"/>
        <v>6865371.9482000014</v>
      </c>
      <c r="AY45" s="291">
        <f t="shared" si="35"/>
        <v>6835010.5976000018</v>
      </c>
      <c r="AZ45" s="291">
        <f t="shared" si="35"/>
        <v>6804649.2470000023</v>
      </c>
      <c r="BA45" s="291">
        <f t="shared" si="35"/>
        <v>6774287.8964000028</v>
      </c>
      <c r="BB45" s="291">
        <f t="shared" si="35"/>
        <v>6743926.5458000032</v>
      </c>
      <c r="BC45" s="291">
        <f t="shared" si="33"/>
        <v>6610891</v>
      </c>
      <c r="BD45" s="298"/>
      <c r="BE45" s="291">
        <f t="shared" si="34"/>
        <v>6895733.2988000009</v>
      </c>
      <c r="BF45" s="291">
        <f t="shared" si="34"/>
        <v>6865371.9482000014</v>
      </c>
      <c r="BG45" s="291">
        <f t="shared" si="34"/>
        <v>6835010.5976000018</v>
      </c>
      <c r="BH45" s="291">
        <f t="shared" si="34"/>
        <v>6804649.2470000023</v>
      </c>
      <c r="BI45" s="291">
        <f t="shared" si="34"/>
        <v>6774287.8964000028</v>
      </c>
      <c r="BJ45" s="291">
        <f t="shared" si="34"/>
        <v>6743926.5458000032</v>
      </c>
      <c r="BK45" s="291">
        <f t="shared" si="34"/>
        <v>6610891</v>
      </c>
      <c r="BL45" s="298"/>
      <c r="BM45" s="298"/>
      <c r="BN45" s="298"/>
      <c r="BO45" s="298"/>
    </row>
    <row r="46" spans="1:67" x14ac:dyDescent="0.15">
      <c r="A46" s="10" t="s">
        <v>4</v>
      </c>
      <c r="B46" s="10"/>
      <c r="C46" s="276"/>
      <c r="D46" s="276" t="str">
        <f t="shared" si="23"/>
        <v>No</v>
      </c>
      <c r="E46" s="276"/>
      <c r="F46" s="276"/>
      <c r="G46" s="8">
        <v>3</v>
      </c>
      <c r="H46" s="1">
        <v>126</v>
      </c>
      <c r="I46" s="10">
        <v>20</v>
      </c>
      <c r="J46" s="7" t="s">
        <v>30</v>
      </c>
      <c r="K46" s="287"/>
      <c r="L46" s="1">
        <v>1532.48</v>
      </c>
      <c r="M46" s="288"/>
      <c r="N46" s="289"/>
      <c r="O46" s="1">
        <v>173</v>
      </c>
      <c r="P46" s="290">
        <f t="shared" si="4"/>
        <v>0.11288891209020673</v>
      </c>
      <c r="Q46" s="290">
        <f t="shared" si="5"/>
        <v>0</v>
      </c>
      <c r="R46" s="291">
        <f t="shared" si="6"/>
        <v>0</v>
      </c>
      <c r="S46" s="291">
        <f t="shared" si="24"/>
        <v>0</v>
      </c>
      <c r="T46" s="1">
        <v>30</v>
      </c>
      <c r="U46" s="1">
        <f t="shared" si="25"/>
        <v>4.5</v>
      </c>
      <c r="V46" s="292">
        <f t="shared" si="7"/>
        <v>51.9</v>
      </c>
      <c r="W46" s="254">
        <f t="shared" si="8"/>
        <v>1588.88</v>
      </c>
      <c r="X46" s="1">
        <v>1333177472.6700001</v>
      </c>
      <c r="Y46" s="1">
        <v>9640</v>
      </c>
      <c r="Z46" s="264">
        <f t="shared" si="9"/>
        <v>138296.42000000001</v>
      </c>
      <c r="AA46" s="293">
        <f t="shared" si="10"/>
        <v>0.74074099999999998</v>
      </c>
      <c r="AB46" s="1">
        <v>121635</v>
      </c>
      <c r="AC46" s="293">
        <f t="shared" si="11"/>
        <v>1.056322</v>
      </c>
      <c r="AD46" s="293">
        <f t="shared" si="12"/>
        <v>0.16458500000000001</v>
      </c>
      <c r="AE46" s="294">
        <f t="shared" si="13"/>
        <v>0.16458500000000001</v>
      </c>
      <c r="AF46" s="295">
        <f t="shared" si="26"/>
        <v>0</v>
      </c>
      <c r="AG46" s="296">
        <f t="shared" si="27"/>
        <v>0.16458500000000001</v>
      </c>
      <c r="AH46" s="1">
        <v>1534</v>
      </c>
      <c r="AI46" s="1">
        <v>13</v>
      </c>
      <c r="AJ46" s="254">
        <f t="shared" si="14"/>
        <v>100</v>
      </c>
      <c r="AK46" s="9">
        <f t="shared" si="15"/>
        <v>153400</v>
      </c>
      <c r="AL46" s="9">
        <f t="shared" si="16"/>
        <v>3013855</v>
      </c>
      <c r="AM46" s="9">
        <f t="shared" si="17"/>
        <v>3167255</v>
      </c>
      <c r="AN46" s="9">
        <f t="shared" si="28"/>
        <v>3167255</v>
      </c>
      <c r="AO46" s="291">
        <v>4359350</v>
      </c>
      <c r="AP46" s="9">
        <f t="shared" si="29"/>
        <v>1192095</v>
      </c>
      <c r="AQ46" s="297" t="str">
        <f t="shared" si="30"/>
        <v>No</v>
      </c>
      <c r="AR46" s="291">
        <v>4022950</v>
      </c>
      <c r="AS46" s="291">
        <f t="shared" si="18"/>
        <v>99301.513500000001</v>
      </c>
      <c r="AT46" s="291">
        <f t="shared" si="19"/>
        <v>3923648.4865000001</v>
      </c>
      <c r="AU46" s="291">
        <f t="shared" si="20"/>
        <v>3923648.4865000001</v>
      </c>
      <c r="AV46" s="291"/>
      <c r="AW46" s="291">
        <f t="shared" si="31"/>
        <v>3824346.9730000002</v>
      </c>
      <c r="AX46" s="291">
        <f t="shared" si="35"/>
        <v>3725045.4595000003</v>
      </c>
      <c r="AY46" s="291">
        <f t="shared" si="35"/>
        <v>3625743.9460000005</v>
      </c>
      <c r="AZ46" s="291">
        <f t="shared" si="35"/>
        <v>3526442.4325000006</v>
      </c>
      <c r="BA46" s="291">
        <f t="shared" si="35"/>
        <v>3427140.9190000007</v>
      </c>
      <c r="BB46" s="291">
        <f t="shared" si="35"/>
        <v>3327839.4055000008</v>
      </c>
      <c r="BC46" s="291">
        <f t="shared" si="33"/>
        <v>3167255</v>
      </c>
      <c r="BD46" s="298"/>
      <c r="BE46" s="291">
        <f t="shared" si="34"/>
        <v>3824346.9730000002</v>
      </c>
      <c r="BF46" s="291">
        <f t="shared" si="34"/>
        <v>3725045.4595000003</v>
      </c>
      <c r="BG46" s="291">
        <f t="shared" si="34"/>
        <v>3625743.9460000005</v>
      </c>
      <c r="BH46" s="291">
        <f t="shared" si="34"/>
        <v>3526442.4325000006</v>
      </c>
      <c r="BI46" s="291">
        <f t="shared" si="34"/>
        <v>3427140.9190000007</v>
      </c>
      <c r="BJ46" s="291">
        <f t="shared" si="34"/>
        <v>3327839.4055000008</v>
      </c>
      <c r="BK46" s="291">
        <f t="shared" si="34"/>
        <v>3167255</v>
      </c>
      <c r="BL46" s="298"/>
      <c r="BM46" s="298"/>
      <c r="BN46" s="298"/>
      <c r="BO46" s="298"/>
    </row>
    <row r="47" spans="1:67" x14ac:dyDescent="0.15">
      <c r="A47" s="10" t="s">
        <v>8</v>
      </c>
      <c r="B47" s="10"/>
      <c r="C47" s="276"/>
      <c r="D47" s="276" t="str">
        <f t="shared" si="23"/>
        <v>No</v>
      </c>
      <c r="E47" s="276"/>
      <c r="F47" s="276"/>
      <c r="G47" s="8">
        <v>4</v>
      </c>
      <c r="H47" s="1">
        <v>139</v>
      </c>
      <c r="I47" s="10">
        <v>21</v>
      </c>
      <c r="J47" s="7" t="s">
        <v>31</v>
      </c>
      <c r="K47" s="287"/>
      <c r="L47" s="1">
        <v>108.4</v>
      </c>
      <c r="M47" s="288"/>
      <c r="N47" s="289"/>
      <c r="O47" s="1">
        <v>48</v>
      </c>
      <c r="P47" s="290">
        <f t="shared" si="4"/>
        <v>0.44280442804428044</v>
      </c>
      <c r="Q47" s="290">
        <f t="shared" si="5"/>
        <v>0</v>
      </c>
      <c r="R47" s="291">
        <f t="shared" si="6"/>
        <v>0</v>
      </c>
      <c r="S47" s="291">
        <f t="shared" si="24"/>
        <v>0</v>
      </c>
      <c r="T47" s="1">
        <v>2</v>
      </c>
      <c r="U47" s="1">
        <f t="shared" si="25"/>
        <v>0.3</v>
      </c>
      <c r="V47" s="292">
        <f t="shared" si="7"/>
        <v>14.4</v>
      </c>
      <c r="W47" s="254">
        <f t="shared" si="8"/>
        <v>123.10000000000001</v>
      </c>
      <c r="X47" s="1">
        <v>241884585</v>
      </c>
      <c r="Y47" s="1">
        <v>1062</v>
      </c>
      <c r="Z47" s="264">
        <f t="shared" si="9"/>
        <v>227763.26</v>
      </c>
      <c r="AA47" s="293">
        <f t="shared" si="10"/>
        <v>1.2199409999999999</v>
      </c>
      <c r="AB47" s="1">
        <v>77417</v>
      </c>
      <c r="AC47" s="293">
        <f t="shared" si="11"/>
        <v>0.67231700000000005</v>
      </c>
      <c r="AD47" s="293">
        <f t="shared" si="12"/>
        <v>-5.5654000000000002E-2</v>
      </c>
      <c r="AE47" s="294">
        <f t="shared" si="13"/>
        <v>0.01</v>
      </c>
      <c r="AF47" s="295">
        <f t="shared" si="26"/>
        <v>0</v>
      </c>
      <c r="AG47" s="296">
        <f t="shared" si="27"/>
        <v>0.01</v>
      </c>
      <c r="AH47" s="1">
        <v>44</v>
      </c>
      <c r="AI47" s="1">
        <v>4</v>
      </c>
      <c r="AJ47" s="254">
        <f t="shared" si="14"/>
        <v>30.77</v>
      </c>
      <c r="AK47" s="9">
        <f t="shared" si="15"/>
        <v>1354</v>
      </c>
      <c r="AL47" s="9">
        <f t="shared" si="16"/>
        <v>14187</v>
      </c>
      <c r="AM47" s="9">
        <f t="shared" si="17"/>
        <v>15541</v>
      </c>
      <c r="AN47" s="9">
        <f t="shared" si="28"/>
        <v>15541</v>
      </c>
      <c r="AO47" s="291">
        <v>177216</v>
      </c>
      <c r="AP47" s="9">
        <f t="shared" si="29"/>
        <v>161675</v>
      </c>
      <c r="AQ47" s="297" t="str">
        <f t="shared" si="30"/>
        <v>No</v>
      </c>
      <c r="AR47" s="291">
        <v>139220</v>
      </c>
      <c r="AS47" s="291">
        <f t="shared" si="18"/>
        <v>13467.5275</v>
      </c>
      <c r="AT47" s="291">
        <f t="shared" si="19"/>
        <v>125752.4725</v>
      </c>
      <c r="AU47" s="291">
        <f t="shared" si="20"/>
        <v>125752.4725</v>
      </c>
      <c r="AV47" s="291"/>
      <c r="AW47" s="291">
        <f t="shared" si="31"/>
        <v>112284.94500000001</v>
      </c>
      <c r="AX47" s="291">
        <f t="shared" si="35"/>
        <v>98817.41750000001</v>
      </c>
      <c r="AY47" s="291">
        <f t="shared" si="35"/>
        <v>85349.890000000014</v>
      </c>
      <c r="AZ47" s="291">
        <f t="shared" si="35"/>
        <v>71882.362500000017</v>
      </c>
      <c r="BA47" s="291">
        <f t="shared" si="35"/>
        <v>58414.835000000021</v>
      </c>
      <c r="BB47" s="291">
        <f t="shared" si="35"/>
        <v>44947.307500000024</v>
      </c>
      <c r="BC47" s="291">
        <f t="shared" si="33"/>
        <v>15541</v>
      </c>
      <c r="BD47" s="298"/>
      <c r="BE47" s="291">
        <f t="shared" si="34"/>
        <v>112284.94500000001</v>
      </c>
      <c r="BF47" s="291">
        <f t="shared" si="34"/>
        <v>98817.41750000001</v>
      </c>
      <c r="BG47" s="291">
        <f t="shared" si="34"/>
        <v>85349.890000000014</v>
      </c>
      <c r="BH47" s="291">
        <f t="shared" si="34"/>
        <v>71882.362500000017</v>
      </c>
      <c r="BI47" s="291">
        <f t="shared" si="34"/>
        <v>58414.835000000021</v>
      </c>
      <c r="BJ47" s="291">
        <f t="shared" si="34"/>
        <v>44947.307500000024</v>
      </c>
      <c r="BK47" s="291">
        <f t="shared" si="34"/>
        <v>15541</v>
      </c>
      <c r="BL47" s="298"/>
      <c r="BM47" s="298"/>
      <c r="BN47" s="298"/>
      <c r="BO47" s="298"/>
    </row>
    <row r="48" spans="1:67" x14ac:dyDescent="0.15">
      <c r="A48" s="10" t="s">
        <v>32</v>
      </c>
      <c r="B48" s="10"/>
      <c r="C48" s="276"/>
      <c r="D48" s="276" t="str">
        <f t="shared" si="23"/>
        <v>No</v>
      </c>
      <c r="E48" s="276"/>
      <c r="F48" s="276"/>
      <c r="G48" s="8">
        <v>8</v>
      </c>
      <c r="H48" s="1">
        <v>67</v>
      </c>
      <c r="I48" s="10">
        <v>22</v>
      </c>
      <c r="J48" s="7" t="s">
        <v>33</v>
      </c>
      <c r="K48" s="287"/>
      <c r="L48" s="1">
        <v>648.02</v>
      </c>
      <c r="M48" s="288"/>
      <c r="N48" s="289"/>
      <c r="O48" s="1">
        <v>202</v>
      </c>
      <c r="P48" s="290">
        <f t="shared" si="4"/>
        <v>0.31171877411191012</v>
      </c>
      <c r="Q48" s="290">
        <f t="shared" si="5"/>
        <v>0</v>
      </c>
      <c r="R48" s="291">
        <f t="shared" si="6"/>
        <v>0</v>
      </c>
      <c r="S48" s="291">
        <f t="shared" si="24"/>
        <v>0</v>
      </c>
      <c r="T48" s="1">
        <v>0</v>
      </c>
      <c r="U48" s="1">
        <f t="shared" si="25"/>
        <v>0</v>
      </c>
      <c r="V48" s="292">
        <f t="shared" si="7"/>
        <v>60.6</v>
      </c>
      <c r="W48" s="254">
        <f t="shared" si="8"/>
        <v>708.62</v>
      </c>
      <c r="X48" s="1">
        <v>527164825.32999998</v>
      </c>
      <c r="Y48" s="1">
        <v>5075</v>
      </c>
      <c r="Z48" s="264">
        <f t="shared" si="9"/>
        <v>103874.84</v>
      </c>
      <c r="AA48" s="293">
        <f t="shared" si="10"/>
        <v>0.55637199999999998</v>
      </c>
      <c r="AB48" s="1">
        <v>89213</v>
      </c>
      <c r="AC48" s="293">
        <f t="shared" si="11"/>
        <v>0.77475700000000003</v>
      </c>
      <c r="AD48" s="293">
        <f t="shared" si="12"/>
        <v>0.37811299999999998</v>
      </c>
      <c r="AE48" s="294">
        <f t="shared" si="13"/>
        <v>0.37811299999999998</v>
      </c>
      <c r="AF48" s="295">
        <f t="shared" si="26"/>
        <v>0</v>
      </c>
      <c r="AG48" s="296">
        <f t="shared" si="27"/>
        <v>0.37811299999999998</v>
      </c>
      <c r="AH48" s="1">
        <v>0</v>
      </c>
      <c r="AI48" s="1">
        <v>0</v>
      </c>
      <c r="AJ48" s="254">
        <f t="shared" si="14"/>
        <v>0</v>
      </c>
      <c r="AK48" s="9">
        <f t="shared" si="15"/>
        <v>0</v>
      </c>
      <c r="AL48" s="9">
        <f t="shared" si="16"/>
        <v>3087990</v>
      </c>
      <c r="AM48" s="9">
        <f t="shared" si="17"/>
        <v>3087990</v>
      </c>
      <c r="AN48" s="9">
        <f t="shared" si="28"/>
        <v>3087990</v>
      </c>
      <c r="AO48" s="291">
        <v>4665608</v>
      </c>
      <c r="AP48" s="9">
        <f t="shared" si="29"/>
        <v>1577618</v>
      </c>
      <c r="AQ48" s="297" t="str">
        <f t="shared" si="30"/>
        <v>No</v>
      </c>
      <c r="AR48" s="291">
        <v>4136251</v>
      </c>
      <c r="AS48" s="291">
        <f t="shared" si="18"/>
        <v>131415.57939999999</v>
      </c>
      <c r="AT48" s="291">
        <f t="shared" si="19"/>
        <v>4004835.4205999998</v>
      </c>
      <c r="AU48" s="291">
        <f t="shared" si="20"/>
        <v>4004835.4205999998</v>
      </c>
      <c r="AV48" s="291"/>
      <c r="AW48" s="291">
        <f t="shared" si="31"/>
        <v>3873419.8411999997</v>
      </c>
      <c r="AX48" s="291">
        <f t="shared" si="35"/>
        <v>3742004.2617999995</v>
      </c>
      <c r="AY48" s="291">
        <f t="shared" si="35"/>
        <v>3610588.6823999994</v>
      </c>
      <c r="AZ48" s="291">
        <f t="shared" si="35"/>
        <v>3479173.1029999992</v>
      </c>
      <c r="BA48" s="291">
        <f t="shared" si="35"/>
        <v>3347757.523599999</v>
      </c>
      <c r="BB48" s="291">
        <f t="shared" si="35"/>
        <v>3216341.9441999989</v>
      </c>
      <c r="BC48" s="291">
        <f t="shared" si="33"/>
        <v>3087990</v>
      </c>
      <c r="BD48" s="298"/>
      <c r="BE48" s="291">
        <f t="shared" si="34"/>
        <v>3873419.8411999997</v>
      </c>
      <c r="BF48" s="291">
        <f t="shared" si="34"/>
        <v>3742004.2617999995</v>
      </c>
      <c r="BG48" s="291">
        <f t="shared" si="34"/>
        <v>3610588.6823999994</v>
      </c>
      <c r="BH48" s="291">
        <f t="shared" si="34"/>
        <v>3479173.1029999992</v>
      </c>
      <c r="BI48" s="291">
        <f t="shared" si="34"/>
        <v>3347757.523599999</v>
      </c>
      <c r="BJ48" s="291">
        <f t="shared" si="34"/>
        <v>3216341.9441999989</v>
      </c>
      <c r="BK48" s="291">
        <f t="shared" si="34"/>
        <v>3087990</v>
      </c>
      <c r="BL48" s="298"/>
      <c r="BM48" s="298"/>
      <c r="BN48" s="298"/>
      <c r="BO48" s="298"/>
    </row>
    <row r="49" spans="1:67" x14ac:dyDescent="0.15">
      <c r="A49" s="10" t="s">
        <v>4</v>
      </c>
      <c r="B49" s="10"/>
      <c r="C49" s="276"/>
      <c r="D49" s="276" t="str">
        <f t="shared" si="23"/>
        <v>No</v>
      </c>
      <c r="E49" s="276"/>
      <c r="F49" s="276"/>
      <c r="G49" s="8">
        <v>4</v>
      </c>
      <c r="H49" s="1">
        <v>133</v>
      </c>
      <c r="I49" s="10">
        <v>23</v>
      </c>
      <c r="J49" s="7" t="s">
        <v>34</v>
      </c>
      <c r="K49" s="287"/>
      <c r="L49" s="1">
        <v>1570.88</v>
      </c>
      <c r="M49" s="288"/>
      <c r="N49" s="289"/>
      <c r="O49" s="1">
        <v>188</v>
      </c>
      <c r="P49" s="290">
        <f t="shared" si="4"/>
        <v>0.11967814218781829</v>
      </c>
      <c r="Q49" s="290">
        <f t="shared" si="5"/>
        <v>0</v>
      </c>
      <c r="R49" s="291">
        <f t="shared" si="6"/>
        <v>0</v>
      </c>
      <c r="S49" s="291">
        <f t="shared" si="24"/>
        <v>0</v>
      </c>
      <c r="T49" s="1">
        <v>14</v>
      </c>
      <c r="U49" s="1">
        <f t="shared" si="25"/>
        <v>2.1</v>
      </c>
      <c r="V49" s="292">
        <f t="shared" si="7"/>
        <v>56.4</v>
      </c>
      <c r="W49" s="254">
        <f t="shared" si="8"/>
        <v>1629.38</v>
      </c>
      <c r="X49" s="1">
        <v>1571558876.6700001</v>
      </c>
      <c r="Y49" s="1">
        <v>10298</v>
      </c>
      <c r="Z49" s="264">
        <f t="shared" si="9"/>
        <v>152608.16</v>
      </c>
      <c r="AA49" s="293">
        <f t="shared" si="10"/>
        <v>0.81739700000000004</v>
      </c>
      <c r="AB49" s="1">
        <v>90594</v>
      </c>
      <c r="AC49" s="293">
        <f t="shared" si="11"/>
        <v>0.78674999999999995</v>
      </c>
      <c r="AD49" s="293">
        <f t="shared" si="12"/>
        <v>0.191797</v>
      </c>
      <c r="AE49" s="294">
        <f t="shared" si="13"/>
        <v>0.191797</v>
      </c>
      <c r="AF49" s="295">
        <f t="shared" si="26"/>
        <v>0</v>
      </c>
      <c r="AG49" s="296">
        <f t="shared" si="27"/>
        <v>0.191797</v>
      </c>
      <c r="AH49" s="1">
        <v>0</v>
      </c>
      <c r="AI49" s="1">
        <v>0</v>
      </c>
      <c r="AJ49" s="254">
        <f t="shared" si="14"/>
        <v>0</v>
      </c>
      <c r="AK49" s="9">
        <f t="shared" si="15"/>
        <v>0</v>
      </c>
      <c r="AL49" s="9">
        <f t="shared" si="16"/>
        <v>3601680</v>
      </c>
      <c r="AM49" s="9">
        <f t="shared" si="17"/>
        <v>3601680</v>
      </c>
      <c r="AN49" s="9">
        <f t="shared" si="28"/>
        <v>3601680</v>
      </c>
      <c r="AO49" s="291">
        <v>3403900</v>
      </c>
      <c r="AP49" s="9">
        <f t="shared" si="29"/>
        <v>197780</v>
      </c>
      <c r="AQ49" s="297" t="str">
        <f t="shared" si="30"/>
        <v>Yes</v>
      </c>
      <c r="AR49" s="291">
        <v>3402125</v>
      </c>
      <c r="AS49" s="291">
        <f t="shared" si="18"/>
        <v>21083.348000000002</v>
      </c>
      <c r="AT49" s="291">
        <f t="shared" si="19"/>
        <v>3423208.3480000002</v>
      </c>
      <c r="AU49" s="291">
        <f t="shared" si="20"/>
        <v>3423208.3480000002</v>
      </c>
      <c r="AV49" s="291"/>
      <c r="AW49" s="291">
        <f t="shared" si="31"/>
        <v>3444291.6960000005</v>
      </c>
      <c r="AX49" s="291">
        <f t="shared" si="35"/>
        <v>3465375.0440000007</v>
      </c>
      <c r="AY49" s="291">
        <f t="shared" si="35"/>
        <v>3486458.3920000009</v>
      </c>
      <c r="AZ49" s="291">
        <f t="shared" si="35"/>
        <v>3507541.7400000012</v>
      </c>
      <c r="BA49" s="291">
        <f t="shared" si="35"/>
        <v>3528625.0880000014</v>
      </c>
      <c r="BB49" s="291">
        <f t="shared" si="35"/>
        <v>3549708.4360000016</v>
      </c>
      <c r="BC49" s="291">
        <f t="shared" si="33"/>
        <v>3601680</v>
      </c>
      <c r="BD49" s="298"/>
      <c r="BE49" s="291">
        <f t="shared" si="34"/>
        <v>3444291.6960000005</v>
      </c>
      <c r="BF49" s="291">
        <f t="shared" si="34"/>
        <v>3465375.0440000007</v>
      </c>
      <c r="BG49" s="291">
        <f t="shared" si="34"/>
        <v>3486458.3920000009</v>
      </c>
      <c r="BH49" s="291">
        <f t="shared" si="34"/>
        <v>3507541.7400000012</v>
      </c>
      <c r="BI49" s="291">
        <f t="shared" si="34"/>
        <v>3528625.0880000014</v>
      </c>
      <c r="BJ49" s="291">
        <f t="shared" si="34"/>
        <v>3549708.4360000016</v>
      </c>
      <c r="BK49" s="291">
        <f t="shared" si="34"/>
        <v>3601680</v>
      </c>
      <c r="BL49" s="298"/>
      <c r="BM49" s="298"/>
      <c r="BN49" s="298"/>
      <c r="BO49" s="298"/>
    </row>
    <row r="50" spans="1:67" x14ac:dyDescent="0.15">
      <c r="A50" s="10" t="s">
        <v>8</v>
      </c>
      <c r="B50" s="10"/>
      <c r="C50" s="276"/>
      <c r="D50" s="276" t="str">
        <f t="shared" si="23"/>
        <v>No</v>
      </c>
      <c r="E50" s="276"/>
      <c r="F50" s="276"/>
      <c r="G50" s="8">
        <v>9</v>
      </c>
      <c r="H50" s="1">
        <v>26</v>
      </c>
      <c r="I50" s="10">
        <v>24</v>
      </c>
      <c r="J50" s="7" t="s">
        <v>35</v>
      </c>
      <c r="K50" s="287"/>
      <c r="L50" s="1">
        <v>239.6</v>
      </c>
      <c r="M50" s="300"/>
      <c r="N50" s="289"/>
      <c r="O50" s="1">
        <v>101</v>
      </c>
      <c r="P50" s="290">
        <f t="shared" si="4"/>
        <v>0.4215358931552588</v>
      </c>
      <c r="Q50" s="290">
        <f t="shared" si="5"/>
        <v>0</v>
      </c>
      <c r="R50" s="291">
        <f t="shared" si="6"/>
        <v>0</v>
      </c>
      <c r="S50" s="291">
        <f t="shared" si="24"/>
        <v>0</v>
      </c>
      <c r="T50" s="1">
        <v>7</v>
      </c>
      <c r="U50" s="1">
        <f t="shared" si="25"/>
        <v>1.05</v>
      </c>
      <c r="V50" s="292">
        <f t="shared" si="7"/>
        <v>30.3</v>
      </c>
      <c r="W50" s="254">
        <f t="shared" si="8"/>
        <v>270.95</v>
      </c>
      <c r="X50" s="1">
        <v>268482585.67000002</v>
      </c>
      <c r="Y50" s="1">
        <v>2241</v>
      </c>
      <c r="Z50" s="264">
        <f t="shared" si="9"/>
        <v>119804.81</v>
      </c>
      <c r="AA50" s="293">
        <f t="shared" si="10"/>
        <v>0.64169600000000004</v>
      </c>
      <c r="AB50" s="1">
        <v>76932</v>
      </c>
      <c r="AC50" s="293">
        <f t="shared" si="11"/>
        <v>0.66810499999999995</v>
      </c>
      <c r="AD50" s="293">
        <f t="shared" si="12"/>
        <v>0.350381</v>
      </c>
      <c r="AE50" s="294">
        <f t="shared" si="13"/>
        <v>0.350381</v>
      </c>
      <c r="AF50" s="295">
        <f t="shared" si="26"/>
        <v>0</v>
      </c>
      <c r="AG50" s="296">
        <f t="shared" si="27"/>
        <v>0.350381</v>
      </c>
      <c r="AH50" s="1">
        <v>99</v>
      </c>
      <c r="AI50" s="1">
        <v>6</v>
      </c>
      <c r="AJ50" s="254">
        <f t="shared" si="14"/>
        <v>46.15</v>
      </c>
      <c r="AK50" s="9">
        <f t="shared" si="15"/>
        <v>4569</v>
      </c>
      <c r="AL50" s="9">
        <f t="shared" si="16"/>
        <v>1094134</v>
      </c>
      <c r="AM50" s="9">
        <f t="shared" si="17"/>
        <v>1098703</v>
      </c>
      <c r="AN50" s="9">
        <f t="shared" si="28"/>
        <v>1098703</v>
      </c>
      <c r="AO50" s="291">
        <v>1856992</v>
      </c>
      <c r="AP50" s="9">
        <f t="shared" si="29"/>
        <v>758289</v>
      </c>
      <c r="AQ50" s="297" t="str">
        <f t="shared" si="30"/>
        <v>No</v>
      </c>
      <c r="AR50" s="291">
        <v>1715312</v>
      </c>
      <c r="AS50" s="291">
        <f t="shared" si="18"/>
        <v>63165.473700000002</v>
      </c>
      <c r="AT50" s="291">
        <f t="shared" si="19"/>
        <v>1652146.5263</v>
      </c>
      <c r="AU50" s="291">
        <f t="shared" si="20"/>
        <v>1652146.5263</v>
      </c>
      <c r="AV50" s="291"/>
      <c r="AW50" s="291">
        <f t="shared" si="31"/>
        <v>1588981.0526000001</v>
      </c>
      <c r="AX50" s="291">
        <f t="shared" si="35"/>
        <v>1525815.5789000001</v>
      </c>
      <c r="AY50" s="291">
        <f t="shared" si="35"/>
        <v>1462650.1052000001</v>
      </c>
      <c r="AZ50" s="291">
        <f t="shared" si="35"/>
        <v>1399484.6315000001</v>
      </c>
      <c r="BA50" s="291">
        <f t="shared" si="35"/>
        <v>1336319.1578000002</v>
      </c>
      <c r="BB50" s="291">
        <f t="shared" si="35"/>
        <v>1273153.6841000002</v>
      </c>
      <c r="BC50" s="291">
        <f t="shared" si="33"/>
        <v>1098703</v>
      </c>
      <c r="BD50" s="298"/>
      <c r="BE50" s="291">
        <f t="shared" si="34"/>
        <v>1588981.0526000001</v>
      </c>
      <c r="BF50" s="291">
        <f t="shared" si="34"/>
        <v>1525815.5789000001</v>
      </c>
      <c r="BG50" s="291">
        <f t="shared" si="34"/>
        <v>1462650.1052000001</v>
      </c>
      <c r="BH50" s="291">
        <f t="shared" si="34"/>
        <v>1399484.6315000001</v>
      </c>
      <c r="BI50" s="291">
        <f t="shared" si="34"/>
        <v>1336319.1578000002</v>
      </c>
      <c r="BJ50" s="291">
        <f t="shared" si="34"/>
        <v>1273153.6841000002</v>
      </c>
      <c r="BK50" s="291">
        <f t="shared" si="34"/>
        <v>1098703</v>
      </c>
      <c r="BL50" s="298"/>
      <c r="BM50" s="298"/>
      <c r="BN50" s="298"/>
      <c r="BO50" s="298"/>
    </row>
    <row r="51" spans="1:67" x14ac:dyDescent="0.15">
      <c r="A51" s="10" t="s">
        <v>10</v>
      </c>
      <c r="B51" s="10"/>
      <c r="C51" s="276"/>
      <c r="D51" s="276" t="str">
        <f t="shared" si="23"/>
        <v>No</v>
      </c>
      <c r="E51" s="276"/>
      <c r="F51" s="276"/>
      <c r="G51" s="8">
        <v>4</v>
      </c>
      <c r="H51" s="1">
        <v>123</v>
      </c>
      <c r="I51" s="10">
        <v>25</v>
      </c>
      <c r="J51" s="7" t="s">
        <v>36</v>
      </c>
      <c r="K51" s="287"/>
      <c r="L51" s="1">
        <v>4152.42</v>
      </c>
      <c r="M51" s="288"/>
      <c r="N51" s="289"/>
      <c r="O51" s="1">
        <v>604</v>
      </c>
      <c r="P51" s="290">
        <f t="shared" si="4"/>
        <v>0.14545734776347286</v>
      </c>
      <c r="Q51" s="290">
        <f t="shared" si="5"/>
        <v>0</v>
      </c>
      <c r="R51" s="291">
        <f t="shared" si="6"/>
        <v>0</v>
      </c>
      <c r="S51" s="291">
        <f t="shared" si="24"/>
        <v>0</v>
      </c>
      <c r="T51" s="1">
        <v>55</v>
      </c>
      <c r="U51" s="1">
        <f t="shared" si="25"/>
        <v>8.25</v>
      </c>
      <c r="V51" s="292">
        <f t="shared" si="7"/>
        <v>181.2</v>
      </c>
      <c r="W51" s="254">
        <f t="shared" si="8"/>
        <v>4341.87</v>
      </c>
      <c r="X51" s="1">
        <v>4117091921</v>
      </c>
      <c r="Y51" s="1">
        <v>29330</v>
      </c>
      <c r="Z51" s="264">
        <f t="shared" si="9"/>
        <v>140371.35999999999</v>
      </c>
      <c r="AA51" s="293">
        <f t="shared" si="10"/>
        <v>0.75185400000000002</v>
      </c>
      <c r="AB51" s="1">
        <v>107579</v>
      </c>
      <c r="AC51" s="293">
        <f t="shared" si="11"/>
        <v>0.93425400000000003</v>
      </c>
      <c r="AD51" s="293">
        <f t="shared" si="12"/>
        <v>0.19342599999999999</v>
      </c>
      <c r="AE51" s="294">
        <f t="shared" si="13"/>
        <v>0.19342599999999999</v>
      </c>
      <c r="AF51" s="295">
        <f t="shared" si="26"/>
        <v>0</v>
      </c>
      <c r="AG51" s="296">
        <f t="shared" si="27"/>
        <v>0.19342599999999999</v>
      </c>
      <c r="AH51" s="1">
        <v>0</v>
      </c>
      <c r="AI51" s="1">
        <v>0</v>
      </c>
      <c r="AJ51" s="254">
        <f t="shared" si="14"/>
        <v>0</v>
      </c>
      <c r="AK51" s="9">
        <f t="shared" si="15"/>
        <v>0</v>
      </c>
      <c r="AL51" s="9">
        <f t="shared" si="16"/>
        <v>9679047</v>
      </c>
      <c r="AM51" s="9">
        <f t="shared" si="17"/>
        <v>9679047</v>
      </c>
      <c r="AN51" s="9">
        <f t="shared" si="28"/>
        <v>9679047</v>
      </c>
      <c r="AO51" s="291">
        <v>9436665</v>
      </c>
      <c r="AP51" s="9">
        <f t="shared" si="29"/>
        <v>242382</v>
      </c>
      <c r="AQ51" s="297" t="str">
        <f t="shared" si="30"/>
        <v>Yes</v>
      </c>
      <c r="AR51" s="291">
        <v>9313574</v>
      </c>
      <c r="AS51" s="291">
        <f t="shared" si="18"/>
        <v>25837.921200000001</v>
      </c>
      <c r="AT51" s="291">
        <f t="shared" si="19"/>
        <v>9339411.9211999997</v>
      </c>
      <c r="AU51" s="291">
        <f t="shared" si="20"/>
        <v>9339411.9211999997</v>
      </c>
      <c r="AV51" s="291"/>
      <c r="AW51" s="291">
        <f t="shared" si="31"/>
        <v>9365249.8423999995</v>
      </c>
      <c r="AX51" s="291">
        <f t="shared" si="35"/>
        <v>9391087.7635999992</v>
      </c>
      <c r="AY51" s="291">
        <f t="shared" si="35"/>
        <v>9416925.684799999</v>
      </c>
      <c r="AZ51" s="291">
        <f t="shared" si="35"/>
        <v>9442763.6059999987</v>
      </c>
      <c r="BA51" s="291">
        <f t="shared" si="35"/>
        <v>9468601.5271999985</v>
      </c>
      <c r="BB51" s="291">
        <f t="shared" si="35"/>
        <v>9494439.4483999982</v>
      </c>
      <c r="BC51" s="291">
        <f t="shared" si="33"/>
        <v>9679047</v>
      </c>
      <c r="BD51" s="298"/>
      <c r="BE51" s="291">
        <f t="shared" si="34"/>
        <v>9365249.8423999995</v>
      </c>
      <c r="BF51" s="291">
        <f t="shared" si="34"/>
        <v>9391087.7635999992</v>
      </c>
      <c r="BG51" s="291">
        <f t="shared" si="34"/>
        <v>9416925.684799999</v>
      </c>
      <c r="BH51" s="291">
        <f t="shared" si="34"/>
        <v>9442763.6059999987</v>
      </c>
      <c r="BI51" s="291">
        <f t="shared" si="34"/>
        <v>9468601.5271999985</v>
      </c>
      <c r="BJ51" s="291">
        <f t="shared" si="34"/>
        <v>9494439.4483999982</v>
      </c>
      <c r="BK51" s="291">
        <f t="shared" si="34"/>
        <v>9679047</v>
      </c>
      <c r="BL51" s="298"/>
      <c r="BM51" s="298"/>
      <c r="BN51" s="298"/>
      <c r="BO51" s="298"/>
    </row>
    <row r="52" spans="1:67" x14ac:dyDescent="0.15">
      <c r="A52" s="10" t="s">
        <v>8</v>
      </c>
      <c r="B52" s="10"/>
      <c r="C52" s="276"/>
      <c r="D52" s="276" t="str">
        <f t="shared" si="23"/>
        <v>No</v>
      </c>
      <c r="E52" s="276"/>
      <c r="F52" s="276"/>
      <c r="G52" s="8">
        <v>4</v>
      </c>
      <c r="H52" s="1">
        <v>134</v>
      </c>
      <c r="I52" s="10">
        <v>26</v>
      </c>
      <c r="J52" s="7" t="s">
        <v>37</v>
      </c>
      <c r="K52" s="287"/>
      <c r="L52" s="1">
        <v>405.43</v>
      </c>
      <c r="M52" s="288"/>
      <c r="N52" s="289"/>
      <c r="O52" s="1">
        <v>86</v>
      </c>
      <c r="P52" s="290">
        <f t="shared" si="4"/>
        <v>0.2121204646918087</v>
      </c>
      <c r="Q52" s="290">
        <f t="shared" si="5"/>
        <v>0</v>
      </c>
      <c r="R52" s="291">
        <f t="shared" si="6"/>
        <v>0</v>
      </c>
      <c r="S52" s="291">
        <f t="shared" si="24"/>
        <v>0</v>
      </c>
      <c r="T52" s="1">
        <v>6</v>
      </c>
      <c r="U52" s="1">
        <f t="shared" si="25"/>
        <v>0.89999999999999991</v>
      </c>
      <c r="V52" s="292">
        <f t="shared" si="7"/>
        <v>25.8</v>
      </c>
      <c r="W52" s="254">
        <f t="shared" si="8"/>
        <v>432.13</v>
      </c>
      <c r="X52" s="1">
        <v>652916383</v>
      </c>
      <c r="Y52" s="1">
        <v>4254</v>
      </c>
      <c r="Z52" s="264">
        <f t="shared" si="9"/>
        <v>153482.93</v>
      </c>
      <c r="AA52" s="293">
        <f t="shared" si="10"/>
        <v>0.82208199999999998</v>
      </c>
      <c r="AB52" s="1">
        <v>86675</v>
      </c>
      <c r="AC52" s="293">
        <f t="shared" si="11"/>
        <v>0.75271600000000005</v>
      </c>
      <c r="AD52" s="293">
        <f t="shared" si="12"/>
        <v>0.19872799999999999</v>
      </c>
      <c r="AE52" s="294">
        <f t="shared" si="13"/>
        <v>0.19872799999999999</v>
      </c>
      <c r="AF52" s="295">
        <f t="shared" si="26"/>
        <v>0</v>
      </c>
      <c r="AG52" s="296">
        <f t="shared" si="27"/>
        <v>0.19872799999999999</v>
      </c>
      <c r="AH52" s="1">
        <v>212</v>
      </c>
      <c r="AI52" s="1">
        <v>6</v>
      </c>
      <c r="AJ52" s="254">
        <f t="shared" si="14"/>
        <v>46.15</v>
      </c>
      <c r="AK52" s="9">
        <f t="shared" si="15"/>
        <v>9784</v>
      </c>
      <c r="AL52" s="9">
        <f t="shared" si="16"/>
        <v>989725</v>
      </c>
      <c r="AM52" s="9">
        <f t="shared" si="17"/>
        <v>999509</v>
      </c>
      <c r="AN52" s="9">
        <f t="shared" si="28"/>
        <v>999509</v>
      </c>
      <c r="AO52" s="291">
        <v>659216</v>
      </c>
      <c r="AP52" s="9">
        <f t="shared" si="29"/>
        <v>340293</v>
      </c>
      <c r="AQ52" s="297" t="str">
        <f t="shared" si="30"/>
        <v>Yes</v>
      </c>
      <c r="AR52" s="291">
        <v>732016</v>
      </c>
      <c r="AS52" s="291">
        <f t="shared" si="18"/>
        <v>36275.233800000002</v>
      </c>
      <c r="AT52" s="291">
        <f t="shared" si="19"/>
        <v>768291.23380000005</v>
      </c>
      <c r="AU52" s="291">
        <f t="shared" si="20"/>
        <v>768291.23380000005</v>
      </c>
      <c r="AV52" s="291"/>
      <c r="AW52" s="291">
        <f t="shared" si="31"/>
        <v>804566.46760000009</v>
      </c>
      <c r="AX52" s="291">
        <f t="shared" si="35"/>
        <v>840841.70140000014</v>
      </c>
      <c r="AY52" s="291">
        <f t="shared" si="35"/>
        <v>877116.93520000018</v>
      </c>
      <c r="AZ52" s="291">
        <f t="shared" si="35"/>
        <v>913392.16900000023</v>
      </c>
      <c r="BA52" s="291">
        <f t="shared" si="35"/>
        <v>949667.40280000027</v>
      </c>
      <c r="BB52" s="291">
        <f t="shared" si="35"/>
        <v>985942.63660000032</v>
      </c>
      <c r="BC52" s="291">
        <f t="shared" si="33"/>
        <v>999509</v>
      </c>
      <c r="BD52" s="298"/>
      <c r="BE52" s="291">
        <f t="shared" si="34"/>
        <v>804566.46760000009</v>
      </c>
      <c r="BF52" s="291">
        <f t="shared" si="34"/>
        <v>840841.70140000014</v>
      </c>
      <c r="BG52" s="291">
        <f t="shared" si="34"/>
        <v>877116.93520000018</v>
      </c>
      <c r="BH52" s="291">
        <f t="shared" si="34"/>
        <v>913392.16900000023</v>
      </c>
      <c r="BI52" s="291">
        <f t="shared" si="34"/>
        <v>949667.40280000027</v>
      </c>
      <c r="BJ52" s="291">
        <f t="shared" si="34"/>
        <v>985942.63660000032</v>
      </c>
      <c r="BK52" s="291">
        <f t="shared" si="34"/>
        <v>999509</v>
      </c>
      <c r="BL52" s="298"/>
      <c r="BM52" s="298"/>
      <c r="BN52" s="298"/>
      <c r="BO52" s="298"/>
    </row>
    <row r="53" spans="1:67" x14ac:dyDescent="0.15">
      <c r="A53" s="10" t="s">
        <v>14</v>
      </c>
      <c r="B53" s="10"/>
      <c r="C53" s="276"/>
      <c r="D53" s="276" t="str">
        <f t="shared" si="23"/>
        <v>No</v>
      </c>
      <c r="E53" s="276"/>
      <c r="F53" s="276"/>
      <c r="G53" s="8">
        <v>5</v>
      </c>
      <c r="H53" s="1">
        <v>108</v>
      </c>
      <c r="I53" s="10">
        <v>27</v>
      </c>
      <c r="J53" s="7" t="s">
        <v>38</v>
      </c>
      <c r="K53" s="287"/>
      <c r="L53" s="1">
        <v>1685.81</v>
      </c>
      <c r="M53" s="288"/>
      <c r="N53" s="289"/>
      <c r="O53" s="1">
        <v>618</v>
      </c>
      <c r="P53" s="290">
        <f t="shared" si="4"/>
        <v>0.36658935467223475</v>
      </c>
      <c r="Q53" s="290">
        <f t="shared" si="5"/>
        <v>0</v>
      </c>
      <c r="R53" s="291">
        <f t="shared" si="6"/>
        <v>0</v>
      </c>
      <c r="S53" s="291">
        <f t="shared" si="24"/>
        <v>0</v>
      </c>
      <c r="T53" s="1">
        <v>103</v>
      </c>
      <c r="U53" s="1">
        <f t="shared" si="25"/>
        <v>15.45</v>
      </c>
      <c r="V53" s="292">
        <f t="shared" si="7"/>
        <v>185.4</v>
      </c>
      <c r="W53" s="254">
        <f t="shared" si="8"/>
        <v>1886.66</v>
      </c>
      <c r="X53" s="1">
        <v>2264369567.6700001</v>
      </c>
      <c r="Y53" s="1">
        <v>12957</v>
      </c>
      <c r="Z53" s="264">
        <f t="shared" si="9"/>
        <v>174760.33</v>
      </c>
      <c r="AA53" s="293">
        <f t="shared" si="10"/>
        <v>0.93604799999999999</v>
      </c>
      <c r="AB53" s="1">
        <v>76509</v>
      </c>
      <c r="AC53" s="293">
        <f t="shared" si="11"/>
        <v>0.66443099999999999</v>
      </c>
      <c r="AD53" s="293">
        <f t="shared" si="12"/>
        <v>0.14543700000000001</v>
      </c>
      <c r="AE53" s="294">
        <f t="shared" si="13"/>
        <v>0.14543700000000001</v>
      </c>
      <c r="AF53" s="295">
        <f t="shared" si="26"/>
        <v>0</v>
      </c>
      <c r="AG53" s="296">
        <f t="shared" si="27"/>
        <v>0.14543700000000001</v>
      </c>
      <c r="AH53" s="1">
        <v>0</v>
      </c>
      <c r="AI53" s="1">
        <v>0</v>
      </c>
      <c r="AJ53" s="254">
        <f t="shared" si="14"/>
        <v>0</v>
      </c>
      <c r="AK53" s="9">
        <f t="shared" si="15"/>
        <v>0</v>
      </c>
      <c r="AL53" s="9">
        <f t="shared" si="16"/>
        <v>3162347</v>
      </c>
      <c r="AM53" s="9">
        <f t="shared" si="17"/>
        <v>3162347</v>
      </c>
      <c r="AN53" s="9">
        <f t="shared" si="28"/>
        <v>3162347</v>
      </c>
      <c r="AO53" s="291">
        <v>6326998</v>
      </c>
      <c r="AP53" s="9">
        <f t="shared" si="29"/>
        <v>3164651</v>
      </c>
      <c r="AQ53" s="297" t="str">
        <f t="shared" si="30"/>
        <v>No</v>
      </c>
      <c r="AR53" s="291">
        <v>5455699</v>
      </c>
      <c r="AS53" s="291">
        <f t="shared" si="18"/>
        <v>263615.42829999997</v>
      </c>
      <c r="AT53" s="291">
        <f t="shared" si="19"/>
        <v>5192083.5717000002</v>
      </c>
      <c r="AU53" s="291">
        <f t="shared" si="20"/>
        <v>5192083.5717000002</v>
      </c>
      <c r="AV53" s="291"/>
      <c r="AW53" s="291">
        <f t="shared" si="31"/>
        <v>4928468.1434000004</v>
      </c>
      <c r="AX53" s="291">
        <f t="shared" si="35"/>
        <v>4664852.7151000006</v>
      </c>
      <c r="AY53" s="291">
        <f t="shared" si="35"/>
        <v>4401237.2868000008</v>
      </c>
      <c r="AZ53" s="291">
        <f t="shared" si="35"/>
        <v>4137621.858500001</v>
      </c>
      <c r="BA53" s="291">
        <f t="shared" si="35"/>
        <v>3874006.4302000012</v>
      </c>
      <c r="BB53" s="291">
        <f t="shared" si="35"/>
        <v>3610391.0019000014</v>
      </c>
      <c r="BC53" s="291">
        <f t="shared" si="33"/>
        <v>3162347</v>
      </c>
      <c r="BD53" s="298"/>
      <c r="BE53" s="291">
        <f t="shared" si="34"/>
        <v>4928468.1434000004</v>
      </c>
      <c r="BF53" s="291">
        <f t="shared" si="34"/>
        <v>4664852.7151000006</v>
      </c>
      <c r="BG53" s="291">
        <f t="shared" si="34"/>
        <v>4401237.2868000008</v>
      </c>
      <c r="BH53" s="291">
        <f t="shared" si="34"/>
        <v>4137621.858500001</v>
      </c>
      <c r="BI53" s="291">
        <f t="shared" si="34"/>
        <v>3874006.4302000012</v>
      </c>
      <c r="BJ53" s="291">
        <f t="shared" si="34"/>
        <v>3610391.0019000014</v>
      </c>
      <c r="BK53" s="291">
        <f t="shared" si="34"/>
        <v>3162347</v>
      </c>
      <c r="BL53" s="298"/>
      <c r="BM53" s="298"/>
      <c r="BN53" s="298"/>
      <c r="BO53" s="298"/>
    </row>
    <row r="54" spans="1:67" x14ac:dyDescent="0.15">
      <c r="A54" s="10" t="s">
        <v>14</v>
      </c>
      <c r="B54" s="10"/>
      <c r="C54" s="276"/>
      <c r="D54" s="276" t="str">
        <f t="shared" si="23"/>
        <v>No</v>
      </c>
      <c r="E54" s="276"/>
      <c r="F54" s="276"/>
      <c r="G54" s="8">
        <v>6</v>
      </c>
      <c r="H54" s="1">
        <v>60</v>
      </c>
      <c r="I54" s="10">
        <v>28</v>
      </c>
      <c r="J54" s="7" t="s">
        <v>39</v>
      </c>
      <c r="K54" s="287"/>
      <c r="L54" s="1">
        <v>2383.65</v>
      </c>
      <c r="M54" s="288"/>
      <c r="N54" s="289"/>
      <c r="O54" s="1">
        <v>562</v>
      </c>
      <c r="P54" s="290">
        <f t="shared" si="4"/>
        <v>0.23577286933903885</v>
      </c>
      <c r="Q54" s="290">
        <f t="shared" si="5"/>
        <v>0</v>
      </c>
      <c r="R54" s="291">
        <f t="shared" si="6"/>
        <v>0</v>
      </c>
      <c r="S54" s="291">
        <f t="shared" si="24"/>
        <v>0</v>
      </c>
      <c r="T54" s="1">
        <v>14</v>
      </c>
      <c r="U54" s="1">
        <f t="shared" si="25"/>
        <v>2.1</v>
      </c>
      <c r="V54" s="292">
        <f t="shared" si="7"/>
        <v>168.6</v>
      </c>
      <c r="W54" s="254">
        <f t="shared" si="8"/>
        <v>2554.35</v>
      </c>
      <c r="X54" s="1">
        <v>1744960350.6700001</v>
      </c>
      <c r="Y54" s="1">
        <v>16029</v>
      </c>
      <c r="Z54" s="264">
        <f t="shared" si="9"/>
        <v>108862.71</v>
      </c>
      <c r="AA54" s="293">
        <f t="shared" si="10"/>
        <v>0.58308800000000005</v>
      </c>
      <c r="AB54" s="1">
        <v>101031</v>
      </c>
      <c r="AC54" s="293">
        <f t="shared" si="11"/>
        <v>0.87738899999999997</v>
      </c>
      <c r="AD54" s="293">
        <f t="shared" si="12"/>
        <v>0.32862200000000003</v>
      </c>
      <c r="AE54" s="294">
        <f t="shared" si="13"/>
        <v>0.32862200000000003</v>
      </c>
      <c r="AF54" s="295">
        <f t="shared" si="26"/>
        <v>0</v>
      </c>
      <c r="AG54" s="296">
        <f t="shared" si="27"/>
        <v>0.32862200000000003</v>
      </c>
      <c r="AH54" s="1">
        <v>0</v>
      </c>
      <c r="AI54" s="1">
        <v>0</v>
      </c>
      <c r="AJ54" s="254">
        <f t="shared" si="14"/>
        <v>0</v>
      </c>
      <c r="AK54" s="9">
        <f t="shared" si="15"/>
        <v>0</v>
      </c>
      <c r="AL54" s="9">
        <f t="shared" si="16"/>
        <v>9674265</v>
      </c>
      <c r="AM54" s="9">
        <f t="shared" si="17"/>
        <v>9674265</v>
      </c>
      <c r="AN54" s="9">
        <f t="shared" si="28"/>
        <v>9674265</v>
      </c>
      <c r="AO54" s="291">
        <v>13503310</v>
      </c>
      <c r="AP54" s="9">
        <f t="shared" si="29"/>
        <v>3829045</v>
      </c>
      <c r="AQ54" s="297" t="str">
        <f t="shared" si="30"/>
        <v>No</v>
      </c>
      <c r="AR54" s="291">
        <v>12359177</v>
      </c>
      <c r="AS54" s="291">
        <f t="shared" si="18"/>
        <v>318959.4485</v>
      </c>
      <c r="AT54" s="291">
        <f t="shared" si="19"/>
        <v>12040217.5515</v>
      </c>
      <c r="AU54" s="291">
        <f t="shared" si="20"/>
        <v>12040217.5515</v>
      </c>
      <c r="AV54" s="291"/>
      <c r="AW54" s="291">
        <f t="shared" si="31"/>
        <v>11721258.103</v>
      </c>
      <c r="AX54" s="291">
        <f t="shared" si="35"/>
        <v>11402298.6545</v>
      </c>
      <c r="AY54" s="291">
        <f t="shared" si="35"/>
        <v>11083339.206</v>
      </c>
      <c r="AZ54" s="291">
        <f t="shared" si="35"/>
        <v>10764379.7575</v>
      </c>
      <c r="BA54" s="291">
        <f t="shared" si="35"/>
        <v>10445420.309</v>
      </c>
      <c r="BB54" s="291">
        <f t="shared" si="35"/>
        <v>10126460.8605</v>
      </c>
      <c r="BC54" s="291">
        <f t="shared" si="33"/>
        <v>9674265</v>
      </c>
      <c r="BD54" s="298"/>
      <c r="BE54" s="291">
        <f t="shared" si="34"/>
        <v>11721258.103</v>
      </c>
      <c r="BF54" s="291">
        <f t="shared" si="34"/>
        <v>11402298.6545</v>
      </c>
      <c r="BG54" s="291">
        <f t="shared" si="34"/>
        <v>11083339.206</v>
      </c>
      <c r="BH54" s="291">
        <f t="shared" si="34"/>
        <v>10764379.7575</v>
      </c>
      <c r="BI54" s="291">
        <f t="shared" si="34"/>
        <v>10445420.309</v>
      </c>
      <c r="BJ54" s="291">
        <f t="shared" si="34"/>
        <v>10126460.8605</v>
      </c>
      <c r="BK54" s="291">
        <f t="shared" si="34"/>
        <v>9674265</v>
      </c>
      <c r="BL54" s="298"/>
      <c r="BM54" s="298"/>
      <c r="BN54" s="298"/>
      <c r="BO54" s="298"/>
    </row>
    <row r="55" spans="1:67" x14ac:dyDescent="0.15">
      <c r="A55" s="10" t="s">
        <v>8</v>
      </c>
      <c r="B55" s="10"/>
      <c r="C55" s="276"/>
      <c r="D55" s="276" t="str">
        <f t="shared" si="23"/>
        <v>No</v>
      </c>
      <c r="E55" s="276"/>
      <c r="F55" s="276"/>
      <c r="G55" s="8">
        <v>5</v>
      </c>
      <c r="H55" s="1">
        <v>43</v>
      </c>
      <c r="I55" s="10">
        <v>29</v>
      </c>
      <c r="J55" s="7" t="s">
        <v>40</v>
      </c>
      <c r="K55" s="287"/>
      <c r="L55" s="1">
        <v>171.43</v>
      </c>
      <c r="M55" s="288"/>
      <c r="N55" s="289"/>
      <c r="O55" s="1">
        <v>44</v>
      </c>
      <c r="P55" s="290">
        <f t="shared" si="4"/>
        <v>0.25666452779560167</v>
      </c>
      <c r="Q55" s="290">
        <f t="shared" si="5"/>
        <v>0</v>
      </c>
      <c r="R55" s="291">
        <f t="shared" si="6"/>
        <v>0</v>
      </c>
      <c r="S55" s="291">
        <f t="shared" si="24"/>
        <v>0</v>
      </c>
      <c r="T55" s="1">
        <v>0</v>
      </c>
      <c r="U55" s="1">
        <f t="shared" si="25"/>
        <v>0</v>
      </c>
      <c r="V55" s="292">
        <f t="shared" si="7"/>
        <v>13.2</v>
      </c>
      <c r="W55" s="254">
        <f t="shared" si="8"/>
        <v>184.63</v>
      </c>
      <c r="X55" s="1">
        <v>258518762.33000001</v>
      </c>
      <c r="Y55" s="1">
        <v>1413</v>
      </c>
      <c r="Z55" s="264">
        <f t="shared" si="9"/>
        <v>182957.37</v>
      </c>
      <c r="AA55" s="293">
        <f t="shared" si="10"/>
        <v>0.97995299999999996</v>
      </c>
      <c r="AB55" s="1">
        <v>84583</v>
      </c>
      <c r="AC55" s="293">
        <f t="shared" si="11"/>
        <v>0.73454900000000001</v>
      </c>
      <c r="AD55" s="293">
        <f t="shared" si="12"/>
        <v>9.3668000000000001E-2</v>
      </c>
      <c r="AE55" s="294">
        <f t="shared" si="13"/>
        <v>9.3668000000000001E-2</v>
      </c>
      <c r="AF55" s="295">
        <f t="shared" si="26"/>
        <v>0</v>
      </c>
      <c r="AG55" s="296">
        <f t="shared" si="27"/>
        <v>9.3668000000000001E-2</v>
      </c>
      <c r="AH55" s="1">
        <v>90</v>
      </c>
      <c r="AI55" s="1">
        <v>6</v>
      </c>
      <c r="AJ55" s="254">
        <f t="shared" si="14"/>
        <v>46.15</v>
      </c>
      <c r="AK55" s="9">
        <f t="shared" si="15"/>
        <v>4154</v>
      </c>
      <c r="AL55" s="9">
        <f t="shared" si="16"/>
        <v>199312</v>
      </c>
      <c r="AM55" s="9">
        <f t="shared" si="17"/>
        <v>203466</v>
      </c>
      <c r="AN55" s="9">
        <f t="shared" si="28"/>
        <v>203466</v>
      </c>
      <c r="AO55" s="291">
        <v>491388</v>
      </c>
      <c r="AP55" s="9">
        <f t="shared" si="29"/>
        <v>287922</v>
      </c>
      <c r="AQ55" s="297" t="str">
        <f t="shared" si="30"/>
        <v>No</v>
      </c>
      <c r="AR55" s="291">
        <v>427896</v>
      </c>
      <c r="AS55" s="291">
        <f t="shared" si="18"/>
        <v>23983.902600000001</v>
      </c>
      <c r="AT55" s="291">
        <f t="shared" si="19"/>
        <v>403912.09739999997</v>
      </c>
      <c r="AU55" s="291">
        <f t="shared" si="20"/>
        <v>403912.09739999997</v>
      </c>
      <c r="AV55" s="291"/>
      <c r="AW55" s="291">
        <f t="shared" si="31"/>
        <v>379928.19479999994</v>
      </c>
      <c r="AX55" s="291">
        <f t="shared" si="35"/>
        <v>355944.29219999991</v>
      </c>
      <c r="AY55" s="291">
        <f t="shared" si="35"/>
        <v>331960.38959999988</v>
      </c>
      <c r="AZ55" s="291">
        <f t="shared" si="35"/>
        <v>307976.48699999985</v>
      </c>
      <c r="BA55" s="291">
        <f t="shared" si="35"/>
        <v>283992.58439999982</v>
      </c>
      <c r="BB55" s="291">
        <f t="shared" si="35"/>
        <v>260008.68179999982</v>
      </c>
      <c r="BC55" s="291">
        <f t="shared" si="33"/>
        <v>203466</v>
      </c>
      <c r="BD55" s="298"/>
      <c r="BE55" s="291">
        <f t="shared" si="34"/>
        <v>379928.19479999994</v>
      </c>
      <c r="BF55" s="291">
        <f t="shared" si="34"/>
        <v>355944.29219999991</v>
      </c>
      <c r="BG55" s="291">
        <f t="shared" si="34"/>
        <v>331960.38959999988</v>
      </c>
      <c r="BH55" s="291">
        <f t="shared" si="34"/>
        <v>307976.48699999985</v>
      </c>
      <c r="BI55" s="291">
        <f t="shared" si="34"/>
        <v>283992.58439999982</v>
      </c>
      <c r="BJ55" s="291">
        <f t="shared" si="34"/>
        <v>260008.68179999982</v>
      </c>
      <c r="BK55" s="291">
        <f t="shared" si="34"/>
        <v>203466</v>
      </c>
      <c r="BL55" s="298"/>
      <c r="BM55" s="298"/>
      <c r="BN55" s="298"/>
      <c r="BO55" s="298"/>
    </row>
    <row r="56" spans="1:67" x14ac:dyDescent="0.15">
      <c r="A56" s="10" t="s">
        <v>4</v>
      </c>
      <c r="B56" s="10"/>
      <c r="C56" s="276"/>
      <c r="D56" s="276" t="str">
        <f t="shared" si="23"/>
        <v>No</v>
      </c>
      <c r="E56" s="276"/>
      <c r="F56" s="276"/>
      <c r="G56" s="8">
        <v>6</v>
      </c>
      <c r="H56" s="1">
        <v>94</v>
      </c>
      <c r="I56" s="10">
        <v>30</v>
      </c>
      <c r="J56" s="7" t="s">
        <v>41</v>
      </c>
      <c r="K56" s="287"/>
      <c r="L56" s="1">
        <v>620.04999999999995</v>
      </c>
      <c r="M56" s="288"/>
      <c r="N56" s="289"/>
      <c r="O56" s="1">
        <v>151</v>
      </c>
      <c r="P56" s="290">
        <f t="shared" si="4"/>
        <v>0.2435287476816386</v>
      </c>
      <c r="Q56" s="290">
        <f t="shared" si="5"/>
        <v>0</v>
      </c>
      <c r="R56" s="291">
        <f t="shared" si="6"/>
        <v>0</v>
      </c>
      <c r="S56" s="291">
        <f t="shared" si="24"/>
        <v>0</v>
      </c>
      <c r="T56" s="1">
        <v>6</v>
      </c>
      <c r="U56" s="1">
        <f t="shared" si="25"/>
        <v>0.89999999999999991</v>
      </c>
      <c r="V56" s="292">
        <f t="shared" si="7"/>
        <v>45.3</v>
      </c>
      <c r="W56" s="254">
        <f t="shared" si="8"/>
        <v>666.24999999999989</v>
      </c>
      <c r="X56" s="1">
        <v>711493262.33000004</v>
      </c>
      <c r="Y56" s="1">
        <v>5418</v>
      </c>
      <c r="Z56" s="264">
        <f t="shared" si="9"/>
        <v>131320.28</v>
      </c>
      <c r="AA56" s="293">
        <f t="shared" si="10"/>
        <v>0.70337499999999997</v>
      </c>
      <c r="AB56" s="1">
        <v>100179</v>
      </c>
      <c r="AC56" s="293">
        <f t="shared" si="11"/>
        <v>0.86999000000000004</v>
      </c>
      <c r="AD56" s="293">
        <f t="shared" si="12"/>
        <v>0.246641</v>
      </c>
      <c r="AE56" s="294">
        <f t="shared" si="13"/>
        <v>0.246641</v>
      </c>
      <c r="AF56" s="295">
        <f t="shared" si="26"/>
        <v>0</v>
      </c>
      <c r="AG56" s="296">
        <f t="shared" si="27"/>
        <v>0.246641</v>
      </c>
      <c r="AH56" s="1">
        <v>0</v>
      </c>
      <c r="AI56" s="1">
        <v>0</v>
      </c>
      <c r="AJ56" s="254">
        <f t="shared" si="14"/>
        <v>0</v>
      </c>
      <c r="AK56" s="9">
        <f t="shared" si="15"/>
        <v>0</v>
      </c>
      <c r="AL56" s="9">
        <f t="shared" si="16"/>
        <v>1893841</v>
      </c>
      <c r="AM56" s="9">
        <f t="shared" si="17"/>
        <v>1893841</v>
      </c>
      <c r="AN56" s="9">
        <f t="shared" si="28"/>
        <v>1893841</v>
      </c>
      <c r="AO56" s="291">
        <v>2523462</v>
      </c>
      <c r="AP56" s="9">
        <f t="shared" si="29"/>
        <v>629621</v>
      </c>
      <c r="AQ56" s="297" t="str">
        <f t="shared" si="30"/>
        <v>No</v>
      </c>
      <c r="AR56" s="291">
        <v>2368637</v>
      </c>
      <c r="AS56" s="291">
        <f t="shared" si="18"/>
        <v>52447.429299999996</v>
      </c>
      <c r="AT56" s="291">
        <f t="shared" si="19"/>
        <v>2316189.5707</v>
      </c>
      <c r="AU56" s="291">
        <f t="shared" si="20"/>
        <v>2316189.5707</v>
      </c>
      <c r="AV56" s="291"/>
      <c r="AW56" s="291">
        <f t="shared" si="31"/>
        <v>2263742.1414000001</v>
      </c>
      <c r="AX56" s="291">
        <f t="shared" si="35"/>
        <v>2211294.7121000001</v>
      </c>
      <c r="AY56" s="291">
        <f t="shared" si="35"/>
        <v>2158847.2828000002</v>
      </c>
      <c r="AZ56" s="291">
        <f t="shared" si="35"/>
        <v>2106399.8535000002</v>
      </c>
      <c r="BA56" s="291">
        <f t="shared" si="35"/>
        <v>2053952.4242000002</v>
      </c>
      <c r="BB56" s="291">
        <f t="shared" si="35"/>
        <v>2001504.9949000003</v>
      </c>
      <c r="BC56" s="291">
        <f t="shared" si="33"/>
        <v>1893841</v>
      </c>
      <c r="BD56" s="298"/>
      <c r="BE56" s="291">
        <f t="shared" si="34"/>
        <v>2263742.1414000001</v>
      </c>
      <c r="BF56" s="291">
        <f t="shared" si="34"/>
        <v>2211294.7121000001</v>
      </c>
      <c r="BG56" s="291">
        <f t="shared" si="34"/>
        <v>2158847.2828000002</v>
      </c>
      <c r="BH56" s="291">
        <f t="shared" si="34"/>
        <v>2106399.8535000002</v>
      </c>
      <c r="BI56" s="291">
        <f t="shared" si="34"/>
        <v>2053952.4242000002</v>
      </c>
      <c r="BJ56" s="291">
        <f t="shared" si="34"/>
        <v>2001504.9949000003</v>
      </c>
      <c r="BK56" s="291">
        <f t="shared" si="34"/>
        <v>1893841</v>
      </c>
      <c r="BL56" s="298"/>
      <c r="BM56" s="298"/>
      <c r="BN56" s="298"/>
      <c r="BO56" s="298"/>
    </row>
    <row r="57" spans="1:67" x14ac:dyDescent="0.15">
      <c r="A57" s="10" t="s">
        <v>4</v>
      </c>
      <c r="B57" s="10"/>
      <c r="C57" s="276"/>
      <c r="D57" s="276" t="str">
        <f t="shared" si="23"/>
        <v>No</v>
      </c>
      <c r="E57" s="276"/>
      <c r="F57" s="276"/>
      <c r="G57" s="8">
        <v>1</v>
      </c>
      <c r="H57" s="1">
        <v>156</v>
      </c>
      <c r="I57" s="10">
        <v>31</v>
      </c>
      <c r="J57" s="7" t="s">
        <v>42</v>
      </c>
      <c r="K57" s="287"/>
      <c r="L57" s="1">
        <v>110.4</v>
      </c>
      <c r="M57" s="288"/>
      <c r="N57" s="289"/>
      <c r="O57" s="1">
        <v>28</v>
      </c>
      <c r="P57" s="290">
        <f t="shared" si="4"/>
        <v>0.25362318840579706</v>
      </c>
      <c r="Q57" s="290">
        <f t="shared" si="5"/>
        <v>0</v>
      </c>
      <c r="R57" s="291">
        <f t="shared" si="6"/>
        <v>0</v>
      </c>
      <c r="S57" s="291">
        <f t="shared" si="24"/>
        <v>0</v>
      </c>
      <c r="T57" s="1">
        <v>6</v>
      </c>
      <c r="U57" s="1">
        <f t="shared" si="25"/>
        <v>0.89999999999999991</v>
      </c>
      <c r="V57" s="292">
        <f t="shared" si="7"/>
        <v>8.4</v>
      </c>
      <c r="W57" s="254">
        <f t="shared" si="8"/>
        <v>119.70000000000002</v>
      </c>
      <c r="X57" s="1">
        <v>552616679.66999996</v>
      </c>
      <c r="Y57" s="1">
        <v>1376</v>
      </c>
      <c r="Z57" s="264">
        <f t="shared" si="9"/>
        <v>401610.96</v>
      </c>
      <c r="AA57" s="293">
        <f t="shared" si="10"/>
        <v>2.1511010000000002</v>
      </c>
      <c r="AB57" s="1">
        <v>76563</v>
      </c>
      <c r="AC57" s="293">
        <f t="shared" si="11"/>
        <v>0.66490000000000005</v>
      </c>
      <c r="AD57" s="293">
        <f t="shared" si="12"/>
        <v>-0.70524100000000001</v>
      </c>
      <c r="AE57" s="294">
        <f t="shared" si="13"/>
        <v>0.01</v>
      </c>
      <c r="AF57" s="295">
        <f t="shared" si="26"/>
        <v>0</v>
      </c>
      <c r="AG57" s="296">
        <f t="shared" si="27"/>
        <v>0.01</v>
      </c>
      <c r="AH57" s="1">
        <v>34</v>
      </c>
      <c r="AI57" s="1">
        <v>4</v>
      </c>
      <c r="AJ57" s="254">
        <f t="shared" si="14"/>
        <v>30.77</v>
      </c>
      <c r="AK57" s="9">
        <f t="shared" si="15"/>
        <v>1046</v>
      </c>
      <c r="AL57" s="9">
        <f t="shared" si="16"/>
        <v>13795</v>
      </c>
      <c r="AM57" s="9">
        <f t="shared" si="17"/>
        <v>14841</v>
      </c>
      <c r="AN57" s="9">
        <f t="shared" si="28"/>
        <v>14841</v>
      </c>
      <c r="AO57" s="291">
        <v>6976</v>
      </c>
      <c r="AP57" s="9">
        <f t="shared" si="29"/>
        <v>7865</v>
      </c>
      <c r="AQ57" s="297" t="str">
        <f t="shared" si="30"/>
        <v>Yes</v>
      </c>
      <c r="AR57" s="291">
        <v>8311</v>
      </c>
      <c r="AS57" s="291">
        <f t="shared" si="18"/>
        <v>838.40899999999999</v>
      </c>
      <c r="AT57" s="291">
        <f t="shared" si="19"/>
        <v>9149.4089999999997</v>
      </c>
      <c r="AU57" s="291">
        <f t="shared" si="20"/>
        <v>9149.4089999999997</v>
      </c>
      <c r="AV57" s="291"/>
      <c r="AW57" s="291">
        <f t="shared" si="31"/>
        <v>9987.8179999999993</v>
      </c>
      <c r="AX57" s="291">
        <f t="shared" si="35"/>
        <v>10826.226999999999</v>
      </c>
      <c r="AY57" s="291">
        <f t="shared" si="35"/>
        <v>11664.635999999999</v>
      </c>
      <c r="AZ57" s="291">
        <f t="shared" si="35"/>
        <v>12503.044999999998</v>
      </c>
      <c r="BA57" s="291">
        <f t="shared" si="35"/>
        <v>13341.453999999998</v>
      </c>
      <c r="BB57" s="291">
        <f t="shared" si="35"/>
        <v>14179.862999999998</v>
      </c>
      <c r="BC57" s="291">
        <f t="shared" si="33"/>
        <v>14841</v>
      </c>
      <c r="BD57" s="298"/>
      <c r="BE57" s="291">
        <f t="shared" si="34"/>
        <v>9987.8179999999993</v>
      </c>
      <c r="BF57" s="291">
        <f t="shared" si="34"/>
        <v>10826.226999999999</v>
      </c>
      <c r="BG57" s="291">
        <f t="shared" si="34"/>
        <v>11664.635999999999</v>
      </c>
      <c r="BH57" s="291">
        <f t="shared" si="34"/>
        <v>12503.044999999998</v>
      </c>
      <c r="BI57" s="291">
        <f t="shared" si="34"/>
        <v>13341.453999999998</v>
      </c>
      <c r="BJ57" s="291">
        <f t="shared" si="34"/>
        <v>14179.862999999998</v>
      </c>
      <c r="BK57" s="291">
        <f t="shared" si="34"/>
        <v>14841</v>
      </c>
      <c r="BL57" s="298"/>
      <c r="BM57" s="298"/>
      <c r="BN57" s="298"/>
      <c r="BO57" s="298"/>
    </row>
    <row r="58" spans="1:67" x14ac:dyDescent="0.15">
      <c r="A58" s="10" t="s">
        <v>8</v>
      </c>
      <c r="B58" s="10"/>
      <c r="C58" s="276"/>
      <c r="D58" s="276" t="str">
        <f t="shared" si="23"/>
        <v>No</v>
      </c>
      <c r="E58" s="276"/>
      <c r="F58" s="276"/>
      <c r="G58" s="8">
        <v>7</v>
      </c>
      <c r="H58" s="1">
        <v>96</v>
      </c>
      <c r="I58" s="10">
        <v>32</v>
      </c>
      <c r="J58" s="7" t="s">
        <v>43</v>
      </c>
      <c r="K58" s="287"/>
      <c r="L58" s="1">
        <v>1689.73</v>
      </c>
      <c r="M58" s="288"/>
      <c r="N58" s="289"/>
      <c r="O58" s="1">
        <v>442</v>
      </c>
      <c r="P58" s="290">
        <f t="shared" si="4"/>
        <v>0.26158025246637034</v>
      </c>
      <c r="Q58" s="290">
        <f t="shared" si="5"/>
        <v>0</v>
      </c>
      <c r="R58" s="291">
        <f t="shared" si="6"/>
        <v>0</v>
      </c>
      <c r="S58" s="291">
        <f t="shared" si="24"/>
        <v>0</v>
      </c>
      <c r="T58" s="1">
        <v>15</v>
      </c>
      <c r="U58" s="1">
        <f t="shared" si="25"/>
        <v>2.25</v>
      </c>
      <c r="V58" s="292">
        <f t="shared" si="7"/>
        <v>132.6</v>
      </c>
      <c r="W58" s="254">
        <f t="shared" si="8"/>
        <v>1824.58</v>
      </c>
      <c r="X58" s="1">
        <v>1454046208.3299999</v>
      </c>
      <c r="Y58" s="1">
        <v>12439</v>
      </c>
      <c r="Z58" s="264">
        <f t="shared" si="9"/>
        <v>116894.14</v>
      </c>
      <c r="AA58" s="293">
        <f t="shared" si="10"/>
        <v>0.62610600000000005</v>
      </c>
      <c r="AB58" s="1">
        <v>88562</v>
      </c>
      <c r="AC58" s="293">
        <f t="shared" si="11"/>
        <v>0.76910400000000001</v>
      </c>
      <c r="AD58" s="293">
        <f t="shared" si="12"/>
        <v>0.33099499999999998</v>
      </c>
      <c r="AE58" s="294">
        <f t="shared" si="13"/>
        <v>0.33099499999999998</v>
      </c>
      <c r="AF58" s="295">
        <f t="shared" si="26"/>
        <v>0</v>
      </c>
      <c r="AG58" s="296">
        <f t="shared" si="27"/>
        <v>0.33099499999999998</v>
      </c>
      <c r="AH58" s="1">
        <v>0</v>
      </c>
      <c r="AI58" s="1">
        <v>0</v>
      </c>
      <c r="AJ58" s="254">
        <f t="shared" si="14"/>
        <v>0</v>
      </c>
      <c r="AK58" s="9">
        <f t="shared" si="15"/>
        <v>0</v>
      </c>
      <c r="AL58" s="9">
        <f t="shared" si="16"/>
        <v>6960257</v>
      </c>
      <c r="AM58" s="9">
        <f t="shared" si="17"/>
        <v>6960257</v>
      </c>
      <c r="AN58" s="9">
        <f t="shared" si="28"/>
        <v>6960257</v>
      </c>
      <c r="AO58" s="291">
        <v>8756165</v>
      </c>
      <c r="AP58" s="9">
        <f t="shared" si="29"/>
        <v>1795908</v>
      </c>
      <c r="AQ58" s="297" t="str">
        <f t="shared" si="30"/>
        <v>No</v>
      </c>
      <c r="AR58" s="291">
        <v>8102510</v>
      </c>
      <c r="AS58" s="291">
        <f t="shared" si="18"/>
        <v>149599.13639999999</v>
      </c>
      <c r="AT58" s="291">
        <f t="shared" si="19"/>
        <v>7952910.8635999998</v>
      </c>
      <c r="AU58" s="291">
        <f t="shared" si="20"/>
        <v>7952910.8635999998</v>
      </c>
      <c r="AV58" s="291"/>
      <c r="AW58" s="291">
        <f t="shared" si="31"/>
        <v>7803311.7271999996</v>
      </c>
      <c r="AX58" s="291">
        <f t="shared" si="35"/>
        <v>7653712.5907999994</v>
      </c>
      <c r="AY58" s="291">
        <f t="shared" si="35"/>
        <v>7504113.4543999992</v>
      </c>
      <c r="AZ58" s="291">
        <f t="shared" si="35"/>
        <v>7354514.317999999</v>
      </c>
      <c r="BA58" s="291">
        <f t="shared" si="35"/>
        <v>7204915.1815999988</v>
      </c>
      <c r="BB58" s="291">
        <f t="shared" si="35"/>
        <v>7055316.0451999987</v>
      </c>
      <c r="BC58" s="291">
        <f t="shared" si="33"/>
        <v>6960257</v>
      </c>
      <c r="BD58" s="298"/>
      <c r="BE58" s="291">
        <f t="shared" si="34"/>
        <v>7803311.7271999996</v>
      </c>
      <c r="BF58" s="291">
        <f t="shared" si="34"/>
        <v>7653712.5907999994</v>
      </c>
      <c r="BG58" s="291">
        <f t="shared" si="34"/>
        <v>7504113.4543999992</v>
      </c>
      <c r="BH58" s="291">
        <f t="shared" si="34"/>
        <v>7354514.317999999</v>
      </c>
      <c r="BI58" s="291">
        <f t="shared" si="34"/>
        <v>7204915.1815999988</v>
      </c>
      <c r="BJ58" s="291">
        <f t="shared" si="34"/>
        <v>7055316.0451999987</v>
      </c>
      <c r="BK58" s="291">
        <f t="shared" si="34"/>
        <v>6960257</v>
      </c>
      <c r="BL58" s="298"/>
      <c r="BM58" s="298"/>
      <c r="BN58" s="298"/>
      <c r="BO58" s="298"/>
    </row>
    <row r="59" spans="1:67" x14ac:dyDescent="0.15">
      <c r="A59" s="10" t="s">
        <v>14</v>
      </c>
      <c r="B59" s="10"/>
      <c r="C59" s="276"/>
      <c r="D59" s="276" t="str">
        <f t="shared" si="23"/>
        <v>No</v>
      </c>
      <c r="E59" s="276"/>
      <c r="F59" s="276"/>
      <c r="G59" s="8">
        <v>6</v>
      </c>
      <c r="H59" s="1">
        <v>73</v>
      </c>
      <c r="I59" s="10">
        <v>33</v>
      </c>
      <c r="J59" s="7" t="s">
        <v>44</v>
      </c>
      <c r="K59" s="287"/>
      <c r="L59" s="1">
        <v>2061.83</v>
      </c>
      <c r="M59" s="288"/>
      <c r="N59" s="289"/>
      <c r="O59" s="1">
        <v>469</v>
      </c>
      <c r="P59" s="290">
        <f t="shared" si="4"/>
        <v>0.22746783197450809</v>
      </c>
      <c r="Q59" s="290">
        <f t="shared" si="5"/>
        <v>0</v>
      </c>
      <c r="R59" s="291">
        <f t="shared" si="6"/>
        <v>0</v>
      </c>
      <c r="S59" s="291">
        <f t="shared" si="24"/>
        <v>0</v>
      </c>
      <c r="T59" s="1">
        <v>92</v>
      </c>
      <c r="U59" s="1">
        <f t="shared" si="25"/>
        <v>13.799999999999999</v>
      </c>
      <c r="V59" s="292">
        <f t="shared" si="7"/>
        <v>140.69999999999999</v>
      </c>
      <c r="W59" s="254">
        <f t="shared" si="8"/>
        <v>2216.33</v>
      </c>
      <c r="X59" s="1">
        <v>2019007346.6700001</v>
      </c>
      <c r="Y59" s="1">
        <v>13956</v>
      </c>
      <c r="Z59" s="264">
        <f t="shared" si="9"/>
        <v>144669.49</v>
      </c>
      <c r="AA59" s="293">
        <f t="shared" si="10"/>
        <v>0.77487600000000001</v>
      </c>
      <c r="AB59" s="1">
        <v>85856</v>
      </c>
      <c r="AC59" s="293">
        <f t="shared" si="11"/>
        <v>0.74560400000000004</v>
      </c>
      <c r="AD59" s="293">
        <f t="shared" si="12"/>
        <v>0.233906</v>
      </c>
      <c r="AE59" s="294">
        <f t="shared" si="13"/>
        <v>0.233906</v>
      </c>
      <c r="AF59" s="295">
        <f t="shared" si="26"/>
        <v>0</v>
      </c>
      <c r="AG59" s="296">
        <f t="shared" si="27"/>
        <v>0.233906</v>
      </c>
      <c r="AH59" s="1">
        <v>0</v>
      </c>
      <c r="AI59" s="1">
        <v>0</v>
      </c>
      <c r="AJ59" s="254">
        <f t="shared" si="14"/>
        <v>0</v>
      </c>
      <c r="AK59" s="9">
        <f t="shared" si="15"/>
        <v>0</v>
      </c>
      <c r="AL59" s="9">
        <f t="shared" si="16"/>
        <v>5974708</v>
      </c>
      <c r="AM59" s="9">
        <f t="shared" si="17"/>
        <v>5974708</v>
      </c>
      <c r="AN59" s="9">
        <f t="shared" si="28"/>
        <v>5974708</v>
      </c>
      <c r="AO59" s="291">
        <v>4646922</v>
      </c>
      <c r="AP59" s="9">
        <f t="shared" si="29"/>
        <v>1327786</v>
      </c>
      <c r="AQ59" s="297" t="str">
        <f t="shared" si="30"/>
        <v>Yes</v>
      </c>
      <c r="AR59" s="291">
        <v>4835861</v>
      </c>
      <c r="AS59" s="291">
        <f t="shared" si="18"/>
        <v>141541.98759999999</v>
      </c>
      <c r="AT59" s="291">
        <f t="shared" si="19"/>
        <v>4977402.9875999996</v>
      </c>
      <c r="AU59" s="291">
        <f t="shared" si="20"/>
        <v>4977402.9875999996</v>
      </c>
      <c r="AV59" s="291"/>
      <c r="AW59" s="291">
        <f t="shared" si="31"/>
        <v>5118944.9751999993</v>
      </c>
      <c r="AX59" s="291">
        <f t="shared" si="35"/>
        <v>5260486.9627999989</v>
      </c>
      <c r="AY59" s="291">
        <f t="shared" si="35"/>
        <v>5402028.9503999986</v>
      </c>
      <c r="AZ59" s="291">
        <f t="shared" si="35"/>
        <v>5543570.9379999982</v>
      </c>
      <c r="BA59" s="291">
        <f t="shared" si="35"/>
        <v>5685112.9255999979</v>
      </c>
      <c r="BB59" s="291">
        <f t="shared" si="35"/>
        <v>5826654.9131999975</v>
      </c>
      <c r="BC59" s="291">
        <f t="shared" si="33"/>
        <v>5974708</v>
      </c>
      <c r="BD59" s="298"/>
      <c r="BE59" s="291">
        <f t="shared" si="34"/>
        <v>5118944.9751999993</v>
      </c>
      <c r="BF59" s="291">
        <f t="shared" si="34"/>
        <v>5260486.9627999989</v>
      </c>
      <c r="BG59" s="291">
        <f t="shared" si="34"/>
        <v>5402028.9503999986</v>
      </c>
      <c r="BH59" s="291">
        <f t="shared" si="34"/>
        <v>5543570.9379999982</v>
      </c>
      <c r="BI59" s="291">
        <f t="shared" si="34"/>
        <v>5685112.9255999979</v>
      </c>
      <c r="BJ59" s="291">
        <f t="shared" si="34"/>
        <v>5826654.9131999975</v>
      </c>
      <c r="BK59" s="291">
        <f t="shared" si="34"/>
        <v>5974708</v>
      </c>
      <c r="BL59" s="298"/>
      <c r="BM59" s="298"/>
      <c r="BN59" s="298"/>
      <c r="BO59" s="298"/>
    </row>
    <row r="60" spans="1:67" x14ac:dyDescent="0.15">
      <c r="A60" s="10" t="s">
        <v>6</v>
      </c>
      <c r="B60" s="10">
        <v>1</v>
      </c>
      <c r="C60" s="276">
        <v>1</v>
      </c>
      <c r="D60" s="276" t="str">
        <f t="shared" si="23"/>
        <v>Yes</v>
      </c>
      <c r="E60" s="276">
        <v>1</v>
      </c>
      <c r="F60" s="276"/>
      <c r="G60" s="8">
        <v>8</v>
      </c>
      <c r="H60" s="1">
        <v>58</v>
      </c>
      <c r="I60" s="10">
        <v>34</v>
      </c>
      <c r="J60" s="7" t="s">
        <v>45</v>
      </c>
      <c r="K60" s="287"/>
      <c r="L60" s="1">
        <v>11729.03</v>
      </c>
      <c r="M60" s="288"/>
      <c r="N60" s="289"/>
      <c r="O60" s="1">
        <v>6202</v>
      </c>
      <c r="P60" s="290">
        <f t="shared" si="4"/>
        <v>0.52877347913680839</v>
      </c>
      <c r="Q60" s="290">
        <f t="shared" si="5"/>
        <v>0</v>
      </c>
      <c r="R60" s="291">
        <f t="shared" si="6"/>
        <v>0</v>
      </c>
      <c r="S60" s="291">
        <f t="shared" si="24"/>
        <v>0</v>
      </c>
      <c r="T60" s="1">
        <v>3328</v>
      </c>
      <c r="U60" s="1">
        <f t="shared" si="25"/>
        <v>499.2</v>
      </c>
      <c r="V60" s="292">
        <f t="shared" si="7"/>
        <v>1860.6</v>
      </c>
      <c r="W60" s="254">
        <f t="shared" si="8"/>
        <v>14088.830000000002</v>
      </c>
      <c r="X60" s="1">
        <v>10798677506.33</v>
      </c>
      <c r="Y60" s="1">
        <v>85246</v>
      </c>
      <c r="Z60" s="264">
        <f t="shared" si="9"/>
        <v>126676.65</v>
      </c>
      <c r="AA60" s="293">
        <f t="shared" si="10"/>
        <v>0.67850299999999997</v>
      </c>
      <c r="AB60" s="1">
        <v>68068</v>
      </c>
      <c r="AC60" s="293">
        <f t="shared" si="11"/>
        <v>0.59112699999999996</v>
      </c>
      <c r="AD60" s="293">
        <f t="shared" si="12"/>
        <v>0.34771000000000002</v>
      </c>
      <c r="AE60" s="294">
        <f t="shared" si="13"/>
        <v>0.34771000000000002</v>
      </c>
      <c r="AF60" s="295">
        <f t="shared" si="26"/>
        <v>0</v>
      </c>
      <c r="AG60" s="296">
        <f t="shared" si="27"/>
        <v>0.34771000000000002</v>
      </c>
      <c r="AH60" s="1">
        <v>0</v>
      </c>
      <c r="AI60" s="1">
        <v>0</v>
      </c>
      <c r="AJ60" s="254">
        <f t="shared" si="14"/>
        <v>0</v>
      </c>
      <c r="AK60" s="9">
        <f t="shared" si="15"/>
        <v>0</v>
      </c>
      <c r="AL60" s="9">
        <f t="shared" si="16"/>
        <v>56458982</v>
      </c>
      <c r="AM60" s="9">
        <f t="shared" si="17"/>
        <v>56458982</v>
      </c>
      <c r="AN60" s="9">
        <f t="shared" si="28"/>
        <v>56458982</v>
      </c>
      <c r="AO60" s="291">
        <v>31290480</v>
      </c>
      <c r="AP60" s="9">
        <f t="shared" si="29"/>
        <v>25168502</v>
      </c>
      <c r="AQ60" s="297" t="str">
        <f t="shared" si="30"/>
        <v>Yes</v>
      </c>
      <c r="AR60" s="291">
        <v>35015511</v>
      </c>
      <c r="AS60" s="291">
        <f t="shared" si="18"/>
        <v>2682962.3132000002</v>
      </c>
      <c r="AT60" s="291">
        <f t="shared" si="19"/>
        <v>37698473.313199997</v>
      </c>
      <c r="AU60" s="291">
        <f t="shared" si="20"/>
        <v>37698473.313199997</v>
      </c>
      <c r="AV60" s="291"/>
      <c r="AW60" s="291">
        <f t="shared" si="31"/>
        <v>40381435.626399994</v>
      </c>
      <c r="AX60" s="291">
        <f t="shared" ref="AX60:BB75" si="36">IF($AQ60="Yes",AW60+$AS60,AW60-$AS60)</f>
        <v>43064397.939599991</v>
      </c>
      <c r="AY60" s="291">
        <f t="shared" si="36"/>
        <v>45747360.252799988</v>
      </c>
      <c r="AZ60" s="291">
        <f t="shared" si="36"/>
        <v>48430322.565999985</v>
      </c>
      <c r="BA60" s="291">
        <f t="shared" si="36"/>
        <v>51113284.879199982</v>
      </c>
      <c r="BB60" s="291">
        <f t="shared" si="36"/>
        <v>53796247.192399979</v>
      </c>
      <c r="BC60" s="291">
        <f t="shared" si="33"/>
        <v>56458982</v>
      </c>
      <c r="BD60" s="298"/>
      <c r="BE60" s="291">
        <f t="shared" si="34"/>
        <v>40381435.626399994</v>
      </c>
      <c r="BF60" s="291">
        <f t="shared" si="34"/>
        <v>43064397.939599991</v>
      </c>
      <c r="BG60" s="291">
        <f t="shared" si="34"/>
        <v>45747360.252799988</v>
      </c>
      <c r="BH60" s="291">
        <f t="shared" si="34"/>
        <v>48430322.565999985</v>
      </c>
      <c r="BI60" s="291">
        <f t="shared" si="34"/>
        <v>51113284.879199982</v>
      </c>
      <c r="BJ60" s="291">
        <f t="shared" si="34"/>
        <v>53796247.192399979</v>
      </c>
      <c r="BK60" s="291">
        <f t="shared" si="34"/>
        <v>56458982</v>
      </c>
      <c r="BL60" s="298"/>
      <c r="BM60" s="298"/>
      <c r="BN60" s="298"/>
      <c r="BO60" s="298"/>
    </row>
    <row r="61" spans="1:67" x14ac:dyDescent="0.15">
      <c r="A61" s="10" t="s">
        <v>46</v>
      </c>
      <c r="B61" s="10"/>
      <c r="C61" s="276"/>
      <c r="D61" s="276" t="str">
        <f t="shared" si="23"/>
        <v>No</v>
      </c>
      <c r="E61" s="276"/>
      <c r="F61" s="276"/>
      <c r="G61" s="8">
        <v>1</v>
      </c>
      <c r="H61" s="1">
        <v>167</v>
      </c>
      <c r="I61" s="10">
        <v>35</v>
      </c>
      <c r="J61" s="7" t="s">
        <v>47</v>
      </c>
      <c r="K61" s="287"/>
      <c r="L61" s="1">
        <v>4729.12</v>
      </c>
      <c r="M61" s="288"/>
      <c r="N61" s="289"/>
      <c r="O61" s="1">
        <v>131</v>
      </c>
      <c r="P61" s="290">
        <f t="shared" si="4"/>
        <v>2.7700713874885815E-2</v>
      </c>
      <c r="Q61" s="290">
        <f t="shared" si="5"/>
        <v>0</v>
      </c>
      <c r="R61" s="291">
        <f t="shared" si="6"/>
        <v>0</v>
      </c>
      <c r="S61" s="291">
        <f t="shared" si="24"/>
        <v>0</v>
      </c>
      <c r="T61" s="1">
        <v>63</v>
      </c>
      <c r="U61" s="1">
        <f t="shared" si="25"/>
        <v>9.4499999999999993</v>
      </c>
      <c r="V61" s="292">
        <f t="shared" si="7"/>
        <v>39.299999999999997</v>
      </c>
      <c r="W61" s="254">
        <f t="shared" si="8"/>
        <v>4777.87</v>
      </c>
      <c r="X61" s="1">
        <v>13317654544</v>
      </c>
      <c r="Y61" s="1">
        <v>21887</v>
      </c>
      <c r="Z61" s="264">
        <f t="shared" si="9"/>
        <v>608473.27</v>
      </c>
      <c r="AA61" s="293">
        <f t="shared" si="10"/>
        <v>3.259093</v>
      </c>
      <c r="AB61" s="1">
        <v>208848</v>
      </c>
      <c r="AC61" s="293">
        <f t="shared" si="11"/>
        <v>1.8137099999999999</v>
      </c>
      <c r="AD61" s="293">
        <f t="shared" si="12"/>
        <v>-1.8254779999999999</v>
      </c>
      <c r="AE61" s="294">
        <f t="shared" si="13"/>
        <v>0.01</v>
      </c>
      <c r="AF61" s="295">
        <f t="shared" si="26"/>
        <v>0</v>
      </c>
      <c r="AG61" s="296">
        <f t="shared" si="27"/>
        <v>0.01</v>
      </c>
      <c r="AH61" s="1">
        <v>0</v>
      </c>
      <c r="AI61" s="1">
        <v>0</v>
      </c>
      <c r="AJ61" s="254">
        <f t="shared" si="14"/>
        <v>0</v>
      </c>
      <c r="AK61" s="9">
        <f t="shared" si="15"/>
        <v>0</v>
      </c>
      <c r="AL61" s="9">
        <f t="shared" si="16"/>
        <v>550650</v>
      </c>
      <c r="AM61" s="9">
        <f t="shared" si="17"/>
        <v>550650</v>
      </c>
      <c r="AN61" s="9">
        <f t="shared" si="28"/>
        <v>550650</v>
      </c>
      <c r="AO61" s="291">
        <v>406683</v>
      </c>
      <c r="AP61" s="9">
        <f t="shared" si="29"/>
        <v>143967</v>
      </c>
      <c r="AQ61" s="297" t="str">
        <f t="shared" si="30"/>
        <v>Yes</v>
      </c>
      <c r="AR61" s="291">
        <v>427881</v>
      </c>
      <c r="AS61" s="291">
        <f t="shared" si="18"/>
        <v>15346.8822</v>
      </c>
      <c r="AT61" s="291">
        <f t="shared" si="19"/>
        <v>443227.88219999999</v>
      </c>
      <c r="AU61" s="291">
        <f t="shared" si="20"/>
        <v>443227.88219999999</v>
      </c>
      <c r="AV61" s="291"/>
      <c r="AW61" s="291">
        <f t="shared" si="31"/>
        <v>458574.76439999999</v>
      </c>
      <c r="AX61" s="291">
        <f t="shared" si="36"/>
        <v>473921.64659999998</v>
      </c>
      <c r="AY61" s="291">
        <f t="shared" si="36"/>
        <v>489268.52879999997</v>
      </c>
      <c r="AZ61" s="291">
        <f t="shared" si="36"/>
        <v>504615.41099999996</v>
      </c>
      <c r="BA61" s="291">
        <f t="shared" si="36"/>
        <v>519962.29319999996</v>
      </c>
      <c r="BB61" s="291">
        <f t="shared" si="36"/>
        <v>535309.17539999995</v>
      </c>
      <c r="BC61" s="291">
        <f t="shared" si="33"/>
        <v>550650</v>
      </c>
      <c r="BD61" s="298"/>
      <c r="BE61" s="291">
        <f t="shared" si="34"/>
        <v>458574.76439999999</v>
      </c>
      <c r="BF61" s="291">
        <f t="shared" si="34"/>
        <v>473921.64659999998</v>
      </c>
      <c r="BG61" s="291">
        <f t="shared" si="34"/>
        <v>489268.52879999997</v>
      </c>
      <c r="BH61" s="291">
        <f t="shared" si="34"/>
        <v>504615.41099999996</v>
      </c>
      <c r="BI61" s="291">
        <f t="shared" si="34"/>
        <v>519962.29319999996</v>
      </c>
      <c r="BJ61" s="291">
        <f t="shared" si="34"/>
        <v>535309.17539999995</v>
      </c>
      <c r="BK61" s="291">
        <f t="shared" si="34"/>
        <v>550650</v>
      </c>
      <c r="BL61" s="298"/>
      <c r="BM61" s="298"/>
      <c r="BN61" s="298"/>
      <c r="BO61" s="298"/>
    </row>
    <row r="62" spans="1:67" x14ac:dyDescent="0.15">
      <c r="A62" s="10" t="s">
        <v>8</v>
      </c>
      <c r="B62" s="10"/>
      <c r="C62" s="276"/>
      <c r="D62" s="276" t="str">
        <f t="shared" si="23"/>
        <v>No</v>
      </c>
      <c r="E62" s="276"/>
      <c r="F62" s="276"/>
      <c r="G62" s="8">
        <v>6</v>
      </c>
      <c r="H62" s="1">
        <v>128</v>
      </c>
      <c r="I62" s="10">
        <v>36</v>
      </c>
      <c r="J62" s="7" t="s">
        <v>48</v>
      </c>
      <c r="K62" s="287"/>
      <c r="L62" s="1">
        <v>560.54999999999995</v>
      </c>
      <c r="M62" s="288"/>
      <c r="N62" s="289"/>
      <c r="O62" s="1">
        <v>184</v>
      </c>
      <c r="P62" s="290">
        <f t="shared" si="4"/>
        <v>0.32824904112032827</v>
      </c>
      <c r="Q62" s="290">
        <f t="shared" si="5"/>
        <v>0</v>
      </c>
      <c r="R62" s="291">
        <f t="shared" si="6"/>
        <v>0</v>
      </c>
      <c r="S62" s="291">
        <f t="shared" si="24"/>
        <v>0</v>
      </c>
      <c r="T62" s="1">
        <v>7</v>
      </c>
      <c r="U62" s="1">
        <f t="shared" si="25"/>
        <v>1.05</v>
      </c>
      <c r="V62" s="292">
        <f t="shared" si="7"/>
        <v>55.2</v>
      </c>
      <c r="W62" s="254">
        <f t="shared" si="8"/>
        <v>616.79999999999995</v>
      </c>
      <c r="X62" s="1">
        <v>710791131</v>
      </c>
      <c r="Y62" s="1">
        <v>4494</v>
      </c>
      <c r="Z62" s="264">
        <f t="shared" si="9"/>
        <v>158164.47</v>
      </c>
      <c r="AA62" s="293">
        <f t="shared" si="10"/>
        <v>0.84715799999999997</v>
      </c>
      <c r="AB62" s="1">
        <v>69028</v>
      </c>
      <c r="AC62" s="293">
        <f t="shared" si="11"/>
        <v>0.599464</v>
      </c>
      <c r="AD62" s="293">
        <f t="shared" si="12"/>
        <v>0.22714999999999999</v>
      </c>
      <c r="AE62" s="294">
        <f t="shared" si="13"/>
        <v>0.22714999999999999</v>
      </c>
      <c r="AF62" s="295">
        <f t="shared" si="26"/>
        <v>0</v>
      </c>
      <c r="AG62" s="296">
        <f t="shared" si="27"/>
        <v>0.22714999999999999</v>
      </c>
      <c r="AH62" s="1">
        <v>313</v>
      </c>
      <c r="AI62" s="1">
        <v>6</v>
      </c>
      <c r="AJ62" s="254">
        <f t="shared" si="14"/>
        <v>46.15</v>
      </c>
      <c r="AK62" s="9">
        <f t="shared" si="15"/>
        <v>14445</v>
      </c>
      <c r="AL62" s="9">
        <f t="shared" si="16"/>
        <v>1614723</v>
      </c>
      <c r="AM62" s="9">
        <f t="shared" si="17"/>
        <v>1629168</v>
      </c>
      <c r="AN62" s="9">
        <f t="shared" si="28"/>
        <v>1629168</v>
      </c>
      <c r="AO62" s="291">
        <v>1675092</v>
      </c>
      <c r="AP62" s="9">
        <f t="shared" si="29"/>
        <v>45924</v>
      </c>
      <c r="AQ62" s="297" t="str">
        <f t="shared" si="30"/>
        <v>No</v>
      </c>
      <c r="AR62" s="291">
        <v>1666695</v>
      </c>
      <c r="AS62" s="291">
        <f t="shared" si="18"/>
        <v>3825.4692</v>
      </c>
      <c r="AT62" s="291">
        <f t="shared" si="19"/>
        <v>1662869.5308000001</v>
      </c>
      <c r="AU62" s="291">
        <f t="shared" si="20"/>
        <v>1662869.5308000001</v>
      </c>
      <c r="AV62" s="291"/>
      <c r="AW62" s="291">
        <f t="shared" si="31"/>
        <v>1659044.0616000001</v>
      </c>
      <c r="AX62" s="291">
        <f t="shared" si="36"/>
        <v>1655218.5924000002</v>
      </c>
      <c r="AY62" s="291">
        <f t="shared" si="36"/>
        <v>1651393.1232000003</v>
      </c>
      <c r="AZ62" s="291">
        <f t="shared" si="36"/>
        <v>1647567.6540000003</v>
      </c>
      <c r="BA62" s="291">
        <f t="shared" si="36"/>
        <v>1643742.1848000004</v>
      </c>
      <c r="BB62" s="291">
        <f t="shared" si="36"/>
        <v>1639916.7156000005</v>
      </c>
      <c r="BC62" s="291">
        <f t="shared" si="33"/>
        <v>1629168</v>
      </c>
      <c r="BD62" s="298"/>
      <c r="BE62" s="291">
        <f t="shared" si="34"/>
        <v>1659044.0616000001</v>
      </c>
      <c r="BF62" s="291">
        <f t="shared" si="34"/>
        <v>1655218.5924000002</v>
      </c>
      <c r="BG62" s="291">
        <f t="shared" si="34"/>
        <v>1651393.1232000003</v>
      </c>
      <c r="BH62" s="291">
        <f t="shared" si="34"/>
        <v>1647567.6540000003</v>
      </c>
      <c r="BI62" s="291">
        <f t="shared" si="34"/>
        <v>1643742.1848000004</v>
      </c>
      <c r="BJ62" s="291">
        <f t="shared" si="34"/>
        <v>1639916.7156000005</v>
      </c>
      <c r="BK62" s="291">
        <f t="shared" si="34"/>
        <v>1629168</v>
      </c>
      <c r="BL62" s="298"/>
      <c r="BM62" s="298"/>
      <c r="BN62" s="298"/>
      <c r="BO62" s="298"/>
    </row>
    <row r="63" spans="1:67" x14ac:dyDescent="0.15">
      <c r="A63" s="10" t="s">
        <v>6</v>
      </c>
      <c r="B63" s="276">
        <v>1</v>
      </c>
      <c r="C63" s="276">
        <v>1</v>
      </c>
      <c r="D63" s="276" t="str">
        <f t="shared" si="23"/>
        <v>Yes</v>
      </c>
      <c r="E63" s="276">
        <v>1</v>
      </c>
      <c r="F63" s="276"/>
      <c r="G63" s="8">
        <v>10</v>
      </c>
      <c r="H63" s="1">
        <v>12</v>
      </c>
      <c r="I63" s="10">
        <v>37</v>
      </c>
      <c r="J63" s="7" t="s">
        <v>49</v>
      </c>
      <c r="K63" s="287"/>
      <c r="L63" s="1">
        <v>1430.14</v>
      </c>
      <c r="M63" s="300"/>
      <c r="N63" s="289"/>
      <c r="O63" s="1">
        <v>794</v>
      </c>
      <c r="P63" s="290">
        <f t="shared" si="4"/>
        <v>0.55519040093976812</v>
      </c>
      <c r="Q63" s="290">
        <f t="shared" si="5"/>
        <v>0</v>
      </c>
      <c r="R63" s="291">
        <f t="shared" si="6"/>
        <v>0</v>
      </c>
      <c r="S63" s="291">
        <f t="shared" si="24"/>
        <v>0</v>
      </c>
      <c r="T63" s="1">
        <v>31</v>
      </c>
      <c r="U63" s="1">
        <f t="shared" si="25"/>
        <v>4.6499999999999995</v>
      </c>
      <c r="V63" s="292">
        <f t="shared" si="7"/>
        <v>238.2</v>
      </c>
      <c r="W63" s="254">
        <f t="shared" si="8"/>
        <v>1672.9900000000002</v>
      </c>
      <c r="X63" s="1">
        <v>1057769736.67</v>
      </c>
      <c r="Y63" s="1">
        <v>12581</v>
      </c>
      <c r="Z63" s="264">
        <f t="shared" si="9"/>
        <v>84076.76</v>
      </c>
      <c r="AA63" s="293">
        <f t="shared" si="10"/>
        <v>0.45033000000000001</v>
      </c>
      <c r="AB63" s="1">
        <v>57432</v>
      </c>
      <c r="AC63" s="293">
        <f t="shared" si="11"/>
        <v>0.49875999999999998</v>
      </c>
      <c r="AD63" s="293">
        <f t="shared" si="12"/>
        <v>0.53514099999999998</v>
      </c>
      <c r="AE63" s="294">
        <f t="shared" si="13"/>
        <v>0.53514099999999998</v>
      </c>
      <c r="AF63" s="295">
        <f t="shared" si="26"/>
        <v>0.04</v>
      </c>
      <c r="AG63" s="296">
        <f t="shared" si="27"/>
        <v>0.57514100000000001</v>
      </c>
      <c r="AH63" s="1">
        <v>0</v>
      </c>
      <c r="AI63" s="1">
        <v>0</v>
      </c>
      <c r="AJ63" s="254">
        <f t="shared" si="14"/>
        <v>0</v>
      </c>
      <c r="AK63" s="9">
        <f t="shared" si="15"/>
        <v>0</v>
      </c>
      <c r="AL63" s="9">
        <f t="shared" si="16"/>
        <v>11089414</v>
      </c>
      <c r="AM63" s="9">
        <f t="shared" si="17"/>
        <v>11089414</v>
      </c>
      <c r="AN63" s="9">
        <f t="shared" si="28"/>
        <v>11089414</v>
      </c>
      <c r="AO63" s="291">
        <v>7902388</v>
      </c>
      <c r="AP63" s="9">
        <f t="shared" si="29"/>
        <v>3187026</v>
      </c>
      <c r="AQ63" s="297" t="str">
        <f t="shared" si="30"/>
        <v>Yes</v>
      </c>
      <c r="AR63" s="291">
        <v>8498976</v>
      </c>
      <c r="AS63" s="291">
        <f t="shared" si="18"/>
        <v>339736.97159999999</v>
      </c>
      <c r="AT63" s="291">
        <f t="shared" si="19"/>
        <v>8838712.9715999998</v>
      </c>
      <c r="AU63" s="291">
        <f t="shared" si="20"/>
        <v>8838712.9715999998</v>
      </c>
      <c r="AV63" s="291"/>
      <c r="AW63" s="291">
        <f t="shared" si="31"/>
        <v>9178449.9431999996</v>
      </c>
      <c r="AX63" s="291">
        <f t="shared" si="36"/>
        <v>9518186.9147999994</v>
      </c>
      <c r="AY63" s="291">
        <f t="shared" si="36"/>
        <v>9857923.8863999993</v>
      </c>
      <c r="AZ63" s="291">
        <f t="shared" si="36"/>
        <v>10197660.857999999</v>
      </c>
      <c r="BA63" s="291">
        <f t="shared" si="36"/>
        <v>10537397.829599999</v>
      </c>
      <c r="BB63" s="291">
        <f t="shared" si="36"/>
        <v>10877134.801199999</v>
      </c>
      <c r="BC63" s="291">
        <f t="shared" si="33"/>
        <v>11089414</v>
      </c>
      <c r="BD63" s="298"/>
      <c r="BE63" s="291">
        <f t="shared" si="34"/>
        <v>9178449.9431999996</v>
      </c>
      <c r="BF63" s="291">
        <f t="shared" si="34"/>
        <v>9518186.9147999994</v>
      </c>
      <c r="BG63" s="291">
        <f t="shared" si="34"/>
        <v>9857923.8863999993</v>
      </c>
      <c r="BH63" s="291">
        <f t="shared" si="34"/>
        <v>10197660.857999999</v>
      </c>
      <c r="BI63" s="291">
        <f t="shared" si="34"/>
        <v>10537397.829599999</v>
      </c>
      <c r="BJ63" s="291">
        <f t="shared" si="34"/>
        <v>10877134.801199999</v>
      </c>
      <c r="BK63" s="291">
        <f t="shared" si="34"/>
        <v>11089414</v>
      </c>
      <c r="BL63" s="298"/>
      <c r="BM63" s="298"/>
      <c r="BN63" s="298"/>
      <c r="BO63" s="298"/>
    </row>
    <row r="64" spans="1:67" x14ac:dyDescent="0.15">
      <c r="A64" s="10" t="s">
        <v>4</v>
      </c>
      <c r="B64" s="10"/>
      <c r="C64" s="276"/>
      <c r="D64" s="276" t="str">
        <f t="shared" si="23"/>
        <v>No</v>
      </c>
      <c r="E64" s="276"/>
      <c r="F64" s="276"/>
      <c r="G64" s="8">
        <v>3</v>
      </c>
      <c r="H64" s="1">
        <v>131</v>
      </c>
      <c r="I64" s="10">
        <v>38</v>
      </c>
      <c r="J64" s="7" t="s">
        <v>50</v>
      </c>
      <c r="K64" s="287"/>
      <c r="L64" s="1">
        <v>1019.34</v>
      </c>
      <c r="M64" s="288"/>
      <c r="N64" s="289"/>
      <c r="O64" s="1">
        <v>152</v>
      </c>
      <c r="P64" s="290">
        <f t="shared" si="4"/>
        <v>0.14911609472796122</v>
      </c>
      <c r="Q64" s="290">
        <f t="shared" si="5"/>
        <v>0</v>
      </c>
      <c r="R64" s="291">
        <f t="shared" si="6"/>
        <v>0</v>
      </c>
      <c r="S64" s="291">
        <f t="shared" si="24"/>
        <v>0</v>
      </c>
      <c r="T64" s="1">
        <v>9</v>
      </c>
      <c r="U64" s="1">
        <f t="shared" si="25"/>
        <v>1.3499999999999999</v>
      </c>
      <c r="V64" s="292">
        <f t="shared" si="7"/>
        <v>45.6</v>
      </c>
      <c r="W64" s="254">
        <f t="shared" si="8"/>
        <v>1066.29</v>
      </c>
      <c r="X64" s="1">
        <v>1026279087</v>
      </c>
      <c r="Y64" s="1">
        <v>7240</v>
      </c>
      <c r="Z64" s="264">
        <f t="shared" si="9"/>
        <v>141751.26</v>
      </c>
      <c r="AA64" s="293">
        <f t="shared" si="10"/>
        <v>0.75924499999999995</v>
      </c>
      <c r="AB64" s="1">
        <v>116232</v>
      </c>
      <c r="AC64" s="293">
        <f t="shared" si="11"/>
        <v>1.0094000000000001</v>
      </c>
      <c r="AD64" s="293">
        <f t="shared" si="12"/>
        <v>0.165709</v>
      </c>
      <c r="AE64" s="294">
        <f t="shared" si="13"/>
        <v>0.165709</v>
      </c>
      <c r="AF64" s="295">
        <f t="shared" si="26"/>
        <v>0</v>
      </c>
      <c r="AG64" s="296">
        <f t="shared" si="27"/>
        <v>0.165709</v>
      </c>
      <c r="AH64" s="1">
        <v>1014</v>
      </c>
      <c r="AI64" s="1">
        <v>13</v>
      </c>
      <c r="AJ64" s="254">
        <f t="shared" si="14"/>
        <v>100</v>
      </c>
      <c r="AK64" s="9">
        <f t="shared" si="15"/>
        <v>101400</v>
      </c>
      <c r="AL64" s="9">
        <f t="shared" si="16"/>
        <v>2036397</v>
      </c>
      <c r="AM64" s="9">
        <f t="shared" si="17"/>
        <v>2137797</v>
      </c>
      <c r="AN64" s="9">
        <f t="shared" si="28"/>
        <v>2137797</v>
      </c>
      <c r="AO64" s="291">
        <v>3895303</v>
      </c>
      <c r="AP64" s="9">
        <f t="shared" si="29"/>
        <v>1757506</v>
      </c>
      <c r="AQ64" s="297" t="str">
        <f t="shared" si="30"/>
        <v>No</v>
      </c>
      <c r="AR64" s="291">
        <v>3312134</v>
      </c>
      <c r="AS64" s="291">
        <f t="shared" si="18"/>
        <v>146400.24979999999</v>
      </c>
      <c r="AT64" s="291">
        <f t="shared" si="19"/>
        <v>3165733.7502000001</v>
      </c>
      <c r="AU64" s="291">
        <f t="shared" si="20"/>
        <v>3165733.7502000001</v>
      </c>
      <c r="AV64" s="291"/>
      <c r="AW64" s="291">
        <f t="shared" si="31"/>
        <v>3019333.5004000003</v>
      </c>
      <c r="AX64" s="291">
        <f t="shared" si="36"/>
        <v>2872933.2506000004</v>
      </c>
      <c r="AY64" s="291">
        <f t="shared" si="36"/>
        <v>2726533.0008000005</v>
      </c>
      <c r="AZ64" s="291">
        <f t="shared" si="36"/>
        <v>2580132.7510000006</v>
      </c>
      <c r="BA64" s="291">
        <f t="shared" si="36"/>
        <v>2433732.5012000008</v>
      </c>
      <c r="BB64" s="291">
        <f t="shared" si="36"/>
        <v>2287332.2514000009</v>
      </c>
      <c r="BC64" s="291">
        <f t="shared" si="33"/>
        <v>2137797</v>
      </c>
      <c r="BD64" s="298"/>
      <c r="BE64" s="291">
        <f t="shared" si="34"/>
        <v>3019333.5004000003</v>
      </c>
      <c r="BF64" s="291">
        <f t="shared" si="34"/>
        <v>2872933.2506000004</v>
      </c>
      <c r="BG64" s="291">
        <f t="shared" si="34"/>
        <v>2726533.0008000005</v>
      </c>
      <c r="BH64" s="291">
        <f t="shared" si="34"/>
        <v>2580132.7510000006</v>
      </c>
      <c r="BI64" s="291">
        <f t="shared" si="34"/>
        <v>2433732.5012000008</v>
      </c>
      <c r="BJ64" s="291">
        <f t="shared" si="34"/>
        <v>2287332.2514000009</v>
      </c>
      <c r="BK64" s="291">
        <f t="shared" si="34"/>
        <v>2137797</v>
      </c>
      <c r="BL64" s="298"/>
      <c r="BM64" s="298"/>
      <c r="BN64" s="298"/>
      <c r="BO64" s="298"/>
    </row>
    <row r="65" spans="1:67" x14ac:dyDescent="0.15">
      <c r="A65" s="10" t="s">
        <v>8</v>
      </c>
      <c r="B65" s="10"/>
      <c r="C65" s="276"/>
      <c r="D65" s="276" t="str">
        <f t="shared" si="23"/>
        <v>No</v>
      </c>
      <c r="E65" s="276"/>
      <c r="F65" s="276"/>
      <c r="G65" s="8">
        <v>7</v>
      </c>
      <c r="H65" s="1">
        <v>83</v>
      </c>
      <c r="I65" s="10">
        <v>39</v>
      </c>
      <c r="J65" s="7" t="s">
        <v>51</v>
      </c>
      <c r="K65" s="287"/>
      <c r="L65" s="1">
        <v>187.79</v>
      </c>
      <c r="M65" s="288"/>
      <c r="N65" s="289"/>
      <c r="O65" s="1">
        <v>58</v>
      </c>
      <c r="P65" s="290">
        <f t="shared" si="4"/>
        <v>0.30885563661536825</v>
      </c>
      <c r="Q65" s="290">
        <f t="shared" si="5"/>
        <v>0</v>
      </c>
      <c r="R65" s="291">
        <f t="shared" si="6"/>
        <v>0</v>
      </c>
      <c r="S65" s="291">
        <f t="shared" si="24"/>
        <v>0</v>
      </c>
      <c r="T65" s="1">
        <v>0</v>
      </c>
      <c r="U65" s="1">
        <f t="shared" si="25"/>
        <v>0</v>
      </c>
      <c r="V65" s="292">
        <f t="shared" si="7"/>
        <v>17.399999999999999</v>
      </c>
      <c r="W65" s="254">
        <f t="shared" si="8"/>
        <v>205.19</v>
      </c>
      <c r="X65" s="1">
        <v>227044356</v>
      </c>
      <c r="Y65" s="1">
        <v>1756</v>
      </c>
      <c r="Z65" s="264">
        <f t="shared" si="9"/>
        <v>129296.33</v>
      </c>
      <c r="AA65" s="293">
        <f t="shared" si="10"/>
        <v>0.69253500000000001</v>
      </c>
      <c r="AB65" s="1">
        <v>84375</v>
      </c>
      <c r="AC65" s="293">
        <f t="shared" si="11"/>
        <v>0.732742</v>
      </c>
      <c r="AD65" s="293">
        <f t="shared" si="12"/>
        <v>0.29540300000000003</v>
      </c>
      <c r="AE65" s="294">
        <f t="shared" si="13"/>
        <v>0.29540300000000003</v>
      </c>
      <c r="AF65" s="295">
        <f t="shared" si="26"/>
        <v>0</v>
      </c>
      <c r="AG65" s="296">
        <f t="shared" si="27"/>
        <v>0.29540300000000003</v>
      </c>
      <c r="AH65" s="1">
        <v>0</v>
      </c>
      <c r="AI65" s="1">
        <v>0</v>
      </c>
      <c r="AJ65" s="254">
        <f t="shared" si="14"/>
        <v>0</v>
      </c>
      <c r="AK65" s="9">
        <f t="shared" si="15"/>
        <v>0</v>
      </c>
      <c r="AL65" s="9">
        <f t="shared" si="16"/>
        <v>698573</v>
      </c>
      <c r="AM65" s="9">
        <f t="shared" si="17"/>
        <v>698573</v>
      </c>
      <c r="AN65" s="9">
        <f t="shared" si="28"/>
        <v>698573</v>
      </c>
      <c r="AO65" s="291">
        <v>1091881</v>
      </c>
      <c r="AP65" s="9">
        <f t="shared" si="29"/>
        <v>393308</v>
      </c>
      <c r="AQ65" s="297" t="str">
        <f t="shared" si="30"/>
        <v>No</v>
      </c>
      <c r="AR65" s="291">
        <v>979939</v>
      </c>
      <c r="AS65" s="291">
        <f t="shared" si="18"/>
        <v>32762.556400000001</v>
      </c>
      <c r="AT65" s="291">
        <f t="shared" si="19"/>
        <v>947176.4436</v>
      </c>
      <c r="AU65" s="291">
        <f t="shared" si="20"/>
        <v>947176.4436</v>
      </c>
      <c r="AV65" s="291"/>
      <c r="AW65" s="291">
        <f t="shared" si="31"/>
        <v>914413.8872</v>
      </c>
      <c r="AX65" s="291">
        <f t="shared" si="36"/>
        <v>881651.3308</v>
      </c>
      <c r="AY65" s="291">
        <f t="shared" si="36"/>
        <v>848888.77439999999</v>
      </c>
      <c r="AZ65" s="291">
        <f t="shared" si="36"/>
        <v>816126.21799999999</v>
      </c>
      <c r="BA65" s="291">
        <f t="shared" si="36"/>
        <v>783363.66159999999</v>
      </c>
      <c r="BB65" s="291">
        <f t="shared" si="36"/>
        <v>750601.10519999999</v>
      </c>
      <c r="BC65" s="291">
        <f t="shared" si="33"/>
        <v>698573</v>
      </c>
      <c r="BD65" s="298"/>
      <c r="BE65" s="291">
        <f t="shared" si="34"/>
        <v>914413.8872</v>
      </c>
      <c r="BF65" s="291">
        <f t="shared" si="34"/>
        <v>881651.3308</v>
      </c>
      <c r="BG65" s="291">
        <f t="shared" si="34"/>
        <v>848888.77439999999</v>
      </c>
      <c r="BH65" s="291">
        <f t="shared" si="34"/>
        <v>816126.21799999999</v>
      </c>
      <c r="BI65" s="291">
        <f t="shared" si="34"/>
        <v>783363.66159999999</v>
      </c>
      <c r="BJ65" s="291">
        <f t="shared" si="34"/>
        <v>750601.10519999999</v>
      </c>
      <c r="BK65" s="291">
        <f t="shared" si="34"/>
        <v>698573</v>
      </c>
      <c r="BL65" s="298"/>
      <c r="BM65" s="298"/>
      <c r="BN65" s="298"/>
      <c r="BO65" s="298"/>
    </row>
    <row r="66" spans="1:67" x14ac:dyDescent="0.15">
      <c r="A66" s="10" t="s">
        <v>14</v>
      </c>
      <c r="B66" s="10"/>
      <c r="C66" s="276"/>
      <c r="D66" s="276" t="str">
        <f t="shared" si="23"/>
        <v>No</v>
      </c>
      <c r="E66" s="276"/>
      <c r="F66" s="276"/>
      <c r="G66" s="8">
        <v>5</v>
      </c>
      <c r="H66" s="1">
        <v>100</v>
      </c>
      <c r="I66" s="10">
        <v>40</v>
      </c>
      <c r="J66" s="7" t="s">
        <v>52</v>
      </c>
      <c r="K66" s="287"/>
      <c r="L66" s="1">
        <v>864.04</v>
      </c>
      <c r="M66" s="288"/>
      <c r="N66" s="289"/>
      <c r="O66" s="1">
        <v>104</v>
      </c>
      <c r="P66" s="290">
        <f t="shared" si="4"/>
        <v>0.12036479792602195</v>
      </c>
      <c r="Q66" s="290">
        <f t="shared" si="5"/>
        <v>0</v>
      </c>
      <c r="R66" s="291">
        <f t="shared" si="6"/>
        <v>0</v>
      </c>
      <c r="S66" s="291">
        <f t="shared" si="24"/>
        <v>0</v>
      </c>
      <c r="T66" s="1">
        <v>15</v>
      </c>
      <c r="U66" s="1">
        <f t="shared" si="25"/>
        <v>2.25</v>
      </c>
      <c r="V66" s="292">
        <f t="shared" si="7"/>
        <v>31.2</v>
      </c>
      <c r="W66" s="254">
        <f t="shared" si="8"/>
        <v>897.49</v>
      </c>
      <c r="X66" s="1">
        <v>859125944</v>
      </c>
      <c r="Y66" s="1">
        <v>5166</v>
      </c>
      <c r="Z66" s="264">
        <f t="shared" si="9"/>
        <v>166303.9</v>
      </c>
      <c r="AA66" s="293">
        <f t="shared" si="10"/>
        <v>0.89075400000000005</v>
      </c>
      <c r="AB66" s="1">
        <v>93385</v>
      </c>
      <c r="AC66" s="293">
        <f t="shared" si="11"/>
        <v>0.81098800000000004</v>
      </c>
      <c r="AD66" s="293">
        <f t="shared" si="12"/>
        <v>0.13317599999999999</v>
      </c>
      <c r="AE66" s="294">
        <f t="shared" si="13"/>
        <v>0.13317599999999999</v>
      </c>
      <c r="AF66" s="295">
        <f t="shared" si="26"/>
        <v>0</v>
      </c>
      <c r="AG66" s="296">
        <f t="shared" si="27"/>
        <v>0.13317599999999999</v>
      </c>
      <c r="AH66" s="1">
        <v>0</v>
      </c>
      <c r="AI66" s="1">
        <v>0</v>
      </c>
      <c r="AJ66" s="254">
        <f t="shared" si="14"/>
        <v>0</v>
      </c>
      <c r="AK66" s="9">
        <f t="shared" si="15"/>
        <v>0</v>
      </c>
      <c r="AL66" s="9">
        <f t="shared" si="16"/>
        <v>1377516</v>
      </c>
      <c r="AM66" s="9">
        <f t="shared" si="17"/>
        <v>1377516</v>
      </c>
      <c r="AN66" s="9">
        <f t="shared" si="28"/>
        <v>1377516</v>
      </c>
      <c r="AO66" s="291">
        <v>1439845</v>
      </c>
      <c r="AP66" s="9">
        <f t="shared" si="29"/>
        <v>62329</v>
      </c>
      <c r="AQ66" s="297" t="str">
        <f t="shared" si="30"/>
        <v>No</v>
      </c>
      <c r="AR66" s="291">
        <v>1439284</v>
      </c>
      <c r="AS66" s="291">
        <f t="shared" si="18"/>
        <v>5192.0056999999997</v>
      </c>
      <c r="AT66" s="291">
        <f t="shared" si="19"/>
        <v>1434091.9942999999</v>
      </c>
      <c r="AU66" s="291">
        <f t="shared" si="20"/>
        <v>1434091.9942999999</v>
      </c>
      <c r="AV66" s="291"/>
      <c r="AW66" s="291">
        <f t="shared" si="31"/>
        <v>1428899.9885999998</v>
      </c>
      <c r="AX66" s="291">
        <f t="shared" si="36"/>
        <v>1423707.9828999997</v>
      </c>
      <c r="AY66" s="291">
        <f t="shared" si="36"/>
        <v>1418515.9771999996</v>
      </c>
      <c r="AZ66" s="291">
        <f t="shared" si="36"/>
        <v>1413323.9714999995</v>
      </c>
      <c r="BA66" s="291">
        <f t="shared" si="36"/>
        <v>1408131.9657999994</v>
      </c>
      <c r="BB66" s="291">
        <f t="shared" si="36"/>
        <v>1402939.9600999993</v>
      </c>
      <c r="BC66" s="291">
        <f t="shared" si="33"/>
        <v>1377516</v>
      </c>
      <c r="BD66" s="298"/>
      <c r="BE66" s="291">
        <f t="shared" si="34"/>
        <v>1428899.9885999998</v>
      </c>
      <c r="BF66" s="291">
        <f t="shared" si="34"/>
        <v>1423707.9828999997</v>
      </c>
      <c r="BG66" s="291">
        <f t="shared" si="34"/>
        <v>1418515.9771999996</v>
      </c>
      <c r="BH66" s="291">
        <f t="shared" si="34"/>
        <v>1413323.9714999995</v>
      </c>
      <c r="BI66" s="291">
        <f t="shared" si="34"/>
        <v>1408131.9657999994</v>
      </c>
      <c r="BJ66" s="291">
        <f t="shared" si="34"/>
        <v>1402939.9600999993</v>
      </c>
      <c r="BK66" s="291">
        <f t="shared" si="34"/>
        <v>1377516</v>
      </c>
      <c r="BL66" s="298"/>
      <c r="BM66" s="298"/>
      <c r="BN66" s="298"/>
      <c r="BO66" s="298"/>
    </row>
    <row r="67" spans="1:67" x14ac:dyDescent="0.15">
      <c r="A67" s="10" t="s">
        <v>8</v>
      </c>
      <c r="B67" s="10"/>
      <c r="C67" s="276"/>
      <c r="D67" s="276" t="str">
        <f t="shared" si="23"/>
        <v>No</v>
      </c>
      <c r="E67" s="276"/>
      <c r="F67" s="276"/>
      <c r="G67" s="8">
        <v>5</v>
      </c>
      <c r="H67" s="1">
        <v>88</v>
      </c>
      <c r="I67" s="10">
        <v>41</v>
      </c>
      <c r="J67" s="7" t="s">
        <v>53</v>
      </c>
      <c r="K67" s="287"/>
      <c r="L67" s="1">
        <v>1029.6099999999999</v>
      </c>
      <c r="M67" s="288"/>
      <c r="N67" s="289"/>
      <c r="O67" s="1">
        <v>264</v>
      </c>
      <c r="P67" s="290">
        <f t="shared" si="4"/>
        <v>0.25640776604733834</v>
      </c>
      <c r="Q67" s="290">
        <f t="shared" si="5"/>
        <v>0</v>
      </c>
      <c r="R67" s="291">
        <f t="shared" si="6"/>
        <v>0</v>
      </c>
      <c r="S67" s="291">
        <f t="shared" si="24"/>
        <v>0</v>
      </c>
      <c r="T67" s="1">
        <v>3</v>
      </c>
      <c r="U67" s="1">
        <f t="shared" si="25"/>
        <v>0.44999999999999996</v>
      </c>
      <c r="V67" s="292">
        <f t="shared" si="7"/>
        <v>79.2</v>
      </c>
      <c r="W67" s="254">
        <f t="shared" si="8"/>
        <v>1109.26</v>
      </c>
      <c r="X67" s="1">
        <v>1238061128.6700001</v>
      </c>
      <c r="Y67" s="1">
        <v>9036</v>
      </c>
      <c r="Z67" s="264">
        <f t="shared" si="9"/>
        <v>137014.29</v>
      </c>
      <c r="AA67" s="293">
        <f t="shared" si="10"/>
        <v>0.733873</v>
      </c>
      <c r="AB67" s="1">
        <v>78177</v>
      </c>
      <c r="AC67" s="293">
        <f t="shared" si="11"/>
        <v>0.67891699999999999</v>
      </c>
      <c r="AD67" s="293">
        <f t="shared" si="12"/>
        <v>0.28261399999999998</v>
      </c>
      <c r="AE67" s="294">
        <f t="shared" si="13"/>
        <v>0.28261399999999998</v>
      </c>
      <c r="AF67" s="295">
        <f t="shared" si="26"/>
        <v>0</v>
      </c>
      <c r="AG67" s="296">
        <f t="shared" si="27"/>
        <v>0.28261399999999998</v>
      </c>
      <c r="AH67" s="1">
        <v>0</v>
      </c>
      <c r="AI67" s="1">
        <v>0</v>
      </c>
      <c r="AJ67" s="254">
        <f t="shared" si="14"/>
        <v>0</v>
      </c>
      <c r="AK67" s="9">
        <f t="shared" si="15"/>
        <v>0</v>
      </c>
      <c r="AL67" s="9">
        <f t="shared" si="16"/>
        <v>3613000</v>
      </c>
      <c r="AM67" s="9">
        <f t="shared" si="17"/>
        <v>3613000</v>
      </c>
      <c r="AN67" s="9">
        <f t="shared" si="28"/>
        <v>3613000</v>
      </c>
      <c r="AO67" s="291">
        <v>3686134</v>
      </c>
      <c r="AP67" s="9">
        <f t="shared" si="29"/>
        <v>73134</v>
      </c>
      <c r="AQ67" s="297" t="str">
        <f t="shared" si="30"/>
        <v>No</v>
      </c>
      <c r="AR67" s="291">
        <v>3562049</v>
      </c>
      <c r="AS67" s="291">
        <f t="shared" si="18"/>
        <v>6092.0622000000003</v>
      </c>
      <c r="AT67" s="291">
        <f t="shared" si="19"/>
        <v>3555956.9378</v>
      </c>
      <c r="AU67" s="291">
        <f t="shared" si="20"/>
        <v>3555956.9378</v>
      </c>
      <c r="AV67" s="291"/>
      <c r="AW67" s="291">
        <f t="shared" si="31"/>
        <v>3549864.8755999999</v>
      </c>
      <c r="AX67" s="291">
        <f t="shared" si="36"/>
        <v>3543772.8133999999</v>
      </c>
      <c r="AY67" s="291">
        <f t="shared" si="36"/>
        <v>3537680.7511999998</v>
      </c>
      <c r="AZ67" s="291">
        <f t="shared" si="36"/>
        <v>3531588.6889999998</v>
      </c>
      <c r="BA67" s="291">
        <f t="shared" si="36"/>
        <v>3525496.6267999997</v>
      </c>
      <c r="BB67" s="291">
        <f t="shared" si="36"/>
        <v>3519404.5645999997</v>
      </c>
      <c r="BC67" s="291">
        <f t="shared" si="33"/>
        <v>3613000</v>
      </c>
      <c r="BD67" s="298"/>
      <c r="BE67" s="291">
        <f t="shared" si="34"/>
        <v>3549864.8755999999</v>
      </c>
      <c r="BF67" s="291">
        <f t="shared" si="34"/>
        <v>3543772.8133999999</v>
      </c>
      <c r="BG67" s="291">
        <f t="shared" si="34"/>
        <v>3537680.7511999998</v>
      </c>
      <c r="BH67" s="291">
        <f t="shared" si="34"/>
        <v>3531588.6889999998</v>
      </c>
      <c r="BI67" s="291">
        <f t="shared" si="34"/>
        <v>3525496.6267999997</v>
      </c>
      <c r="BJ67" s="291">
        <f t="shared" si="34"/>
        <v>3519404.5645999997</v>
      </c>
      <c r="BK67" s="291">
        <f t="shared" si="34"/>
        <v>3613000</v>
      </c>
      <c r="BL67" s="298"/>
      <c r="BM67" s="298"/>
      <c r="BN67" s="298"/>
      <c r="BO67" s="298"/>
    </row>
    <row r="68" spans="1:67" x14ac:dyDescent="0.15">
      <c r="A68" s="10" t="s">
        <v>14</v>
      </c>
      <c r="B68" s="10"/>
      <c r="C68" s="276"/>
      <c r="D68" s="276" t="str">
        <f t="shared" si="23"/>
        <v>No</v>
      </c>
      <c r="E68" s="276"/>
      <c r="F68" s="276"/>
      <c r="G68" s="8">
        <v>6</v>
      </c>
      <c r="H68" s="1">
        <v>86</v>
      </c>
      <c r="I68" s="10">
        <v>42</v>
      </c>
      <c r="J68" s="7" t="s">
        <v>54</v>
      </c>
      <c r="K68" s="287"/>
      <c r="L68" s="1">
        <v>1884.58</v>
      </c>
      <c r="M68" s="288"/>
      <c r="N68" s="289"/>
      <c r="O68" s="1">
        <v>379</v>
      </c>
      <c r="P68" s="290">
        <f t="shared" si="4"/>
        <v>0.20110581668063973</v>
      </c>
      <c r="Q68" s="290">
        <f t="shared" si="5"/>
        <v>0</v>
      </c>
      <c r="R68" s="291">
        <f t="shared" si="6"/>
        <v>0</v>
      </c>
      <c r="S68" s="291">
        <f t="shared" si="24"/>
        <v>0</v>
      </c>
      <c r="T68" s="1">
        <v>6</v>
      </c>
      <c r="U68" s="1">
        <f t="shared" si="25"/>
        <v>0.89999999999999991</v>
      </c>
      <c r="V68" s="292">
        <f t="shared" si="7"/>
        <v>113.7</v>
      </c>
      <c r="W68" s="254">
        <f t="shared" si="8"/>
        <v>1999.18</v>
      </c>
      <c r="X68" s="1">
        <v>1637683682</v>
      </c>
      <c r="Y68" s="1">
        <v>12901</v>
      </c>
      <c r="Z68" s="264">
        <f t="shared" si="9"/>
        <v>126942.38</v>
      </c>
      <c r="AA68" s="293">
        <f t="shared" si="10"/>
        <v>0.67992600000000003</v>
      </c>
      <c r="AB68" s="1">
        <v>99104</v>
      </c>
      <c r="AC68" s="293">
        <f t="shared" si="11"/>
        <v>0.86065400000000003</v>
      </c>
      <c r="AD68" s="293">
        <f t="shared" si="12"/>
        <v>0.26585599999999998</v>
      </c>
      <c r="AE68" s="294">
        <f t="shared" si="13"/>
        <v>0.26585599999999998</v>
      </c>
      <c r="AF68" s="295">
        <f t="shared" si="26"/>
        <v>0</v>
      </c>
      <c r="AG68" s="296">
        <f t="shared" si="27"/>
        <v>0.26585599999999998</v>
      </c>
      <c r="AH68" s="1">
        <v>0</v>
      </c>
      <c r="AI68" s="1">
        <v>0</v>
      </c>
      <c r="AJ68" s="254">
        <f t="shared" si="14"/>
        <v>0</v>
      </c>
      <c r="AK68" s="9">
        <f t="shared" si="15"/>
        <v>0</v>
      </c>
      <c r="AL68" s="9">
        <f t="shared" si="16"/>
        <v>6125468</v>
      </c>
      <c r="AM68" s="9">
        <f t="shared" si="17"/>
        <v>6125468</v>
      </c>
      <c r="AN68" s="9">
        <f t="shared" si="28"/>
        <v>6125468</v>
      </c>
      <c r="AO68" s="291">
        <v>7538993</v>
      </c>
      <c r="AP68" s="9">
        <f t="shared" si="29"/>
        <v>1413525</v>
      </c>
      <c r="AQ68" s="297" t="str">
        <f t="shared" si="30"/>
        <v>No</v>
      </c>
      <c r="AR68" s="291">
        <v>7020522</v>
      </c>
      <c r="AS68" s="291">
        <f t="shared" si="18"/>
        <v>117746.63249999999</v>
      </c>
      <c r="AT68" s="291">
        <f t="shared" si="19"/>
        <v>6902775.3674999997</v>
      </c>
      <c r="AU68" s="291">
        <f t="shared" si="20"/>
        <v>6902775.3674999997</v>
      </c>
      <c r="AV68" s="291"/>
      <c r="AW68" s="291">
        <f t="shared" si="31"/>
        <v>6785028.7349999994</v>
      </c>
      <c r="AX68" s="291">
        <f t="shared" si="36"/>
        <v>6667282.1024999991</v>
      </c>
      <c r="AY68" s="291">
        <f t="shared" si="36"/>
        <v>6549535.4699999988</v>
      </c>
      <c r="AZ68" s="291">
        <f t="shared" si="36"/>
        <v>6431788.8374999985</v>
      </c>
      <c r="BA68" s="291">
        <f t="shared" si="36"/>
        <v>6314042.2049999982</v>
      </c>
      <c r="BB68" s="291">
        <f t="shared" si="36"/>
        <v>6196295.5724999979</v>
      </c>
      <c r="BC68" s="291">
        <f t="shared" si="33"/>
        <v>6125468</v>
      </c>
      <c r="BD68" s="298"/>
      <c r="BE68" s="291">
        <f t="shared" si="34"/>
        <v>6785028.7349999994</v>
      </c>
      <c r="BF68" s="291">
        <f t="shared" si="34"/>
        <v>6667282.1024999991</v>
      </c>
      <c r="BG68" s="291">
        <f t="shared" si="34"/>
        <v>6549535.4699999988</v>
      </c>
      <c r="BH68" s="291">
        <f t="shared" si="34"/>
        <v>6431788.8374999985</v>
      </c>
      <c r="BI68" s="291">
        <f t="shared" si="34"/>
        <v>6314042.2049999982</v>
      </c>
      <c r="BJ68" s="291">
        <f t="shared" si="34"/>
        <v>6196295.5724999979</v>
      </c>
      <c r="BK68" s="291">
        <f t="shared" si="34"/>
        <v>6125468</v>
      </c>
      <c r="BL68" s="298"/>
      <c r="BM68" s="298"/>
      <c r="BN68" s="298"/>
      <c r="BO68" s="298"/>
    </row>
    <row r="69" spans="1:67" x14ac:dyDescent="0.15">
      <c r="A69" s="10" t="s">
        <v>6</v>
      </c>
      <c r="B69" s="10">
        <v>1</v>
      </c>
      <c r="C69" s="276">
        <v>1</v>
      </c>
      <c r="D69" s="276" t="str">
        <f t="shared" si="23"/>
        <v>Yes</v>
      </c>
      <c r="E69" s="276">
        <v>0</v>
      </c>
      <c r="F69" s="276">
        <v>1</v>
      </c>
      <c r="G69" s="8">
        <v>10</v>
      </c>
      <c r="H69" s="1">
        <v>8</v>
      </c>
      <c r="I69" s="10">
        <v>43</v>
      </c>
      <c r="J69" s="7" t="s">
        <v>55</v>
      </c>
      <c r="K69" s="287"/>
      <c r="L69" s="1">
        <v>8115.49</v>
      </c>
      <c r="M69" s="300"/>
      <c r="N69" s="289"/>
      <c r="O69" s="1">
        <v>5191</v>
      </c>
      <c r="P69" s="290">
        <f t="shared" si="4"/>
        <v>0.63964098286117044</v>
      </c>
      <c r="Q69" s="290">
        <f t="shared" si="5"/>
        <v>0</v>
      </c>
      <c r="R69" s="291">
        <f t="shared" si="6"/>
        <v>0</v>
      </c>
      <c r="S69" s="291">
        <f t="shared" si="24"/>
        <v>0</v>
      </c>
      <c r="T69" s="1">
        <v>1021</v>
      </c>
      <c r="U69" s="1">
        <f t="shared" si="25"/>
        <v>153.15</v>
      </c>
      <c r="V69" s="292">
        <f t="shared" si="7"/>
        <v>1557.3</v>
      </c>
      <c r="W69" s="254">
        <f t="shared" si="8"/>
        <v>9825.9399999999987</v>
      </c>
      <c r="X69" s="1">
        <v>4007909674</v>
      </c>
      <c r="Y69" s="1">
        <v>50319</v>
      </c>
      <c r="Z69" s="264">
        <f t="shared" si="9"/>
        <v>79650.03</v>
      </c>
      <c r="AA69" s="293">
        <f t="shared" si="10"/>
        <v>0.42662</v>
      </c>
      <c r="AB69" s="1">
        <v>52049</v>
      </c>
      <c r="AC69" s="293">
        <f t="shared" si="11"/>
        <v>0.45201200000000002</v>
      </c>
      <c r="AD69" s="293">
        <f t="shared" si="12"/>
        <v>0.56576199999999999</v>
      </c>
      <c r="AE69" s="294">
        <f t="shared" si="13"/>
        <v>0.56576199999999999</v>
      </c>
      <c r="AF69" s="295">
        <f t="shared" si="26"/>
        <v>0.05</v>
      </c>
      <c r="AG69" s="296">
        <f t="shared" si="27"/>
        <v>0.61576200000000003</v>
      </c>
      <c r="AH69" s="1">
        <v>0</v>
      </c>
      <c r="AI69" s="1">
        <v>0</v>
      </c>
      <c r="AJ69" s="254">
        <f t="shared" si="14"/>
        <v>0</v>
      </c>
      <c r="AK69" s="9">
        <f t="shared" si="15"/>
        <v>0</v>
      </c>
      <c r="AL69" s="9">
        <f t="shared" si="16"/>
        <v>69731326</v>
      </c>
      <c r="AM69" s="9">
        <f t="shared" si="17"/>
        <v>69731326</v>
      </c>
      <c r="AN69" s="9">
        <f t="shared" si="28"/>
        <v>69731326</v>
      </c>
      <c r="AO69" s="291">
        <v>49075156</v>
      </c>
      <c r="AP69" s="9">
        <f t="shared" si="29"/>
        <v>20656170</v>
      </c>
      <c r="AQ69" s="297" t="str">
        <f t="shared" si="30"/>
        <v>Yes</v>
      </c>
      <c r="AR69" s="291">
        <v>52184081</v>
      </c>
      <c r="AS69" s="291">
        <f t="shared" si="18"/>
        <v>2201947.7220000001</v>
      </c>
      <c r="AT69" s="291">
        <f t="shared" si="19"/>
        <v>54386028.722000003</v>
      </c>
      <c r="AU69" s="291">
        <f t="shared" si="20"/>
        <v>54386028.722000003</v>
      </c>
      <c r="AV69" s="291"/>
      <c r="AW69" s="291">
        <f t="shared" si="31"/>
        <v>56587976.444000006</v>
      </c>
      <c r="AX69" s="291">
        <f t="shared" si="36"/>
        <v>58789924.166000009</v>
      </c>
      <c r="AY69" s="291">
        <f t="shared" si="36"/>
        <v>60991871.888000011</v>
      </c>
      <c r="AZ69" s="291">
        <f t="shared" si="36"/>
        <v>63193819.610000014</v>
      </c>
      <c r="BA69" s="291">
        <f t="shared" si="36"/>
        <v>65395767.332000017</v>
      </c>
      <c r="BB69" s="291">
        <f t="shared" si="36"/>
        <v>67597715.05400002</v>
      </c>
      <c r="BC69" s="291">
        <f t="shared" si="33"/>
        <v>69731326</v>
      </c>
      <c r="BD69" s="298"/>
      <c r="BE69" s="291">
        <f t="shared" si="34"/>
        <v>56587976.444000006</v>
      </c>
      <c r="BF69" s="291">
        <f t="shared" si="34"/>
        <v>58789924.166000009</v>
      </c>
      <c r="BG69" s="291">
        <f t="shared" si="34"/>
        <v>60991871.888000011</v>
      </c>
      <c r="BH69" s="291">
        <f t="shared" si="34"/>
        <v>63193819.610000014</v>
      </c>
      <c r="BI69" s="291">
        <f t="shared" si="34"/>
        <v>65395767.332000017</v>
      </c>
      <c r="BJ69" s="291">
        <f t="shared" si="34"/>
        <v>67597715.05400002</v>
      </c>
      <c r="BK69" s="291">
        <f t="shared" si="34"/>
        <v>69731326</v>
      </c>
      <c r="BL69" s="298"/>
      <c r="BM69" s="298"/>
      <c r="BN69" s="298"/>
      <c r="BO69" s="298"/>
    </row>
    <row r="70" spans="1:67" x14ac:dyDescent="0.15">
      <c r="A70" s="10" t="s">
        <v>19</v>
      </c>
      <c r="B70" s="10"/>
      <c r="C70" s="276">
        <v>1</v>
      </c>
      <c r="D70" s="276" t="str">
        <f t="shared" si="23"/>
        <v>Yes</v>
      </c>
      <c r="E70" s="276">
        <v>1</v>
      </c>
      <c r="F70" s="276"/>
      <c r="G70" s="8">
        <v>9</v>
      </c>
      <c r="H70" s="1">
        <v>27</v>
      </c>
      <c r="I70" s="10">
        <v>44</v>
      </c>
      <c r="J70" s="7" t="s">
        <v>56</v>
      </c>
      <c r="K70" s="287"/>
      <c r="L70" s="1">
        <v>3247.8</v>
      </c>
      <c r="M70" s="300"/>
      <c r="N70" s="289"/>
      <c r="O70" s="1">
        <v>1800</v>
      </c>
      <c r="P70" s="290">
        <f t="shared" si="4"/>
        <v>0.55422131904673932</v>
      </c>
      <c r="Q70" s="290">
        <f t="shared" si="5"/>
        <v>0</v>
      </c>
      <c r="R70" s="291">
        <f t="shared" si="6"/>
        <v>0</v>
      </c>
      <c r="S70" s="291">
        <f t="shared" si="24"/>
        <v>0</v>
      </c>
      <c r="T70" s="1">
        <v>280</v>
      </c>
      <c r="U70" s="1">
        <f t="shared" si="25"/>
        <v>42</v>
      </c>
      <c r="V70" s="292">
        <f t="shared" si="7"/>
        <v>540</v>
      </c>
      <c r="W70" s="254">
        <f t="shared" si="8"/>
        <v>3829.8</v>
      </c>
      <c r="X70" s="1">
        <v>2896300695.6700001</v>
      </c>
      <c r="Y70" s="1">
        <v>28857</v>
      </c>
      <c r="Z70" s="264">
        <f t="shared" si="9"/>
        <v>100367.35</v>
      </c>
      <c r="AA70" s="293">
        <f t="shared" si="10"/>
        <v>0.53758600000000001</v>
      </c>
      <c r="AB70" s="1">
        <v>63051</v>
      </c>
      <c r="AC70" s="293">
        <f t="shared" si="11"/>
        <v>0.54755699999999996</v>
      </c>
      <c r="AD70" s="293">
        <f t="shared" si="12"/>
        <v>0.45942300000000003</v>
      </c>
      <c r="AE70" s="294">
        <f t="shared" si="13"/>
        <v>0.45942300000000003</v>
      </c>
      <c r="AF70" s="295">
        <f t="shared" si="26"/>
        <v>0</v>
      </c>
      <c r="AG70" s="296">
        <f t="shared" si="27"/>
        <v>0.45942300000000003</v>
      </c>
      <c r="AH70" s="1">
        <v>0</v>
      </c>
      <c r="AI70" s="1">
        <v>0</v>
      </c>
      <c r="AJ70" s="254">
        <f t="shared" si="14"/>
        <v>0</v>
      </c>
      <c r="AK70" s="9">
        <f t="shared" si="15"/>
        <v>0</v>
      </c>
      <c r="AL70" s="9">
        <f t="shared" si="16"/>
        <v>20278217</v>
      </c>
      <c r="AM70" s="9">
        <f t="shared" si="17"/>
        <v>20278217</v>
      </c>
      <c r="AN70" s="9">
        <f t="shared" si="28"/>
        <v>20278217</v>
      </c>
      <c r="AO70" s="291">
        <v>19595415</v>
      </c>
      <c r="AP70" s="9">
        <f t="shared" si="29"/>
        <v>682802</v>
      </c>
      <c r="AQ70" s="297" t="str">
        <f t="shared" si="30"/>
        <v>Yes</v>
      </c>
      <c r="AR70" s="291">
        <v>19752616</v>
      </c>
      <c r="AS70" s="291">
        <f t="shared" si="18"/>
        <v>72786.693199999994</v>
      </c>
      <c r="AT70" s="291">
        <f t="shared" si="19"/>
        <v>19825402.6932</v>
      </c>
      <c r="AU70" s="291">
        <f t="shared" si="20"/>
        <v>19825402.6932</v>
      </c>
      <c r="AV70" s="291"/>
      <c r="AW70" s="291">
        <f t="shared" si="31"/>
        <v>19898189.386399999</v>
      </c>
      <c r="AX70" s="291">
        <f t="shared" si="36"/>
        <v>19970976.079599999</v>
      </c>
      <c r="AY70" s="291">
        <f t="shared" si="36"/>
        <v>20043762.772799999</v>
      </c>
      <c r="AZ70" s="291">
        <f t="shared" si="36"/>
        <v>20116549.465999998</v>
      </c>
      <c r="BA70" s="291">
        <f t="shared" si="36"/>
        <v>20189336.159199998</v>
      </c>
      <c r="BB70" s="291">
        <f t="shared" si="36"/>
        <v>20262122.852399997</v>
      </c>
      <c r="BC70" s="291">
        <f t="shared" si="33"/>
        <v>20278217</v>
      </c>
      <c r="BD70" s="298"/>
      <c r="BE70" s="291">
        <f t="shared" si="34"/>
        <v>19898189.386399999</v>
      </c>
      <c r="BF70" s="291">
        <f t="shared" si="34"/>
        <v>19970976.079599999</v>
      </c>
      <c r="BG70" s="291">
        <f t="shared" si="34"/>
        <v>20043762.772799999</v>
      </c>
      <c r="BH70" s="291">
        <f t="shared" si="34"/>
        <v>20116549.465999998</v>
      </c>
      <c r="BI70" s="291">
        <f t="shared" si="34"/>
        <v>20189336.159199998</v>
      </c>
      <c r="BJ70" s="291">
        <f t="shared" si="34"/>
        <v>20262122.852399997</v>
      </c>
      <c r="BK70" s="291">
        <f t="shared" si="34"/>
        <v>20278217</v>
      </c>
      <c r="BL70" s="298"/>
      <c r="BM70" s="298"/>
      <c r="BN70" s="298"/>
      <c r="BO70" s="298"/>
    </row>
    <row r="71" spans="1:67" x14ac:dyDescent="0.15">
      <c r="A71" s="10" t="s">
        <v>14</v>
      </c>
      <c r="B71" s="10"/>
      <c r="C71" s="276"/>
      <c r="D71" s="276" t="str">
        <f t="shared" si="23"/>
        <v>No</v>
      </c>
      <c r="E71" s="276"/>
      <c r="F71" s="276"/>
      <c r="G71" s="8">
        <v>4</v>
      </c>
      <c r="H71" s="1">
        <v>103</v>
      </c>
      <c r="I71" s="10">
        <v>45</v>
      </c>
      <c r="J71" s="7" t="s">
        <v>57</v>
      </c>
      <c r="K71" s="287"/>
      <c r="L71" s="1">
        <v>2562.08</v>
      </c>
      <c r="M71" s="288"/>
      <c r="N71" s="289"/>
      <c r="O71" s="1">
        <v>605</v>
      </c>
      <c r="P71" s="290">
        <f t="shared" si="4"/>
        <v>0.23613626428526824</v>
      </c>
      <c r="Q71" s="290">
        <f t="shared" si="5"/>
        <v>0</v>
      </c>
      <c r="R71" s="291">
        <f t="shared" si="6"/>
        <v>0</v>
      </c>
      <c r="S71" s="291">
        <f t="shared" si="24"/>
        <v>0</v>
      </c>
      <c r="T71" s="1">
        <v>52</v>
      </c>
      <c r="U71" s="1">
        <f t="shared" si="25"/>
        <v>7.8</v>
      </c>
      <c r="V71" s="292">
        <f t="shared" si="7"/>
        <v>181.5</v>
      </c>
      <c r="W71" s="254">
        <f t="shared" si="8"/>
        <v>2751.38</v>
      </c>
      <c r="X71" s="1">
        <v>3177561302</v>
      </c>
      <c r="Y71" s="1">
        <v>18789</v>
      </c>
      <c r="Z71" s="264">
        <f t="shared" si="9"/>
        <v>169118.17</v>
      </c>
      <c r="AA71" s="293">
        <f t="shared" si="10"/>
        <v>0.90582799999999997</v>
      </c>
      <c r="AB71" s="1">
        <v>83590</v>
      </c>
      <c r="AC71" s="293">
        <f t="shared" si="11"/>
        <v>0.72592500000000004</v>
      </c>
      <c r="AD71" s="293">
        <f t="shared" si="12"/>
        <v>0.148143</v>
      </c>
      <c r="AE71" s="294">
        <f t="shared" si="13"/>
        <v>0.148143</v>
      </c>
      <c r="AF71" s="295">
        <f t="shared" si="26"/>
        <v>0</v>
      </c>
      <c r="AG71" s="296">
        <f t="shared" si="27"/>
        <v>0.148143</v>
      </c>
      <c r="AH71" s="1">
        <v>0</v>
      </c>
      <c r="AI71" s="1">
        <v>0</v>
      </c>
      <c r="AJ71" s="254">
        <f t="shared" si="14"/>
        <v>0</v>
      </c>
      <c r="AK71" s="9">
        <f t="shared" si="15"/>
        <v>0</v>
      </c>
      <c r="AL71" s="9">
        <f t="shared" si="16"/>
        <v>4697563</v>
      </c>
      <c r="AM71" s="9">
        <f t="shared" si="17"/>
        <v>4697563</v>
      </c>
      <c r="AN71" s="9">
        <f t="shared" si="28"/>
        <v>4697563</v>
      </c>
      <c r="AO71" s="291">
        <v>6918462</v>
      </c>
      <c r="AP71" s="9">
        <f t="shared" si="29"/>
        <v>2220899</v>
      </c>
      <c r="AQ71" s="297" t="str">
        <f t="shared" si="30"/>
        <v>No</v>
      </c>
      <c r="AR71" s="291">
        <v>6261508</v>
      </c>
      <c r="AS71" s="291">
        <f t="shared" si="18"/>
        <v>185000.8867</v>
      </c>
      <c r="AT71" s="291">
        <f t="shared" si="19"/>
        <v>6076507.1133000003</v>
      </c>
      <c r="AU71" s="291">
        <f t="shared" si="20"/>
        <v>6076507.1133000003</v>
      </c>
      <c r="AV71" s="291"/>
      <c r="AW71" s="291">
        <f t="shared" si="31"/>
        <v>5891506.2266000006</v>
      </c>
      <c r="AX71" s="291">
        <f t="shared" si="36"/>
        <v>5706505.339900001</v>
      </c>
      <c r="AY71" s="291">
        <f t="shared" si="36"/>
        <v>5521504.4532000013</v>
      </c>
      <c r="AZ71" s="291">
        <f t="shared" si="36"/>
        <v>5336503.5665000016</v>
      </c>
      <c r="BA71" s="291">
        <f t="shared" si="36"/>
        <v>5151502.6798000019</v>
      </c>
      <c r="BB71" s="291">
        <f t="shared" si="36"/>
        <v>4966501.7931000022</v>
      </c>
      <c r="BC71" s="291">
        <f t="shared" si="33"/>
        <v>4697563</v>
      </c>
      <c r="BD71" s="298"/>
      <c r="BE71" s="291">
        <f t="shared" si="34"/>
        <v>5891506.2266000006</v>
      </c>
      <c r="BF71" s="291">
        <f t="shared" si="34"/>
        <v>5706505.339900001</v>
      </c>
      <c r="BG71" s="291">
        <f t="shared" si="34"/>
        <v>5521504.4532000013</v>
      </c>
      <c r="BH71" s="291">
        <f t="shared" si="34"/>
        <v>5336503.5665000016</v>
      </c>
      <c r="BI71" s="291">
        <f t="shared" si="34"/>
        <v>5151502.6798000019</v>
      </c>
      <c r="BJ71" s="291">
        <f t="shared" si="34"/>
        <v>4966501.7931000022</v>
      </c>
      <c r="BK71" s="291">
        <f t="shared" si="34"/>
        <v>4697563</v>
      </c>
      <c r="BL71" s="298"/>
      <c r="BM71" s="298"/>
      <c r="BN71" s="298"/>
      <c r="BO71" s="298"/>
    </row>
    <row r="72" spans="1:67" x14ac:dyDescent="0.15">
      <c r="A72" s="10" t="s">
        <v>46</v>
      </c>
      <c r="B72" s="10"/>
      <c r="C72" s="276"/>
      <c r="D72" s="276" t="str">
        <f t="shared" si="23"/>
        <v>No</v>
      </c>
      <c r="E72" s="276"/>
      <c r="F72" s="276"/>
      <c r="G72" s="8">
        <v>1</v>
      </c>
      <c r="H72" s="1">
        <v>147</v>
      </c>
      <c r="I72" s="10">
        <v>46</v>
      </c>
      <c r="J72" s="7" t="s">
        <v>58</v>
      </c>
      <c r="K72" s="287"/>
      <c r="L72" s="1">
        <v>1274.17</v>
      </c>
      <c r="M72" s="288"/>
      <c r="N72" s="289"/>
      <c r="O72" s="1">
        <v>137</v>
      </c>
      <c r="P72" s="290">
        <f t="shared" si="4"/>
        <v>0.10752097443826177</v>
      </c>
      <c r="Q72" s="290">
        <f t="shared" si="5"/>
        <v>0</v>
      </c>
      <c r="R72" s="291">
        <f t="shared" si="6"/>
        <v>0</v>
      </c>
      <c r="S72" s="291">
        <f t="shared" si="24"/>
        <v>0</v>
      </c>
      <c r="T72" s="1">
        <v>19</v>
      </c>
      <c r="U72" s="1">
        <f t="shared" si="25"/>
        <v>2.85</v>
      </c>
      <c r="V72" s="292">
        <f t="shared" si="7"/>
        <v>41.1</v>
      </c>
      <c r="W72" s="254">
        <f t="shared" si="8"/>
        <v>1318.12</v>
      </c>
      <c r="X72" s="1">
        <v>1836512310.6700001</v>
      </c>
      <c r="Y72" s="1">
        <v>7579</v>
      </c>
      <c r="Z72" s="264">
        <f t="shared" si="9"/>
        <v>242315.91</v>
      </c>
      <c r="AA72" s="293">
        <f t="shared" si="10"/>
        <v>1.2978879999999999</v>
      </c>
      <c r="AB72" s="1">
        <v>136786</v>
      </c>
      <c r="AC72" s="293">
        <f t="shared" si="11"/>
        <v>1.1878979999999999</v>
      </c>
      <c r="AD72" s="293">
        <f t="shared" si="12"/>
        <v>-0.26489099999999999</v>
      </c>
      <c r="AE72" s="294">
        <f t="shared" si="13"/>
        <v>0.01</v>
      </c>
      <c r="AF72" s="295">
        <f t="shared" si="26"/>
        <v>0</v>
      </c>
      <c r="AG72" s="296">
        <f t="shared" si="27"/>
        <v>0.01</v>
      </c>
      <c r="AH72" s="1">
        <v>413</v>
      </c>
      <c r="AI72" s="1">
        <v>4</v>
      </c>
      <c r="AJ72" s="254">
        <f t="shared" si="14"/>
        <v>30.77</v>
      </c>
      <c r="AK72" s="9">
        <f t="shared" si="15"/>
        <v>12708</v>
      </c>
      <c r="AL72" s="9">
        <f t="shared" si="16"/>
        <v>151913</v>
      </c>
      <c r="AM72" s="9">
        <f t="shared" si="17"/>
        <v>164621</v>
      </c>
      <c r="AN72" s="9">
        <f t="shared" si="28"/>
        <v>164621</v>
      </c>
      <c r="AO72" s="291">
        <v>177907</v>
      </c>
      <c r="AP72" s="9">
        <f t="shared" si="29"/>
        <v>13286</v>
      </c>
      <c r="AQ72" s="297" t="str">
        <f t="shared" si="30"/>
        <v>No</v>
      </c>
      <c r="AR72" s="291">
        <v>173187</v>
      </c>
      <c r="AS72" s="291">
        <f t="shared" si="18"/>
        <v>1106.7238</v>
      </c>
      <c r="AT72" s="291">
        <f t="shared" si="19"/>
        <v>172080.27619999999</v>
      </c>
      <c r="AU72" s="291">
        <f t="shared" si="20"/>
        <v>172080.27619999999</v>
      </c>
      <c r="AV72" s="291"/>
      <c r="AW72" s="291">
        <f t="shared" si="31"/>
        <v>170973.55239999999</v>
      </c>
      <c r="AX72" s="291">
        <f t="shared" si="36"/>
        <v>169866.82859999998</v>
      </c>
      <c r="AY72" s="291">
        <f t="shared" si="36"/>
        <v>168760.10479999997</v>
      </c>
      <c r="AZ72" s="291">
        <f t="shared" si="36"/>
        <v>167653.38099999996</v>
      </c>
      <c r="BA72" s="291">
        <f t="shared" si="36"/>
        <v>166546.65719999996</v>
      </c>
      <c r="BB72" s="291">
        <f t="shared" si="36"/>
        <v>165439.93339999995</v>
      </c>
      <c r="BC72" s="291">
        <f t="shared" si="33"/>
        <v>164621</v>
      </c>
      <c r="BD72" s="298"/>
      <c r="BE72" s="291">
        <f t="shared" si="34"/>
        <v>170973.55239999999</v>
      </c>
      <c r="BF72" s="291">
        <f t="shared" si="34"/>
        <v>169866.82859999998</v>
      </c>
      <c r="BG72" s="291">
        <f t="shared" si="34"/>
        <v>168760.10479999997</v>
      </c>
      <c r="BH72" s="291">
        <f t="shared" si="34"/>
        <v>167653.38099999996</v>
      </c>
      <c r="BI72" s="291">
        <f t="shared" si="34"/>
        <v>166546.65719999996</v>
      </c>
      <c r="BJ72" s="291">
        <f t="shared" si="34"/>
        <v>165439.93339999995</v>
      </c>
      <c r="BK72" s="291">
        <f t="shared" si="34"/>
        <v>164621</v>
      </c>
      <c r="BL72" s="298"/>
      <c r="BM72" s="298"/>
      <c r="BN72" s="298"/>
      <c r="BO72" s="298"/>
    </row>
    <row r="73" spans="1:67" x14ac:dyDescent="0.15">
      <c r="A73" s="10" t="s">
        <v>32</v>
      </c>
      <c r="B73" s="10"/>
      <c r="C73" s="276">
        <v>1</v>
      </c>
      <c r="D73" s="276" t="str">
        <f t="shared" si="23"/>
        <v>Yes</v>
      </c>
      <c r="E73" s="276">
        <v>1</v>
      </c>
      <c r="F73" s="276"/>
      <c r="G73" s="8">
        <v>8</v>
      </c>
      <c r="H73" s="1">
        <v>37</v>
      </c>
      <c r="I73" s="10">
        <v>47</v>
      </c>
      <c r="J73" s="7" t="s">
        <v>59</v>
      </c>
      <c r="K73" s="287"/>
      <c r="L73" s="1">
        <v>1129.03</v>
      </c>
      <c r="M73" s="300"/>
      <c r="N73" s="289"/>
      <c r="O73" s="1">
        <v>583</v>
      </c>
      <c r="P73" s="290">
        <f t="shared" si="4"/>
        <v>0.51637246131635117</v>
      </c>
      <c r="Q73" s="290">
        <f t="shared" si="5"/>
        <v>0</v>
      </c>
      <c r="R73" s="291">
        <f t="shared" si="6"/>
        <v>0</v>
      </c>
      <c r="S73" s="291">
        <f t="shared" si="24"/>
        <v>0</v>
      </c>
      <c r="T73" s="1">
        <v>69</v>
      </c>
      <c r="U73" s="1">
        <f t="shared" si="25"/>
        <v>10.35</v>
      </c>
      <c r="V73" s="292">
        <f t="shared" si="7"/>
        <v>174.9</v>
      </c>
      <c r="W73" s="254">
        <f t="shared" si="8"/>
        <v>1314.28</v>
      </c>
      <c r="X73" s="1">
        <v>1363481764.6700001</v>
      </c>
      <c r="Y73" s="1">
        <v>11395</v>
      </c>
      <c r="Z73" s="264">
        <f t="shared" si="9"/>
        <v>119656.14</v>
      </c>
      <c r="AA73" s="293">
        <f t="shared" si="10"/>
        <v>0.64090000000000003</v>
      </c>
      <c r="AB73" s="1">
        <v>75056</v>
      </c>
      <c r="AC73" s="293">
        <f t="shared" si="11"/>
        <v>0.65181299999999998</v>
      </c>
      <c r="AD73" s="293">
        <f t="shared" si="12"/>
        <v>0.35582599999999998</v>
      </c>
      <c r="AE73" s="294">
        <f t="shared" si="13"/>
        <v>0.35582599999999998</v>
      </c>
      <c r="AF73" s="295">
        <f t="shared" si="26"/>
        <v>0</v>
      </c>
      <c r="AG73" s="296">
        <f t="shared" si="27"/>
        <v>0.35582599999999998</v>
      </c>
      <c r="AH73" s="1">
        <v>0</v>
      </c>
      <c r="AI73" s="1">
        <v>0</v>
      </c>
      <c r="AJ73" s="254">
        <f t="shared" si="14"/>
        <v>0</v>
      </c>
      <c r="AK73" s="9">
        <f t="shared" si="15"/>
        <v>0</v>
      </c>
      <c r="AL73" s="9">
        <f t="shared" si="16"/>
        <v>5389724</v>
      </c>
      <c r="AM73" s="9">
        <f t="shared" si="17"/>
        <v>5389724</v>
      </c>
      <c r="AN73" s="9">
        <f t="shared" si="28"/>
        <v>5669122</v>
      </c>
      <c r="AO73" s="291">
        <v>5669122</v>
      </c>
      <c r="AP73" s="9">
        <f t="shared" si="29"/>
        <v>279398</v>
      </c>
      <c r="AQ73" s="297" t="str">
        <f t="shared" si="30"/>
        <v>No</v>
      </c>
      <c r="AR73" s="291">
        <v>5669122</v>
      </c>
      <c r="AS73" s="291">
        <f t="shared" si="18"/>
        <v>23273.8534</v>
      </c>
      <c r="AT73" s="291">
        <f t="shared" si="19"/>
        <v>5645848.1465999996</v>
      </c>
      <c r="AU73" s="291">
        <f t="shared" si="20"/>
        <v>5669122</v>
      </c>
      <c r="AV73" s="291"/>
      <c r="AW73" s="291">
        <f t="shared" si="31"/>
        <v>5645848.1465999996</v>
      </c>
      <c r="AX73" s="291">
        <f t="shared" si="36"/>
        <v>5622574.2931999993</v>
      </c>
      <c r="AY73" s="291">
        <f t="shared" si="36"/>
        <v>5599300.4397999989</v>
      </c>
      <c r="AZ73" s="291">
        <f t="shared" si="36"/>
        <v>5576026.5863999985</v>
      </c>
      <c r="BA73" s="291">
        <f t="shared" si="36"/>
        <v>5552752.7329999981</v>
      </c>
      <c r="BB73" s="291">
        <f t="shared" si="36"/>
        <v>5529478.8795999978</v>
      </c>
      <c r="BC73" s="291">
        <f t="shared" si="33"/>
        <v>5389724</v>
      </c>
      <c r="BD73" s="298"/>
      <c r="BE73" s="291">
        <f t="shared" si="34"/>
        <v>5669122</v>
      </c>
      <c r="BF73" s="291">
        <f t="shared" si="34"/>
        <v>5669122</v>
      </c>
      <c r="BG73" s="291">
        <f t="shared" si="34"/>
        <v>5669122</v>
      </c>
      <c r="BH73" s="291">
        <f t="shared" si="34"/>
        <v>5669122</v>
      </c>
      <c r="BI73" s="291">
        <f t="shared" si="34"/>
        <v>5669122</v>
      </c>
      <c r="BJ73" s="291">
        <f t="shared" si="34"/>
        <v>5669122</v>
      </c>
      <c r="BK73" s="291">
        <f t="shared" si="34"/>
        <v>5669122</v>
      </c>
      <c r="BL73" s="298"/>
      <c r="BM73" s="298"/>
      <c r="BN73" s="298"/>
      <c r="BO73" s="298"/>
    </row>
    <row r="74" spans="1:67" x14ac:dyDescent="0.15">
      <c r="A74" s="10" t="s">
        <v>4</v>
      </c>
      <c r="B74" s="10"/>
      <c r="C74" s="276"/>
      <c r="D74" s="276" t="str">
        <f t="shared" si="23"/>
        <v>No</v>
      </c>
      <c r="E74" s="276"/>
      <c r="F74" s="276"/>
      <c r="G74" s="8">
        <v>7</v>
      </c>
      <c r="H74" s="1">
        <v>78</v>
      </c>
      <c r="I74" s="10">
        <v>48</v>
      </c>
      <c r="J74" s="7" t="s">
        <v>60</v>
      </c>
      <c r="K74" s="287"/>
      <c r="L74" s="1">
        <v>2699.31</v>
      </c>
      <c r="M74" s="288"/>
      <c r="N74" s="289"/>
      <c r="O74" s="1">
        <v>397</v>
      </c>
      <c r="P74" s="290">
        <f t="shared" si="4"/>
        <v>0.14707462277396816</v>
      </c>
      <c r="Q74" s="290">
        <f t="shared" si="5"/>
        <v>0</v>
      </c>
      <c r="R74" s="291">
        <f t="shared" si="6"/>
        <v>0</v>
      </c>
      <c r="S74" s="291">
        <f t="shared" si="24"/>
        <v>0</v>
      </c>
      <c r="T74" s="1">
        <v>48</v>
      </c>
      <c r="U74" s="1">
        <f t="shared" si="25"/>
        <v>7.1999999999999993</v>
      </c>
      <c r="V74" s="292">
        <f t="shared" si="7"/>
        <v>119.1</v>
      </c>
      <c r="W74" s="254">
        <f t="shared" si="8"/>
        <v>2825.6099999999997</v>
      </c>
      <c r="X74" s="1">
        <v>1961580379</v>
      </c>
      <c r="Y74" s="1">
        <v>16195</v>
      </c>
      <c r="Z74" s="264">
        <f t="shared" si="9"/>
        <v>121122.59</v>
      </c>
      <c r="AA74" s="293">
        <f t="shared" si="10"/>
        <v>0.64875499999999997</v>
      </c>
      <c r="AB74" s="1">
        <v>82507</v>
      </c>
      <c r="AC74" s="293">
        <f t="shared" si="11"/>
        <v>0.71652000000000005</v>
      </c>
      <c r="AD74" s="293">
        <f t="shared" si="12"/>
        <v>0.33091599999999999</v>
      </c>
      <c r="AE74" s="294">
        <f t="shared" si="13"/>
        <v>0.33091599999999999</v>
      </c>
      <c r="AF74" s="295">
        <f t="shared" si="26"/>
        <v>0</v>
      </c>
      <c r="AG74" s="296">
        <f t="shared" si="27"/>
        <v>0.33091599999999999</v>
      </c>
      <c r="AH74" s="1">
        <v>0</v>
      </c>
      <c r="AI74" s="1">
        <v>0</v>
      </c>
      <c r="AJ74" s="254">
        <f t="shared" si="14"/>
        <v>0</v>
      </c>
      <c r="AK74" s="9">
        <f t="shared" si="15"/>
        <v>0</v>
      </c>
      <c r="AL74" s="9">
        <f t="shared" si="16"/>
        <v>10776331</v>
      </c>
      <c r="AM74" s="9">
        <f t="shared" si="17"/>
        <v>10776331</v>
      </c>
      <c r="AN74" s="9">
        <f t="shared" si="28"/>
        <v>10776331</v>
      </c>
      <c r="AO74" s="291">
        <v>9684435</v>
      </c>
      <c r="AP74" s="9">
        <f t="shared" si="29"/>
        <v>1091896</v>
      </c>
      <c r="AQ74" s="297" t="str">
        <f t="shared" si="30"/>
        <v>Yes</v>
      </c>
      <c r="AR74" s="291">
        <v>9830496</v>
      </c>
      <c r="AS74" s="291">
        <f t="shared" si="18"/>
        <v>116396.1136</v>
      </c>
      <c r="AT74" s="291">
        <f t="shared" si="19"/>
        <v>9946892.1136000007</v>
      </c>
      <c r="AU74" s="291">
        <f t="shared" si="20"/>
        <v>9946892.1136000007</v>
      </c>
      <c r="AV74" s="291"/>
      <c r="AW74" s="291">
        <f t="shared" si="31"/>
        <v>10063288.227200001</v>
      </c>
      <c r="AX74" s="291">
        <f t="shared" si="36"/>
        <v>10179684.340800002</v>
      </c>
      <c r="AY74" s="291">
        <f t="shared" si="36"/>
        <v>10296080.454400003</v>
      </c>
      <c r="AZ74" s="291">
        <f t="shared" si="36"/>
        <v>10412476.568000004</v>
      </c>
      <c r="BA74" s="291">
        <f t="shared" si="36"/>
        <v>10528872.681600004</v>
      </c>
      <c r="BB74" s="291">
        <f t="shared" si="36"/>
        <v>10645268.795200005</v>
      </c>
      <c r="BC74" s="291">
        <f t="shared" si="33"/>
        <v>10776331</v>
      </c>
      <c r="BD74" s="298"/>
      <c r="BE74" s="291">
        <f t="shared" si="34"/>
        <v>10063288.227200001</v>
      </c>
      <c r="BF74" s="291">
        <f t="shared" si="34"/>
        <v>10179684.340800002</v>
      </c>
      <c r="BG74" s="291">
        <f t="shared" si="34"/>
        <v>10296080.454400003</v>
      </c>
      <c r="BH74" s="291">
        <f t="shared" si="34"/>
        <v>10412476.568000004</v>
      </c>
      <c r="BI74" s="291">
        <f t="shared" si="34"/>
        <v>10528872.681600004</v>
      </c>
      <c r="BJ74" s="291">
        <f t="shared" si="34"/>
        <v>10645268.795200005</v>
      </c>
      <c r="BK74" s="291">
        <f t="shared" si="34"/>
        <v>10776331</v>
      </c>
      <c r="BL74" s="298"/>
      <c r="BM74" s="298"/>
      <c r="BN74" s="298"/>
      <c r="BO74" s="298"/>
    </row>
    <row r="75" spans="1:67" x14ac:dyDescent="0.15">
      <c r="A75" s="10" t="s">
        <v>32</v>
      </c>
      <c r="B75" s="10"/>
      <c r="C75" s="276"/>
      <c r="D75" s="276" t="str">
        <f t="shared" si="23"/>
        <v>No</v>
      </c>
      <c r="E75" s="276"/>
      <c r="F75" s="276"/>
      <c r="G75" s="8">
        <v>9</v>
      </c>
      <c r="H75" s="1">
        <v>35</v>
      </c>
      <c r="I75" s="10">
        <v>49</v>
      </c>
      <c r="J75" s="7" t="s">
        <v>61</v>
      </c>
      <c r="K75" s="287"/>
      <c r="L75" s="1">
        <v>5360.8</v>
      </c>
      <c r="M75" s="300"/>
      <c r="N75" s="289"/>
      <c r="O75" s="1">
        <v>2500</v>
      </c>
      <c r="P75" s="290">
        <f t="shared" si="4"/>
        <v>0.46634830622295176</v>
      </c>
      <c r="Q75" s="290">
        <f t="shared" si="5"/>
        <v>0</v>
      </c>
      <c r="R75" s="291">
        <f t="shared" si="6"/>
        <v>0</v>
      </c>
      <c r="S75" s="291">
        <f t="shared" si="24"/>
        <v>0</v>
      </c>
      <c r="T75" s="1">
        <v>131</v>
      </c>
      <c r="U75" s="1">
        <f t="shared" si="25"/>
        <v>19.649999999999999</v>
      </c>
      <c r="V75" s="292">
        <f t="shared" si="7"/>
        <v>750</v>
      </c>
      <c r="W75" s="254">
        <f t="shared" si="8"/>
        <v>6130.45</v>
      </c>
      <c r="X75" s="1">
        <v>4201118816</v>
      </c>
      <c r="Y75" s="1">
        <v>44585</v>
      </c>
      <c r="Z75" s="264">
        <f t="shared" si="9"/>
        <v>94227.18</v>
      </c>
      <c r="AA75" s="293">
        <f t="shared" si="10"/>
        <v>0.50469799999999998</v>
      </c>
      <c r="AB75" s="1">
        <v>73494</v>
      </c>
      <c r="AC75" s="293">
        <f t="shared" si="11"/>
        <v>0.63824800000000004</v>
      </c>
      <c r="AD75" s="293">
        <f t="shared" si="12"/>
        <v>0.455237</v>
      </c>
      <c r="AE75" s="294">
        <f t="shared" si="13"/>
        <v>0.455237</v>
      </c>
      <c r="AF75" s="295">
        <f t="shared" si="26"/>
        <v>0</v>
      </c>
      <c r="AG75" s="296">
        <f t="shared" si="27"/>
        <v>0.455237</v>
      </c>
      <c r="AH75" s="1">
        <v>0</v>
      </c>
      <c r="AI75" s="1">
        <v>0</v>
      </c>
      <c r="AJ75" s="254">
        <f t="shared" si="14"/>
        <v>0</v>
      </c>
      <c r="AK75" s="9">
        <f t="shared" si="15"/>
        <v>0</v>
      </c>
      <c r="AL75" s="9">
        <f t="shared" si="16"/>
        <v>32164058</v>
      </c>
      <c r="AM75" s="9">
        <f t="shared" si="17"/>
        <v>32164058</v>
      </c>
      <c r="AN75" s="9">
        <f t="shared" si="28"/>
        <v>32164058</v>
      </c>
      <c r="AO75" s="291">
        <v>28585010</v>
      </c>
      <c r="AP75" s="9">
        <f t="shared" si="29"/>
        <v>3579048</v>
      </c>
      <c r="AQ75" s="297" t="str">
        <f t="shared" si="30"/>
        <v>Yes</v>
      </c>
      <c r="AR75" s="291">
        <v>29169999</v>
      </c>
      <c r="AS75" s="291">
        <f t="shared" si="18"/>
        <v>381526.51679999998</v>
      </c>
      <c r="AT75" s="291">
        <f t="shared" si="19"/>
        <v>29551525.516800001</v>
      </c>
      <c r="AU75" s="291">
        <f t="shared" si="20"/>
        <v>29551525.516800001</v>
      </c>
      <c r="AV75" s="291"/>
      <c r="AW75" s="291">
        <f t="shared" si="31"/>
        <v>29933052.033600003</v>
      </c>
      <c r="AX75" s="291">
        <f t="shared" si="36"/>
        <v>30314578.550400004</v>
      </c>
      <c r="AY75" s="291">
        <f t="shared" si="36"/>
        <v>30696105.067200005</v>
      </c>
      <c r="AZ75" s="291">
        <f t="shared" si="36"/>
        <v>31077631.584000006</v>
      </c>
      <c r="BA75" s="291">
        <f t="shared" si="36"/>
        <v>31459158.100800008</v>
      </c>
      <c r="BB75" s="291">
        <f t="shared" si="36"/>
        <v>31840684.617600009</v>
      </c>
      <c r="BC75" s="291">
        <f t="shared" si="33"/>
        <v>32164058</v>
      </c>
      <c r="BD75" s="298"/>
      <c r="BE75" s="291">
        <f t="shared" si="34"/>
        <v>29933052.033600003</v>
      </c>
      <c r="BF75" s="291">
        <f t="shared" si="34"/>
        <v>30314578.550400004</v>
      </c>
      <c r="BG75" s="291">
        <f t="shared" si="34"/>
        <v>30696105.067200005</v>
      </c>
      <c r="BH75" s="291">
        <f t="shared" si="34"/>
        <v>31077631.584000006</v>
      </c>
      <c r="BI75" s="291">
        <f t="shared" si="34"/>
        <v>31459158.100800008</v>
      </c>
      <c r="BJ75" s="291">
        <f t="shared" si="34"/>
        <v>31840684.617600009</v>
      </c>
      <c r="BK75" s="291">
        <f t="shared" si="34"/>
        <v>32164058</v>
      </c>
      <c r="BL75" s="298"/>
      <c r="BM75" s="298"/>
      <c r="BN75" s="298"/>
      <c r="BO75" s="298"/>
    </row>
    <row r="76" spans="1:67" x14ac:dyDescent="0.15">
      <c r="A76" s="10" t="s">
        <v>4</v>
      </c>
      <c r="B76" s="10"/>
      <c r="C76" s="276"/>
      <c r="D76" s="276" t="str">
        <f t="shared" si="23"/>
        <v>No</v>
      </c>
      <c r="E76" s="276"/>
      <c r="F76" s="276"/>
      <c r="G76" s="8">
        <v>2</v>
      </c>
      <c r="H76" s="1">
        <v>149</v>
      </c>
      <c r="I76" s="10">
        <v>50</v>
      </c>
      <c r="J76" s="7" t="s">
        <v>62</v>
      </c>
      <c r="K76" s="287"/>
      <c r="L76" s="1">
        <v>659.97</v>
      </c>
      <c r="M76" s="288"/>
      <c r="N76" s="289"/>
      <c r="O76" s="1">
        <v>126</v>
      </c>
      <c r="P76" s="290">
        <f t="shared" si="4"/>
        <v>0.19091776898949953</v>
      </c>
      <c r="Q76" s="290">
        <f t="shared" si="5"/>
        <v>0</v>
      </c>
      <c r="R76" s="291">
        <f t="shared" si="6"/>
        <v>0</v>
      </c>
      <c r="S76" s="291">
        <f t="shared" si="24"/>
        <v>0</v>
      </c>
      <c r="T76" s="1">
        <v>14</v>
      </c>
      <c r="U76" s="1">
        <f t="shared" si="25"/>
        <v>2.1</v>
      </c>
      <c r="V76" s="292">
        <f t="shared" si="7"/>
        <v>37.799999999999997</v>
      </c>
      <c r="W76" s="254">
        <f t="shared" si="8"/>
        <v>699.87</v>
      </c>
      <c r="X76" s="1">
        <v>1536845778</v>
      </c>
      <c r="Y76" s="1">
        <v>6588</v>
      </c>
      <c r="Z76" s="264">
        <f t="shared" si="9"/>
        <v>233279.57</v>
      </c>
      <c r="AA76" s="293">
        <f t="shared" si="10"/>
        <v>1.2494879999999999</v>
      </c>
      <c r="AB76" s="1">
        <v>87857</v>
      </c>
      <c r="AC76" s="293">
        <f t="shared" si="11"/>
        <v>0.76298100000000002</v>
      </c>
      <c r="AD76" s="293">
        <f t="shared" si="12"/>
        <v>-0.103536</v>
      </c>
      <c r="AE76" s="294">
        <f t="shared" si="13"/>
        <v>0.01</v>
      </c>
      <c r="AF76" s="295">
        <f t="shared" si="26"/>
        <v>0</v>
      </c>
      <c r="AG76" s="296">
        <f t="shared" si="27"/>
        <v>0.01</v>
      </c>
      <c r="AH76" s="1">
        <v>348</v>
      </c>
      <c r="AI76" s="1">
        <v>6</v>
      </c>
      <c r="AJ76" s="254">
        <f t="shared" si="14"/>
        <v>46.15</v>
      </c>
      <c r="AK76" s="9">
        <f t="shared" si="15"/>
        <v>16060</v>
      </c>
      <c r="AL76" s="9">
        <f t="shared" si="16"/>
        <v>80660</v>
      </c>
      <c r="AM76" s="9">
        <f t="shared" si="17"/>
        <v>96720</v>
      </c>
      <c r="AN76" s="9">
        <f t="shared" si="28"/>
        <v>96720</v>
      </c>
      <c r="AO76" s="291">
        <v>105052</v>
      </c>
      <c r="AP76" s="9">
        <f t="shared" si="29"/>
        <v>8332</v>
      </c>
      <c r="AQ76" s="297" t="str">
        <f t="shared" si="30"/>
        <v>No</v>
      </c>
      <c r="AR76" s="291">
        <v>104620</v>
      </c>
      <c r="AS76" s="291">
        <f t="shared" si="18"/>
        <v>694.05560000000003</v>
      </c>
      <c r="AT76" s="291">
        <f t="shared" si="19"/>
        <v>103925.94439999999</v>
      </c>
      <c r="AU76" s="291">
        <f t="shared" si="20"/>
        <v>103925.94439999999</v>
      </c>
      <c r="AV76" s="291"/>
      <c r="AW76" s="291">
        <f t="shared" si="31"/>
        <v>103231.88879999999</v>
      </c>
      <c r="AX76" s="291">
        <f t="shared" ref="AX76:BB91" si="37">IF($AQ76="Yes",AW76+$AS76,AW76-$AS76)</f>
        <v>102537.83319999998</v>
      </c>
      <c r="AY76" s="291">
        <f t="shared" si="37"/>
        <v>101843.77759999997</v>
      </c>
      <c r="AZ76" s="291">
        <f t="shared" si="37"/>
        <v>101149.72199999997</v>
      </c>
      <c r="BA76" s="291">
        <f t="shared" si="37"/>
        <v>100455.66639999996</v>
      </c>
      <c r="BB76" s="291">
        <f t="shared" si="37"/>
        <v>99761.610799999951</v>
      </c>
      <c r="BC76" s="291">
        <f t="shared" si="33"/>
        <v>96720</v>
      </c>
      <c r="BD76" s="298"/>
      <c r="BE76" s="291">
        <f t="shared" si="34"/>
        <v>103231.88879999999</v>
      </c>
      <c r="BF76" s="291">
        <f t="shared" si="34"/>
        <v>102537.83319999998</v>
      </c>
      <c r="BG76" s="291">
        <f t="shared" si="34"/>
        <v>101843.77759999997</v>
      </c>
      <c r="BH76" s="291">
        <f t="shared" si="34"/>
        <v>101149.72199999997</v>
      </c>
      <c r="BI76" s="291">
        <f t="shared" si="34"/>
        <v>100455.66639999996</v>
      </c>
      <c r="BJ76" s="291">
        <f t="shared" si="34"/>
        <v>99761.610799999951</v>
      </c>
      <c r="BK76" s="291">
        <f t="shared" si="34"/>
        <v>96720</v>
      </c>
      <c r="BL76" s="298"/>
      <c r="BM76" s="298"/>
      <c r="BN76" s="298"/>
      <c r="BO76" s="298"/>
    </row>
    <row r="77" spans="1:67" x14ac:dyDescent="0.15">
      <c r="A77" s="10" t="s">
        <v>10</v>
      </c>
      <c r="B77" s="10"/>
      <c r="C77" s="276"/>
      <c r="D77" s="276" t="str">
        <f t="shared" si="23"/>
        <v>No</v>
      </c>
      <c r="E77" s="276"/>
      <c r="F77" s="276"/>
      <c r="G77" s="8">
        <v>2</v>
      </c>
      <c r="H77" s="1">
        <v>148</v>
      </c>
      <c r="I77" s="10">
        <v>51</v>
      </c>
      <c r="J77" s="7" t="s">
        <v>63</v>
      </c>
      <c r="K77" s="287"/>
      <c r="L77" s="1">
        <v>9669.85</v>
      </c>
      <c r="M77" s="288"/>
      <c r="N77" s="289"/>
      <c r="O77" s="1">
        <v>1553</v>
      </c>
      <c r="P77" s="290">
        <f t="shared" si="4"/>
        <v>0.16060228442013061</v>
      </c>
      <c r="Q77" s="290">
        <f t="shared" si="5"/>
        <v>0</v>
      </c>
      <c r="R77" s="291">
        <f t="shared" si="6"/>
        <v>0</v>
      </c>
      <c r="S77" s="291">
        <f t="shared" si="24"/>
        <v>0</v>
      </c>
      <c r="T77" s="1">
        <v>243</v>
      </c>
      <c r="U77" s="1">
        <f t="shared" si="25"/>
        <v>36.449999999999996</v>
      </c>
      <c r="V77" s="292">
        <f t="shared" si="7"/>
        <v>465.9</v>
      </c>
      <c r="W77" s="254">
        <f t="shared" si="8"/>
        <v>10172.200000000001</v>
      </c>
      <c r="X77" s="1">
        <v>15957220183.33</v>
      </c>
      <c r="Y77" s="1">
        <v>62105</v>
      </c>
      <c r="Z77" s="264">
        <f t="shared" si="9"/>
        <v>256939.38</v>
      </c>
      <c r="AA77" s="293">
        <f t="shared" si="10"/>
        <v>1.376214</v>
      </c>
      <c r="AB77" s="1">
        <v>127746</v>
      </c>
      <c r="AC77" s="293">
        <f t="shared" si="11"/>
        <v>1.1093919999999999</v>
      </c>
      <c r="AD77" s="293">
        <f t="shared" si="12"/>
        <v>-0.29616700000000001</v>
      </c>
      <c r="AE77" s="294">
        <f t="shared" si="13"/>
        <v>0.01</v>
      </c>
      <c r="AF77" s="295">
        <f t="shared" si="26"/>
        <v>0</v>
      </c>
      <c r="AG77" s="296">
        <f t="shared" si="27"/>
        <v>0.01</v>
      </c>
      <c r="AH77" s="1">
        <v>0</v>
      </c>
      <c r="AI77" s="1">
        <v>0</v>
      </c>
      <c r="AJ77" s="254">
        <f t="shared" si="14"/>
        <v>0</v>
      </c>
      <c r="AK77" s="9">
        <f t="shared" si="15"/>
        <v>0</v>
      </c>
      <c r="AL77" s="9">
        <f t="shared" si="16"/>
        <v>1172346</v>
      </c>
      <c r="AM77" s="9">
        <f t="shared" si="17"/>
        <v>1172346</v>
      </c>
      <c r="AN77" s="9">
        <f t="shared" si="28"/>
        <v>1172346</v>
      </c>
      <c r="AO77" s="291">
        <v>1087165</v>
      </c>
      <c r="AP77" s="9">
        <f t="shared" si="29"/>
        <v>85181</v>
      </c>
      <c r="AQ77" s="297" t="str">
        <f t="shared" si="30"/>
        <v>Yes</v>
      </c>
      <c r="AR77" s="291">
        <v>1102464</v>
      </c>
      <c r="AS77" s="291">
        <f t="shared" si="18"/>
        <v>9080.2945999999993</v>
      </c>
      <c r="AT77" s="291">
        <f t="shared" si="19"/>
        <v>1111544.2945999999</v>
      </c>
      <c r="AU77" s="291">
        <f t="shared" si="20"/>
        <v>1111544.2945999999</v>
      </c>
      <c r="AV77" s="291"/>
      <c r="AW77" s="291">
        <f t="shared" si="31"/>
        <v>1120624.5891999998</v>
      </c>
      <c r="AX77" s="291">
        <f t="shared" si="37"/>
        <v>1129704.8837999997</v>
      </c>
      <c r="AY77" s="291">
        <f t="shared" si="37"/>
        <v>1138785.1783999996</v>
      </c>
      <c r="AZ77" s="291">
        <f t="shared" si="37"/>
        <v>1147865.4729999995</v>
      </c>
      <c r="BA77" s="291">
        <f t="shared" si="37"/>
        <v>1156945.7675999994</v>
      </c>
      <c r="BB77" s="291">
        <f t="shared" si="37"/>
        <v>1166026.0621999993</v>
      </c>
      <c r="BC77" s="291">
        <f t="shared" si="33"/>
        <v>1172346</v>
      </c>
      <c r="BD77" s="298"/>
      <c r="BE77" s="291">
        <f t="shared" si="34"/>
        <v>1120624.5891999998</v>
      </c>
      <c r="BF77" s="291">
        <f t="shared" si="34"/>
        <v>1129704.8837999997</v>
      </c>
      <c r="BG77" s="291">
        <f t="shared" ref="BG77:BK127" si="38">IF($C77=1,MAX(AY77,$AO77),AY77)</f>
        <v>1138785.1783999996</v>
      </c>
      <c r="BH77" s="291">
        <f t="shared" si="38"/>
        <v>1147865.4729999995</v>
      </c>
      <c r="BI77" s="291">
        <f t="shared" si="38"/>
        <v>1156945.7675999994</v>
      </c>
      <c r="BJ77" s="291">
        <f t="shared" si="38"/>
        <v>1166026.0621999993</v>
      </c>
      <c r="BK77" s="291">
        <f t="shared" si="38"/>
        <v>1172346</v>
      </c>
      <c r="BL77" s="298"/>
      <c r="BM77" s="298"/>
      <c r="BN77" s="298"/>
      <c r="BO77" s="298"/>
    </row>
    <row r="78" spans="1:67" x14ac:dyDescent="0.15">
      <c r="A78" s="10" t="s">
        <v>10</v>
      </c>
      <c r="B78" s="10"/>
      <c r="C78" s="276"/>
      <c r="D78" s="276" t="str">
        <f t="shared" si="23"/>
        <v>No</v>
      </c>
      <c r="E78" s="276"/>
      <c r="F78" s="276"/>
      <c r="G78" s="8">
        <v>3</v>
      </c>
      <c r="H78" s="1">
        <v>142</v>
      </c>
      <c r="I78" s="10">
        <v>52</v>
      </c>
      <c r="J78" s="7" t="s">
        <v>64</v>
      </c>
      <c r="K78" s="287"/>
      <c r="L78" s="1">
        <v>4096.18</v>
      </c>
      <c r="M78" s="288"/>
      <c r="N78" s="289"/>
      <c r="O78" s="1">
        <v>634</v>
      </c>
      <c r="P78" s="290">
        <f t="shared" si="4"/>
        <v>0.15477835446684471</v>
      </c>
      <c r="Q78" s="290">
        <f t="shared" si="5"/>
        <v>0</v>
      </c>
      <c r="R78" s="291">
        <f t="shared" si="6"/>
        <v>0</v>
      </c>
      <c r="S78" s="291">
        <f t="shared" si="24"/>
        <v>0</v>
      </c>
      <c r="T78" s="1">
        <v>172</v>
      </c>
      <c r="U78" s="1">
        <f t="shared" si="25"/>
        <v>25.8</v>
      </c>
      <c r="V78" s="292">
        <f t="shared" si="7"/>
        <v>190.2</v>
      </c>
      <c r="W78" s="254">
        <f t="shared" si="8"/>
        <v>4312.18</v>
      </c>
      <c r="X78" s="1">
        <v>5348306743</v>
      </c>
      <c r="Y78" s="1">
        <v>25572</v>
      </c>
      <c r="Z78" s="264">
        <f t="shared" si="9"/>
        <v>209146.99</v>
      </c>
      <c r="AA78" s="293">
        <f t="shared" si="10"/>
        <v>1.1202289999999999</v>
      </c>
      <c r="AB78" s="1">
        <v>94785</v>
      </c>
      <c r="AC78" s="293">
        <f t="shared" si="11"/>
        <v>0.82314699999999996</v>
      </c>
      <c r="AD78" s="293">
        <f t="shared" si="12"/>
        <v>-3.1104E-2</v>
      </c>
      <c r="AE78" s="294">
        <f t="shared" si="13"/>
        <v>0.01</v>
      </c>
      <c r="AF78" s="295">
        <f t="shared" si="26"/>
        <v>0</v>
      </c>
      <c r="AG78" s="296">
        <f t="shared" si="27"/>
        <v>0.01</v>
      </c>
      <c r="AH78" s="1">
        <v>0</v>
      </c>
      <c r="AI78" s="1">
        <v>0</v>
      </c>
      <c r="AJ78" s="254">
        <f t="shared" si="14"/>
        <v>0</v>
      </c>
      <c r="AK78" s="9">
        <f t="shared" si="15"/>
        <v>0</v>
      </c>
      <c r="AL78" s="9">
        <f t="shared" si="16"/>
        <v>496979</v>
      </c>
      <c r="AM78" s="9">
        <f t="shared" si="17"/>
        <v>496979</v>
      </c>
      <c r="AN78" s="9">
        <f t="shared" si="28"/>
        <v>496979</v>
      </c>
      <c r="AO78" s="291">
        <v>1095080</v>
      </c>
      <c r="AP78" s="9">
        <f t="shared" si="29"/>
        <v>598101</v>
      </c>
      <c r="AQ78" s="297" t="str">
        <f t="shared" si="30"/>
        <v>No</v>
      </c>
      <c r="AR78" s="291">
        <v>893279</v>
      </c>
      <c r="AS78" s="291">
        <f t="shared" si="18"/>
        <v>49821.813300000002</v>
      </c>
      <c r="AT78" s="291">
        <f t="shared" si="19"/>
        <v>843457.18669999996</v>
      </c>
      <c r="AU78" s="291">
        <f t="shared" si="20"/>
        <v>843457.18669999996</v>
      </c>
      <c r="AV78" s="291"/>
      <c r="AW78" s="291">
        <f t="shared" si="31"/>
        <v>793635.37339999992</v>
      </c>
      <c r="AX78" s="291">
        <f t="shared" si="37"/>
        <v>743813.56009999989</v>
      </c>
      <c r="AY78" s="291">
        <f t="shared" si="37"/>
        <v>693991.74679999985</v>
      </c>
      <c r="AZ78" s="291">
        <f t="shared" si="37"/>
        <v>644169.93349999981</v>
      </c>
      <c r="BA78" s="291">
        <f t="shared" si="37"/>
        <v>594348.12019999977</v>
      </c>
      <c r="BB78" s="291">
        <f t="shared" si="37"/>
        <v>544526.30689999973</v>
      </c>
      <c r="BC78" s="291">
        <f t="shared" si="33"/>
        <v>496979</v>
      </c>
      <c r="BD78" s="298"/>
      <c r="BE78" s="291">
        <f t="shared" ref="BE78:BK141" si="39">IF($C78=1,MAX(AW78,$AO78),AW78)</f>
        <v>793635.37339999992</v>
      </c>
      <c r="BF78" s="291">
        <f t="shared" si="39"/>
        <v>743813.56009999989</v>
      </c>
      <c r="BG78" s="291">
        <f t="shared" si="38"/>
        <v>693991.74679999985</v>
      </c>
      <c r="BH78" s="291">
        <f t="shared" si="38"/>
        <v>644169.93349999981</v>
      </c>
      <c r="BI78" s="291">
        <f t="shared" si="38"/>
        <v>594348.12019999977</v>
      </c>
      <c r="BJ78" s="291">
        <f t="shared" si="38"/>
        <v>544526.30689999973</v>
      </c>
      <c r="BK78" s="291">
        <f t="shared" si="38"/>
        <v>496979</v>
      </c>
      <c r="BL78" s="298"/>
      <c r="BM78" s="298"/>
      <c r="BN78" s="298"/>
      <c r="BO78" s="298"/>
    </row>
    <row r="79" spans="1:67" x14ac:dyDescent="0.15">
      <c r="A79" s="10" t="s">
        <v>8</v>
      </c>
      <c r="B79" s="10"/>
      <c r="C79" s="276"/>
      <c r="D79" s="276" t="str">
        <f t="shared" si="23"/>
        <v>No</v>
      </c>
      <c r="E79" s="276"/>
      <c r="F79" s="276"/>
      <c r="G79" s="8">
        <v>5</v>
      </c>
      <c r="H79" s="1">
        <v>97</v>
      </c>
      <c r="I79" s="10">
        <v>53</v>
      </c>
      <c r="J79" s="7" t="s">
        <v>65</v>
      </c>
      <c r="K79" s="287"/>
      <c r="L79" s="1">
        <v>222.8</v>
      </c>
      <c r="M79" s="288"/>
      <c r="N79" s="289"/>
      <c r="O79" s="1">
        <v>48</v>
      </c>
      <c r="P79" s="290">
        <f t="shared" si="4"/>
        <v>0.21543985637342908</v>
      </c>
      <c r="Q79" s="290">
        <f t="shared" si="5"/>
        <v>0</v>
      </c>
      <c r="R79" s="291">
        <f t="shared" si="6"/>
        <v>0</v>
      </c>
      <c r="S79" s="291">
        <f t="shared" si="24"/>
        <v>0</v>
      </c>
      <c r="T79" s="1">
        <v>1</v>
      </c>
      <c r="U79" s="1">
        <f t="shared" si="25"/>
        <v>0.15</v>
      </c>
      <c r="V79" s="292">
        <f t="shared" si="7"/>
        <v>14.4</v>
      </c>
      <c r="W79" s="254">
        <f t="shared" si="8"/>
        <v>237.35000000000002</v>
      </c>
      <c r="X79" s="1">
        <v>327674593.32999998</v>
      </c>
      <c r="Y79" s="1">
        <v>1944</v>
      </c>
      <c r="Z79" s="264">
        <f t="shared" si="9"/>
        <v>168556.89</v>
      </c>
      <c r="AA79" s="293">
        <f t="shared" si="10"/>
        <v>0.90282099999999998</v>
      </c>
      <c r="AB79" s="1">
        <v>92279</v>
      </c>
      <c r="AC79" s="293">
        <f t="shared" si="11"/>
        <v>0.80138399999999999</v>
      </c>
      <c r="AD79" s="293">
        <f t="shared" si="12"/>
        <v>0.12761</v>
      </c>
      <c r="AE79" s="294">
        <f t="shared" si="13"/>
        <v>0.12761</v>
      </c>
      <c r="AF79" s="295">
        <f t="shared" si="26"/>
        <v>0</v>
      </c>
      <c r="AG79" s="296">
        <f t="shared" si="27"/>
        <v>0.12761</v>
      </c>
      <c r="AH79" s="1">
        <v>0</v>
      </c>
      <c r="AI79" s="1">
        <v>0</v>
      </c>
      <c r="AJ79" s="254">
        <f t="shared" si="14"/>
        <v>0</v>
      </c>
      <c r="AK79" s="9">
        <f t="shared" si="15"/>
        <v>0</v>
      </c>
      <c r="AL79" s="9">
        <f t="shared" si="16"/>
        <v>349072</v>
      </c>
      <c r="AM79" s="9">
        <f t="shared" si="17"/>
        <v>349072</v>
      </c>
      <c r="AN79" s="9">
        <f t="shared" si="28"/>
        <v>349072</v>
      </c>
      <c r="AO79" s="291">
        <v>923278</v>
      </c>
      <c r="AP79" s="9">
        <f t="shared" si="29"/>
        <v>574206</v>
      </c>
      <c r="AQ79" s="297" t="str">
        <f t="shared" si="30"/>
        <v>No</v>
      </c>
      <c r="AR79" s="291">
        <v>784087</v>
      </c>
      <c r="AS79" s="291">
        <f t="shared" si="18"/>
        <v>47831.359799999998</v>
      </c>
      <c r="AT79" s="291">
        <f t="shared" si="19"/>
        <v>736255.64020000002</v>
      </c>
      <c r="AU79" s="291">
        <f t="shared" si="20"/>
        <v>736255.64020000002</v>
      </c>
      <c r="AV79" s="291"/>
      <c r="AW79" s="291">
        <f t="shared" si="31"/>
        <v>688424.28040000005</v>
      </c>
      <c r="AX79" s="291">
        <f t="shared" si="37"/>
        <v>640592.92060000007</v>
      </c>
      <c r="AY79" s="291">
        <f t="shared" si="37"/>
        <v>592761.56080000009</v>
      </c>
      <c r="AZ79" s="291">
        <f t="shared" si="37"/>
        <v>544930.20100000012</v>
      </c>
      <c r="BA79" s="291">
        <f t="shared" si="37"/>
        <v>497098.84120000014</v>
      </c>
      <c r="BB79" s="291">
        <f t="shared" si="37"/>
        <v>449267.48140000016</v>
      </c>
      <c r="BC79" s="291">
        <f t="shared" si="33"/>
        <v>349072</v>
      </c>
      <c r="BD79" s="298"/>
      <c r="BE79" s="291">
        <f t="shared" si="39"/>
        <v>688424.28040000005</v>
      </c>
      <c r="BF79" s="291">
        <f t="shared" si="39"/>
        <v>640592.92060000007</v>
      </c>
      <c r="BG79" s="291">
        <f t="shared" si="38"/>
        <v>592761.56080000009</v>
      </c>
      <c r="BH79" s="291">
        <f t="shared" si="38"/>
        <v>544930.20100000012</v>
      </c>
      <c r="BI79" s="291">
        <f t="shared" si="38"/>
        <v>497098.84120000014</v>
      </c>
      <c r="BJ79" s="291">
        <f t="shared" si="38"/>
        <v>449267.48140000016</v>
      </c>
      <c r="BK79" s="291">
        <f t="shared" si="38"/>
        <v>349072</v>
      </c>
      <c r="BL79" s="298"/>
      <c r="BM79" s="298"/>
      <c r="BN79" s="298"/>
      <c r="BO79" s="298"/>
    </row>
    <row r="80" spans="1:67" x14ac:dyDescent="0.15">
      <c r="A80" s="10" t="s">
        <v>10</v>
      </c>
      <c r="B80" s="10"/>
      <c r="C80" s="276"/>
      <c r="D80" s="276" t="str">
        <f t="shared" si="23"/>
        <v>No</v>
      </c>
      <c r="E80" s="276"/>
      <c r="F80" s="276"/>
      <c r="G80" s="8">
        <v>3</v>
      </c>
      <c r="H80" s="1">
        <v>136</v>
      </c>
      <c r="I80" s="10">
        <v>54</v>
      </c>
      <c r="J80" s="7" t="s">
        <v>66</v>
      </c>
      <c r="K80" s="287"/>
      <c r="L80" s="1">
        <v>5940.12</v>
      </c>
      <c r="M80" s="288"/>
      <c r="N80" s="289"/>
      <c r="O80" s="1">
        <v>781</v>
      </c>
      <c r="P80" s="290">
        <f t="shared" si="4"/>
        <v>0.13147882534359576</v>
      </c>
      <c r="Q80" s="290">
        <f t="shared" si="5"/>
        <v>0</v>
      </c>
      <c r="R80" s="291">
        <f t="shared" si="6"/>
        <v>0</v>
      </c>
      <c r="S80" s="291">
        <f t="shared" si="24"/>
        <v>0</v>
      </c>
      <c r="T80" s="1">
        <v>158</v>
      </c>
      <c r="U80" s="1">
        <f t="shared" si="25"/>
        <v>23.7</v>
      </c>
      <c r="V80" s="292">
        <f t="shared" si="7"/>
        <v>234.3</v>
      </c>
      <c r="W80" s="254">
        <f t="shared" si="8"/>
        <v>6198.12</v>
      </c>
      <c r="X80" s="1">
        <v>6031247290.6700001</v>
      </c>
      <c r="Y80" s="1">
        <v>34575</v>
      </c>
      <c r="Z80" s="264">
        <f t="shared" si="9"/>
        <v>174439.55</v>
      </c>
      <c r="AA80" s="293">
        <f t="shared" si="10"/>
        <v>0.93432999999999999</v>
      </c>
      <c r="AB80" s="1">
        <v>111645</v>
      </c>
      <c r="AC80" s="293">
        <f t="shared" si="11"/>
        <v>0.96956500000000001</v>
      </c>
      <c r="AD80" s="293">
        <f t="shared" si="12"/>
        <v>5.5100000000000003E-2</v>
      </c>
      <c r="AE80" s="294">
        <f t="shared" si="13"/>
        <v>5.5100000000000003E-2</v>
      </c>
      <c r="AF80" s="295">
        <f t="shared" si="26"/>
        <v>0</v>
      </c>
      <c r="AG80" s="296">
        <f t="shared" si="27"/>
        <v>5.5100000000000003E-2</v>
      </c>
      <c r="AH80" s="1">
        <v>0</v>
      </c>
      <c r="AI80" s="1">
        <v>0</v>
      </c>
      <c r="AJ80" s="254">
        <f t="shared" si="14"/>
        <v>0</v>
      </c>
      <c r="AK80" s="9">
        <f t="shared" si="15"/>
        <v>0</v>
      </c>
      <c r="AL80" s="9">
        <f t="shared" si="16"/>
        <v>3935977</v>
      </c>
      <c r="AM80" s="9">
        <f t="shared" si="17"/>
        <v>3935977</v>
      </c>
      <c r="AN80" s="9">
        <f t="shared" si="28"/>
        <v>3935977</v>
      </c>
      <c r="AO80" s="291">
        <v>6654380</v>
      </c>
      <c r="AP80" s="9">
        <f t="shared" si="29"/>
        <v>2718403</v>
      </c>
      <c r="AQ80" s="297" t="str">
        <f t="shared" si="30"/>
        <v>No</v>
      </c>
      <c r="AR80" s="291">
        <v>5605704</v>
      </c>
      <c r="AS80" s="291">
        <f t="shared" si="18"/>
        <v>226442.9699</v>
      </c>
      <c r="AT80" s="291">
        <f t="shared" si="19"/>
        <v>5379261.0301000001</v>
      </c>
      <c r="AU80" s="291">
        <f t="shared" si="20"/>
        <v>5379261.0301000001</v>
      </c>
      <c r="AV80" s="291"/>
      <c r="AW80" s="291">
        <f t="shared" si="31"/>
        <v>5152818.0602000002</v>
      </c>
      <c r="AX80" s="291">
        <f t="shared" si="37"/>
        <v>4926375.0903000003</v>
      </c>
      <c r="AY80" s="291">
        <f t="shared" si="37"/>
        <v>4699932.1204000004</v>
      </c>
      <c r="AZ80" s="291">
        <f t="shared" si="37"/>
        <v>4473489.1505000005</v>
      </c>
      <c r="BA80" s="291">
        <f t="shared" si="37"/>
        <v>4247046.1806000005</v>
      </c>
      <c r="BB80" s="291">
        <f t="shared" si="37"/>
        <v>4020603.2107000006</v>
      </c>
      <c r="BC80" s="291">
        <f t="shared" si="33"/>
        <v>3935977</v>
      </c>
      <c r="BD80" s="298"/>
      <c r="BE80" s="291">
        <f t="shared" si="39"/>
        <v>5152818.0602000002</v>
      </c>
      <c r="BF80" s="291">
        <f t="shared" si="39"/>
        <v>4926375.0903000003</v>
      </c>
      <c r="BG80" s="291">
        <f t="shared" si="38"/>
        <v>4699932.1204000004</v>
      </c>
      <c r="BH80" s="291">
        <f t="shared" si="38"/>
        <v>4473489.1505000005</v>
      </c>
      <c r="BI80" s="291">
        <f t="shared" si="38"/>
        <v>4247046.1806000005</v>
      </c>
      <c r="BJ80" s="291">
        <f t="shared" si="38"/>
        <v>4020603.2107000006</v>
      </c>
      <c r="BK80" s="291">
        <f t="shared" si="38"/>
        <v>3935977</v>
      </c>
      <c r="BL80" s="298"/>
      <c r="BM80" s="298"/>
      <c r="BN80" s="298"/>
      <c r="BO80" s="298"/>
    </row>
    <row r="81" spans="1:67" x14ac:dyDescent="0.15">
      <c r="A81" s="10" t="s">
        <v>8</v>
      </c>
      <c r="B81" s="10"/>
      <c r="C81" s="276"/>
      <c r="D81" s="276" t="str">
        <f t="shared" si="23"/>
        <v>No</v>
      </c>
      <c r="E81" s="276"/>
      <c r="F81" s="276"/>
      <c r="G81" s="8">
        <v>2</v>
      </c>
      <c r="H81" s="1">
        <v>143</v>
      </c>
      <c r="I81" s="10">
        <v>55</v>
      </c>
      <c r="J81" s="7" t="s">
        <v>67</v>
      </c>
      <c r="K81" s="287"/>
      <c r="L81" s="1">
        <v>349.69</v>
      </c>
      <c r="M81" s="288"/>
      <c r="N81" s="289"/>
      <c r="O81" s="1">
        <v>87</v>
      </c>
      <c r="P81" s="290">
        <f t="shared" si="4"/>
        <v>0.24879178701135291</v>
      </c>
      <c r="Q81" s="290">
        <f t="shared" si="5"/>
        <v>0</v>
      </c>
      <c r="R81" s="291">
        <f t="shared" si="6"/>
        <v>0</v>
      </c>
      <c r="S81" s="291">
        <f t="shared" si="24"/>
        <v>0</v>
      </c>
      <c r="T81" s="1">
        <v>6</v>
      </c>
      <c r="U81" s="1">
        <f t="shared" si="25"/>
        <v>0.89999999999999991</v>
      </c>
      <c r="V81" s="292">
        <f t="shared" si="7"/>
        <v>26.1</v>
      </c>
      <c r="W81" s="254">
        <f t="shared" si="8"/>
        <v>376.69</v>
      </c>
      <c r="X81" s="1">
        <v>778299722.66999996</v>
      </c>
      <c r="Y81" s="1">
        <v>2888</v>
      </c>
      <c r="Z81" s="264">
        <f t="shared" si="9"/>
        <v>269494.36</v>
      </c>
      <c r="AA81" s="293">
        <f t="shared" si="10"/>
        <v>1.4434610000000001</v>
      </c>
      <c r="AB81" s="1">
        <v>96026</v>
      </c>
      <c r="AC81" s="293">
        <f t="shared" si="11"/>
        <v>0.833924</v>
      </c>
      <c r="AD81" s="293">
        <f t="shared" si="12"/>
        <v>-0.2606</v>
      </c>
      <c r="AE81" s="294">
        <f t="shared" si="13"/>
        <v>0.01</v>
      </c>
      <c r="AF81" s="295">
        <f t="shared" si="26"/>
        <v>0</v>
      </c>
      <c r="AG81" s="296">
        <f t="shared" si="27"/>
        <v>0.01</v>
      </c>
      <c r="AH81" s="1">
        <v>354</v>
      </c>
      <c r="AI81" s="1">
        <v>13</v>
      </c>
      <c r="AJ81" s="254">
        <f t="shared" si="14"/>
        <v>100</v>
      </c>
      <c r="AK81" s="9">
        <f t="shared" si="15"/>
        <v>35400</v>
      </c>
      <c r="AL81" s="9">
        <f t="shared" si="16"/>
        <v>43414</v>
      </c>
      <c r="AM81" s="9">
        <f t="shared" si="17"/>
        <v>78814</v>
      </c>
      <c r="AN81" s="9">
        <f t="shared" si="28"/>
        <v>78814</v>
      </c>
      <c r="AO81" s="291">
        <v>82025</v>
      </c>
      <c r="AP81" s="9">
        <f t="shared" si="29"/>
        <v>3211</v>
      </c>
      <c r="AQ81" s="297" t="str">
        <f t="shared" si="30"/>
        <v>No</v>
      </c>
      <c r="AR81" s="291">
        <v>80429</v>
      </c>
      <c r="AS81" s="291">
        <f t="shared" si="18"/>
        <v>267.47629999999998</v>
      </c>
      <c r="AT81" s="291">
        <f t="shared" si="19"/>
        <v>80161.523700000005</v>
      </c>
      <c r="AU81" s="291">
        <f t="shared" si="20"/>
        <v>80161.523700000005</v>
      </c>
      <c r="AV81" s="291"/>
      <c r="AW81" s="291">
        <f t="shared" si="31"/>
        <v>79894.04740000001</v>
      </c>
      <c r="AX81" s="291">
        <f t="shared" si="37"/>
        <v>79626.571100000016</v>
      </c>
      <c r="AY81" s="291">
        <f t="shared" si="37"/>
        <v>79359.094800000021</v>
      </c>
      <c r="AZ81" s="291">
        <f t="shared" si="37"/>
        <v>79091.618500000026</v>
      </c>
      <c r="BA81" s="291">
        <f t="shared" si="37"/>
        <v>78824.142200000031</v>
      </c>
      <c r="BB81" s="291">
        <f t="shared" si="37"/>
        <v>78556.665900000036</v>
      </c>
      <c r="BC81" s="291">
        <f t="shared" si="33"/>
        <v>78814</v>
      </c>
      <c r="BD81" s="298"/>
      <c r="BE81" s="291">
        <f t="shared" si="39"/>
        <v>79894.04740000001</v>
      </c>
      <c r="BF81" s="291">
        <f t="shared" si="39"/>
        <v>79626.571100000016</v>
      </c>
      <c r="BG81" s="291">
        <f t="shared" si="38"/>
        <v>79359.094800000021</v>
      </c>
      <c r="BH81" s="291">
        <f t="shared" si="38"/>
        <v>79091.618500000026</v>
      </c>
      <c r="BI81" s="291">
        <f t="shared" si="38"/>
        <v>78824.142200000031</v>
      </c>
      <c r="BJ81" s="291">
        <f t="shared" si="38"/>
        <v>78556.665900000036</v>
      </c>
      <c r="BK81" s="291">
        <f t="shared" si="38"/>
        <v>78814</v>
      </c>
      <c r="BL81" s="298"/>
      <c r="BM81" s="298"/>
      <c r="BN81" s="298"/>
      <c r="BO81" s="298"/>
    </row>
    <row r="82" spans="1:67" x14ac:dyDescent="0.15">
      <c r="A82" s="10" t="s">
        <v>10</v>
      </c>
      <c r="B82" s="10"/>
      <c r="C82" s="276"/>
      <c r="D82" s="276" t="str">
        <f t="shared" si="23"/>
        <v>No</v>
      </c>
      <c r="E82" s="276"/>
      <c r="F82" s="276"/>
      <c r="G82" s="8">
        <v>5</v>
      </c>
      <c r="H82" s="1">
        <v>120</v>
      </c>
      <c r="I82" s="10">
        <v>56</v>
      </c>
      <c r="J82" s="7" t="s">
        <v>68</v>
      </c>
      <c r="K82" s="287"/>
      <c r="L82" s="1">
        <v>1757.74</v>
      </c>
      <c r="M82" s="288"/>
      <c r="N82" s="289"/>
      <c r="O82" s="1">
        <v>181</v>
      </c>
      <c r="P82" s="290">
        <f t="shared" si="4"/>
        <v>0.1029731359586742</v>
      </c>
      <c r="Q82" s="290">
        <f t="shared" si="5"/>
        <v>0</v>
      </c>
      <c r="R82" s="291">
        <f t="shared" si="6"/>
        <v>0</v>
      </c>
      <c r="S82" s="291">
        <f t="shared" si="24"/>
        <v>0</v>
      </c>
      <c r="T82" s="1">
        <v>5</v>
      </c>
      <c r="U82" s="1">
        <f t="shared" si="25"/>
        <v>0.75</v>
      </c>
      <c r="V82" s="292">
        <f t="shared" si="7"/>
        <v>54.3</v>
      </c>
      <c r="W82" s="254">
        <f t="shared" si="8"/>
        <v>1812.79</v>
      </c>
      <c r="X82" s="1">
        <v>1442807818</v>
      </c>
      <c r="Y82" s="1">
        <v>11357</v>
      </c>
      <c r="Z82" s="264">
        <f t="shared" si="9"/>
        <v>127041.28</v>
      </c>
      <c r="AA82" s="293">
        <f t="shared" si="10"/>
        <v>0.68045599999999995</v>
      </c>
      <c r="AB82" s="1">
        <v>111220</v>
      </c>
      <c r="AC82" s="293">
        <f t="shared" si="11"/>
        <v>0.96587400000000001</v>
      </c>
      <c r="AD82" s="293">
        <f t="shared" si="12"/>
        <v>0.23391899999999999</v>
      </c>
      <c r="AE82" s="294">
        <f t="shared" si="13"/>
        <v>0.23391899999999999</v>
      </c>
      <c r="AF82" s="295">
        <f t="shared" si="26"/>
        <v>0</v>
      </c>
      <c r="AG82" s="296">
        <f t="shared" si="27"/>
        <v>0.23391899999999999</v>
      </c>
      <c r="AH82" s="1">
        <v>0</v>
      </c>
      <c r="AI82" s="1">
        <v>0</v>
      </c>
      <c r="AJ82" s="254">
        <f t="shared" si="14"/>
        <v>0</v>
      </c>
      <c r="AK82" s="9">
        <f t="shared" si="15"/>
        <v>0</v>
      </c>
      <c r="AL82" s="9">
        <f t="shared" si="16"/>
        <v>4887130</v>
      </c>
      <c r="AM82" s="9">
        <f t="shared" si="17"/>
        <v>4887130</v>
      </c>
      <c r="AN82" s="9">
        <f t="shared" si="28"/>
        <v>4887130</v>
      </c>
      <c r="AO82" s="291">
        <v>5510220</v>
      </c>
      <c r="AP82" s="9">
        <f t="shared" si="29"/>
        <v>623090</v>
      </c>
      <c r="AQ82" s="297" t="str">
        <f t="shared" si="30"/>
        <v>No</v>
      </c>
      <c r="AR82" s="291">
        <v>5330217</v>
      </c>
      <c r="AS82" s="291">
        <f t="shared" si="18"/>
        <v>51903.396999999997</v>
      </c>
      <c r="AT82" s="291">
        <f t="shared" si="19"/>
        <v>5278313.6030000001</v>
      </c>
      <c r="AU82" s="291">
        <f t="shared" si="20"/>
        <v>5278313.6030000001</v>
      </c>
      <c r="AV82" s="291"/>
      <c r="AW82" s="291">
        <f t="shared" si="31"/>
        <v>5226410.2060000002</v>
      </c>
      <c r="AX82" s="291">
        <f t="shared" si="37"/>
        <v>5174506.8090000004</v>
      </c>
      <c r="AY82" s="291">
        <f t="shared" si="37"/>
        <v>5122603.4120000005</v>
      </c>
      <c r="AZ82" s="291">
        <f t="shared" si="37"/>
        <v>5070700.0150000006</v>
      </c>
      <c r="BA82" s="291">
        <f t="shared" si="37"/>
        <v>5018796.6180000007</v>
      </c>
      <c r="BB82" s="291">
        <f t="shared" si="37"/>
        <v>4966893.2210000008</v>
      </c>
      <c r="BC82" s="291">
        <f t="shared" si="33"/>
        <v>4887130</v>
      </c>
      <c r="BD82" s="298"/>
      <c r="BE82" s="291">
        <f t="shared" si="39"/>
        <v>5226410.2060000002</v>
      </c>
      <c r="BF82" s="291">
        <f t="shared" si="39"/>
        <v>5174506.8090000004</v>
      </c>
      <c r="BG82" s="291">
        <f t="shared" si="38"/>
        <v>5122603.4120000005</v>
      </c>
      <c r="BH82" s="291">
        <f t="shared" si="38"/>
        <v>5070700.0150000006</v>
      </c>
      <c r="BI82" s="291">
        <f t="shared" si="38"/>
        <v>5018796.6180000007</v>
      </c>
      <c r="BJ82" s="291">
        <f t="shared" si="38"/>
        <v>4966893.2210000008</v>
      </c>
      <c r="BK82" s="291">
        <f t="shared" si="38"/>
        <v>4887130</v>
      </c>
      <c r="BL82" s="298"/>
      <c r="BM82" s="298"/>
      <c r="BN82" s="298"/>
      <c r="BO82" s="298"/>
    </row>
    <row r="83" spans="1:67" x14ac:dyDescent="0.15">
      <c r="A83" s="10" t="s">
        <v>10</v>
      </c>
      <c r="B83" s="10"/>
      <c r="C83" s="276"/>
      <c r="D83" s="276" t="str">
        <f t="shared" si="23"/>
        <v>No</v>
      </c>
      <c r="E83" s="276"/>
      <c r="F83" s="276"/>
      <c r="G83" s="8">
        <v>1</v>
      </c>
      <c r="H83" s="1">
        <v>168</v>
      </c>
      <c r="I83" s="10">
        <v>57</v>
      </c>
      <c r="J83" s="7" t="s">
        <v>69</v>
      </c>
      <c r="K83" s="287"/>
      <c r="L83" s="1">
        <v>8817.44</v>
      </c>
      <c r="M83" s="288"/>
      <c r="N83" s="289"/>
      <c r="O83" s="1">
        <v>1840</v>
      </c>
      <c r="P83" s="290">
        <f t="shared" si="4"/>
        <v>0.20867734852746375</v>
      </c>
      <c r="Q83" s="290">
        <f t="shared" si="5"/>
        <v>0</v>
      </c>
      <c r="R83" s="291">
        <f t="shared" si="6"/>
        <v>0</v>
      </c>
      <c r="S83" s="291">
        <f t="shared" si="24"/>
        <v>0</v>
      </c>
      <c r="T83" s="1">
        <v>413</v>
      </c>
      <c r="U83" s="1">
        <f t="shared" si="25"/>
        <v>61.949999999999996</v>
      </c>
      <c r="V83" s="292">
        <f t="shared" si="7"/>
        <v>552</v>
      </c>
      <c r="W83" s="254">
        <f t="shared" si="8"/>
        <v>9431.3900000000012</v>
      </c>
      <c r="X83" s="1">
        <v>48397011843</v>
      </c>
      <c r="Y83" s="1">
        <v>62855</v>
      </c>
      <c r="Z83" s="264">
        <f t="shared" si="9"/>
        <v>769978.71</v>
      </c>
      <c r="AA83" s="293">
        <f t="shared" si="10"/>
        <v>4.1241459999999996</v>
      </c>
      <c r="AB83" s="1">
        <v>138180</v>
      </c>
      <c r="AC83" s="293">
        <f t="shared" si="11"/>
        <v>1.2000040000000001</v>
      </c>
      <c r="AD83" s="293">
        <f t="shared" si="12"/>
        <v>-2.2469030000000001</v>
      </c>
      <c r="AE83" s="294">
        <f t="shared" si="13"/>
        <v>0.01</v>
      </c>
      <c r="AF83" s="295">
        <f t="shared" si="26"/>
        <v>0</v>
      </c>
      <c r="AG83" s="296">
        <f t="shared" si="27"/>
        <v>0.01</v>
      </c>
      <c r="AH83" s="1">
        <v>0</v>
      </c>
      <c r="AI83" s="1">
        <v>0</v>
      </c>
      <c r="AJ83" s="254">
        <f t="shared" si="14"/>
        <v>0</v>
      </c>
      <c r="AK83" s="9">
        <f t="shared" si="15"/>
        <v>0</v>
      </c>
      <c r="AL83" s="9">
        <f t="shared" si="16"/>
        <v>1086968</v>
      </c>
      <c r="AM83" s="9">
        <f t="shared" si="17"/>
        <v>1086968</v>
      </c>
      <c r="AN83" s="9">
        <f t="shared" si="28"/>
        <v>1086968</v>
      </c>
      <c r="AO83" s="291">
        <v>136859</v>
      </c>
      <c r="AP83" s="9">
        <f t="shared" si="29"/>
        <v>950109</v>
      </c>
      <c r="AQ83" s="297" t="str">
        <f t="shared" si="30"/>
        <v>Yes</v>
      </c>
      <c r="AR83" s="291">
        <v>277367</v>
      </c>
      <c r="AS83" s="291">
        <f t="shared" si="18"/>
        <v>101281.6194</v>
      </c>
      <c r="AT83" s="291">
        <f t="shared" si="19"/>
        <v>378648.61939999997</v>
      </c>
      <c r="AU83" s="291">
        <f t="shared" si="20"/>
        <v>378648.61939999997</v>
      </c>
      <c r="AV83" s="291"/>
      <c r="AW83" s="291">
        <f t="shared" si="31"/>
        <v>479930.23879999993</v>
      </c>
      <c r="AX83" s="291">
        <f t="shared" si="37"/>
        <v>581211.8581999999</v>
      </c>
      <c r="AY83" s="291">
        <f t="shared" si="37"/>
        <v>682493.47759999987</v>
      </c>
      <c r="AZ83" s="291">
        <f t="shared" si="37"/>
        <v>783775.09699999983</v>
      </c>
      <c r="BA83" s="291">
        <f t="shared" si="37"/>
        <v>885056.7163999998</v>
      </c>
      <c r="BB83" s="291">
        <f t="shared" si="37"/>
        <v>986338.33579999977</v>
      </c>
      <c r="BC83" s="291">
        <f t="shared" si="33"/>
        <v>1086968</v>
      </c>
      <c r="BD83" s="298"/>
      <c r="BE83" s="291">
        <f t="shared" si="39"/>
        <v>479930.23879999993</v>
      </c>
      <c r="BF83" s="291">
        <f t="shared" si="39"/>
        <v>581211.8581999999</v>
      </c>
      <c r="BG83" s="291">
        <f t="shared" si="38"/>
        <v>682493.47759999987</v>
      </c>
      <c r="BH83" s="291">
        <f t="shared" si="38"/>
        <v>783775.09699999983</v>
      </c>
      <c r="BI83" s="291">
        <f t="shared" si="38"/>
        <v>885056.7163999998</v>
      </c>
      <c r="BJ83" s="291">
        <f t="shared" si="38"/>
        <v>986338.33579999977</v>
      </c>
      <c r="BK83" s="291">
        <f t="shared" si="38"/>
        <v>1086968</v>
      </c>
      <c r="BL83" s="298"/>
      <c r="BM83" s="298"/>
      <c r="BN83" s="298"/>
      <c r="BO83" s="298"/>
    </row>
    <row r="84" spans="1:67" x14ac:dyDescent="0.15">
      <c r="A84" s="10" t="s">
        <v>32</v>
      </c>
      <c r="B84" s="10"/>
      <c r="C84" s="276"/>
      <c r="D84" s="276" t="str">
        <f t="shared" si="23"/>
        <v>No</v>
      </c>
      <c r="E84" s="276"/>
      <c r="F84" s="276"/>
      <c r="G84" s="8">
        <v>9</v>
      </c>
      <c r="H84" s="1">
        <v>31</v>
      </c>
      <c r="I84" s="10">
        <v>58</v>
      </c>
      <c r="J84" s="7" t="s">
        <v>70</v>
      </c>
      <c r="K84" s="287"/>
      <c r="L84" s="1">
        <v>1649.09</v>
      </c>
      <c r="M84" s="300"/>
      <c r="N84" s="289"/>
      <c r="O84" s="1">
        <v>830</v>
      </c>
      <c r="P84" s="290">
        <f t="shared" si="4"/>
        <v>0.50330788495473266</v>
      </c>
      <c r="Q84" s="290">
        <f t="shared" si="5"/>
        <v>0</v>
      </c>
      <c r="R84" s="291">
        <f t="shared" si="6"/>
        <v>0</v>
      </c>
      <c r="S84" s="291">
        <f t="shared" si="24"/>
        <v>0</v>
      </c>
      <c r="T84" s="1">
        <v>22</v>
      </c>
      <c r="U84" s="1">
        <f t="shared" si="25"/>
        <v>3.3</v>
      </c>
      <c r="V84" s="292">
        <f t="shared" si="7"/>
        <v>249</v>
      </c>
      <c r="W84" s="254">
        <f t="shared" si="8"/>
        <v>1901.3899999999999</v>
      </c>
      <c r="X84" s="1">
        <v>1026682833</v>
      </c>
      <c r="Y84" s="1">
        <v>11687</v>
      </c>
      <c r="Z84" s="264">
        <f t="shared" si="9"/>
        <v>87848.28</v>
      </c>
      <c r="AA84" s="293">
        <f t="shared" si="10"/>
        <v>0.47053099999999998</v>
      </c>
      <c r="AB84" s="1">
        <v>60521</v>
      </c>
      <c r="AC84" s="293">
        <f t="shared" si="11"/>
        <v>0.525586</v>
      </c>
      <c r="AD84" s="293">
        <f t="shared" si="12"/>
        <v>0.51295299999999999</v>
      </c>
      <c r="AE84" s="294">
        <f t="shared" si="13"/>
        <v>0.51295299999999999</v>
      </c>
      <c r="AF84" s="295">
        <f t="shared" si="26"/>
        <v>0</v>
      </c>
      <c r="AG84" s="296">
        <f t="shared" si="27"/>
        <v>0.51295299999999999</v>
      </c>
      <c r="AH84" s="1">
        <v>0</v>
      </c>
      <c r="AI84" s="1">
        <v>0</v>
      </c>
      <c r="AJ84" s="254">
        <f t="shared" si="14"/>
        <v>0</v>
      </c>
      <c r="AK84" s="9">
        <f t="shared" si="15"/>
        <v>0</v>
      </c>
      <c r="AL84" s="9">
        <f t="shared" si="16"/>
        <v>11240606</v>
      </c>
      <c r="AM84" s="9">
        <f t="shared" si="17"/>
        <v>11240606</v>
      </c>
      <c r="AN84" s="9">
        <f t="shared" si="28"/>
        <v>11240606</v>
      </c>
      <c r="AO84" s="291">
        <v>10775767</v>
      </c>
      <c r="AP84" s="9">
        <f t="shared" si="29"/>
        <v>464839</v>
      </c>
      <c r="AQ84" s="297" t="str">
        <f t="shared" si="30"/>
        <v>Yes</v>
      </c>
      <c r="AR84" s="291">
        <v>10875602</v>
      </c>
      <c r="AS84" s="291">
        <f t="shared" si="18"/>
        <v>49551.837399999997</v>
      </c>
      <c r="AT84" s="291">
        <f t="shared" si="19"/>
        <v>10925153.837400001</v>
      </c>
      <c r="AU84" s="291">
        <f t="shared" si="20"/>
        <v>10925153.837400001</v>
      </c>
      <c r="AV84" s="291"/>
      <c r="AW84" s="291">
        <f t="shared" si="31"/>
        <v>10974705.674800001</v>
      </c>
      <c r="AX84" s="291">
        <f t="shared" si="37"/>
        <v>11024257.512200002</v>
      </c>
      <c r="AY84" s="291">
        <f t="shared" si="37"/>
        <v>11073809.349600002</v>
      </c>
      <c r="AZ84" s="291">
        <f t="shared" si="37"/>
        <v>11123361.187000003</v>
      </c>
      <c r="BA84" s="291">
        <f t="shared" si="37"/>
        <v>11172913.024400003</v>
      </c>
      <c r="BB84" s="291">
        <f t="shared" si="37"/>
        <v>11222464.861800004</v>
      </c>
      <c r="BC84" s="291">
        <f t="shared" si="33"/>
        <v>11240606</v>
      </c>
      <c r="BD84" s="298"/>
      <c r="BE84" s="291">
        <f t="shared" si="39"/>
        <v>10974705.674800001</v>
      </c>
      <c r="BF84" s="291">
        <f t="shared" si="39"/>
        <v>11024257.512200002</v>
      </c>
      <c r="BG84" s="291">
        <f t="shared" si="38"/>
        <v>11073809.349600002</v>
      </c>
      <c r="BH84" s="291">
        <f t="shared" si="38"/>
        <v>11123361.187000003</v>
      </c>
      <c r="BI84" s="291">
        <f t="shared" si="38"/>
        <v>11172913.024400003</v>
      </c>
      <c r="BJ84" s="291">
        <f t="shared" si="38"/>
        <v>11222464.861800004</v>
      </c>
      <c r="BK84" s="291">
        <f t="shared" si="38"/>
        <v>11240606</v>
      </c>
      <c r="BL84" s="298"/>
      <c r="BM84" s="298"/>
      <c r="BN84" s="298"/>
      <c r="BO84" s="298"/>
    </row>
    <row r="85" spans="1:67" x14ac:dyDescent="0.15">
      <c r="A85" s="10" t="s">
        <v>19</v>
      </c>
      <c r="B85" s="10"/>
      <c r="C85" s="276">
        <v>1</v>
      </c>
      <c r="D85" s="276" t="str">
        <f t="shared" si="23"/>
        <v>Yes</v>
      </c>
      <c r="E85" s="276"/>
      <c r="F85" s="276"/>
      <c r="G85" s="8">
        <v>8</v>
      </c>
      <c r="H85" s="1">
        <v>61</v>
      </c>
      <c r="I85" s="10">
        <v>59</v>
      </c>
      <c r="J85" s="7" t="s">
        <v>71</v>
      </c>
      <c r="K85" s="287"/>
      <c r="L85" s="1">
        <v>4703.34</v>
      </c>
      <c r="M85" s="300"/>
      <c r="N85" s="289"/>
      <c r="O85" s="1">
        <v>2366</v>
      </c>
      <c r="P85" s="290">
        <f t="shared" si="4"/>
        <v>0.50304677101804252</v>
      </c>
      <c r="Q85" s="290">
        <f t="shared" si="5"/>
        <v>0</v>
      </c>
      <c r="R85" s="291">
        <f t="shared" si="6"/>
        <v>0</v>
      </c>
      <c r="S85" s="291">
        <f t="shared" si="24"/>
        <v>0</v>
      </c>
      <c r="T85" s="1">
        <v>186</v>
      </c>
      <c r="U85" s="1">
        <f t="shared" si="25"/>
        <v>27.9</v>
      </c>
      <c r="V85" s="292">
        <f t="shared" si="7"/>
        <v>709.8</v>
      </c>
      <c r="W85" s="254">
        <f t="shared" si="8"/>
        <v>5441.04</v>
      </c>
      <c r="X85" s="1">
        <v>5326766110.6700001</v>
      </c>
      <c r="Y85" s="1">
        <v>39075</v>
      </c>
      <c r="Z85" s="264">
        <f t="shared" si="9"/>
        <v>136321.59</v>
      </c>
      <c r="AA85" s="293">
        <f t="shared" si="10"/>
        <v>0.73016300000000001</v>
      </c>
      <c r="AB85" s="1">
        <v>63895</v>
      </c>
      <c r="AC85" s="293">
        <f t="shared" si="11"/>
        <v>0.55488700000000002</v>
      </c>
      <c r="AD85" s="293">
        <f t="shared" si="12"/>
        <v>0.32241999999999998</v>
      </c>
      <c r="AE85" s="294">
        <f t="shared" si="13"/>
        <v>0.32241999999999998</v>
      </c>
      <c r="AF85" s="295">
        <f t="shared" si="26"/>
        <v>0</v>
      </c>
      <c r="AG85" s="296">
        <f t="shared" si="27"/>
        <v>0.32241999999999998</v>
      </c>
      <c r="AH85" s="1">
        <v>0</v>
      </c>
      <c r="AI85" s="1">
        <v>0</v>
      </c>
      <c r="AJ85" s="254">
        <f t="shared" si="14"/>
        <v>0</v>
      </c>
      <c r="AK85" s="9">
        <f t="shared" si="15"/>
        <v>0</v>
      </c>
      <c r="AL85" s="9">
        <f t="shared" si="16"/>
        <v>20218309</v>
      </c>
      <c r="AM85" s="9">
        <f t="shared" si="17"/>
        <v>20218309</v>
      </c>
      <c r="AN85" s="9">
        <f t="shared" si="28"/>
        <v>25040045</v>
      </c>
      <c r="AO85" s="291">
        <v>25040045</v>
      </c>
      <c r="AP85" s="9">
        <f t="shared" si="29"/>
        <v>4821736</v>
      </c>
      <c r="AQ85" s="297" t="str">
        <f t="shared" si="30"/>
        <v>No</v>
      </c>
      <c r="AR85" s="291">
        <v>25040045</v>
      </c>
      <c r="AS85" s="291">
        <f t="shared" si="18"/>
        <v>401650.60879999999</v>
      </c>
      <c r="AT85" s="291">
        <f t="shared" si="19"/>
        <v>24638394.391199999</v>
      </c>
      <c r="AU85" s="291">
        <f t="shared" si="20"/>
        <v>25040045</v>
      </c>
      <c r="AV85" s="291"/>
      <c r="AW85" s="291">
        <f t="shared" si="31"/>
        <v>24638394.391199999</v>
      </c>
      <c r="AX85" s="291">
        <f t="shared" si="37"/>
        <v>24236743.782399997</v>
      </c>
      <c r="AY85" s="291">
        <f t="shared" si="37"/>
        <v>23835093.173599996</v>
      </c>
      <c r="AZ85" s="291">
        <f t="shared" si="37"/>
        <v>23433442.564799994</v>
      </c>
      <c r="BA85" s="291">
        <f t="shared" si="37"/>
        <v>23031791.955999993</v>
      </c>
      <c r="BB85" s="291">
        <f t="shared" si="37"/>
        <v>22630141.347199991</v>
      </c>
      <c r="BC85" s="291">
        <f t="shared" si="33"/>
        <v>20218309</v>
      </c>
      <c r="BD85" s="298"/>
      <c r="BE85" s="291">
        <f t="shared" si="39"/>
        <v>25040045</v>
      </c>
      <c r="BF85" s="291">
        <f t="shared" si="39"/>
        <v>25040045</v>
      </c>
      <c r="BG85" s="291">
        <f t="shared" si="38"/>
        <v>25040045</v>
      </c>
      <c r="BH85" s="291">
        <f t="shared" si="38"/>
        <v>25040045</v>
      </c>
      <c r="BI85" s="291">
        <f t="shared" si="38"/>
        <v>25040045</v>
      </c>
      <c r="BJ85" s="291">
        <f t="shared" si="38"/>
        <v>25040045</v>
      </c>
      <c r="BK85" s="291">
        <f t="shared" si="38"/>
        <v>25040045</v>
      </c>
      <c r="BL85" s="298"/>
      <c r="BM85" s="298"/>
      <c r="BN85" s="298"/>
      <c r="BO85" s="298"/>
    </row>
    <row r="86" spans="1:67" x14ac:dyDescent="0.15">
      <c r="A86" s="10" t="s">
        <v>10</v>
      </c>
      <c r="B86" s="10"/>
      <c r="C86" s="276"/>
      <c r="D86" s="276" t="str">
        <f t="shared" si="23"/>
        <v>No</v>
      </c>
      <c r="E86" s="276"/>
      <c r="F86" s="276"/>
      <c r="G86" s="8">
        <v>2</v>
      </c>
      <c r="H86" s="1">
        <v>146</v>
      </c>
      <c r="I86" s="10">
        <v>60</v>
      </c>
      <c r="J86" s="7" t="s">
        <v>72</v>
      </c>
      <c r="K86" s="287"/>
      <c r="L86" s="1">
        <v>3284</v>
      </c>
      <c r="M86" s="288"/>
      <c r="N86" s="289"/>
      <c r="O86" s="1">
        <v>443</v>
      </c>
      <c r="P86" s="290">
        <f t="shared" si="4"/>
        <v>0.13489646772228989</v>
      </c>
      <c r="Q86" s="290">
        <f t="shared" si="5"/>
        <v>0</v>
      </c>
      <c r="R86" s="291">
        <f t="shared" si="6"/>
        <v>0</v>
      </c>
      <c r="S86" s="291">
        <f t="shared" si="24"/>
        <v>0</v>
      </c>
      <c r="T86" s="1">
        <v>68</v>
      </c>
      <c r="U86" s="1">
        <f t="shared" si="25"/>
        <v>10.199999999999999</v>
      </c>
      <c r="V86" s="292">
        <f t="shared" si="7"/>
        <v>132.9</v>
      </c>
      <c r="W86" s="254">
        <f t="shared" si="8"/>
        <v>3427.1</v>
      </c>
      <c r="X86" s="1">
        <v>4436811705</v>
      </c>
      <c r="Y86" s="1">
        <v>22283</v>
      </c>
      <c r="Z86" s="264">
        <f t="shared" si="9"/>
        <v>199111.96</v>
      </c>
      <c r="AA86" s="293">
        <f t="shared" si="10"/>
        <v>1.0664800000000001</v>
      </c>
      <c r="AB86" s="1">
        <v>107587</v>
      </c>
      <c r="AC86" s="293">
        <f t="shared" si="11"/>
        <v>0.93432400000000004</v>
      </c>
      <c r="AD86" s="293">
        <f t="shared" si="12"/>
        <v>-2.6832999999999999E-2</v>
      </c>
      <c r="AE86" s="294">
        <f t="shared" si="13"/>
        <v>0.01</v>
      </c>
      <c r="AF86" s="295">
        <f t="shared" si="26"/>
        <v>0</v>
      </c>
      <c r="AG86" s="296">
        <f t="shared" si="27"/>
        <v>0.01</v>
      </c>
      <c r="AH86" s="1">
        <v>0</v>
      </c>
      <c r="AI86" s="1">
        <v>0</v>
      </c>
      <c r="AJ86" s="254">
        <f t="shared" si="14"/>
        <v>0</v>
      </c>
      <c r="AK86" s="9">
        <f t="shared" si="15"/>
        <v>0</v>
      </c>
      <c r="AL86" s="9">
        <f t="shared" si="16"/>
        <v>394973</v>
      </c>
      <c r="AM86" s="9">
        <f t="shared" si="17"/>
        <v>394973</v>
      </c>
      <c r="AN86" s="9">
        <f t="shared" si="28"/>
        <v>394973</v>
      </c>
      <c r="AO86" s="291">
        <v>2740394</v>
      </c>
      <c r="AP86" s="9">
        <f t="shared" si="29"/>
        <v>2345421</v>
      </c>
      <c r="AQ86" s="297" t="str">
        <f t="shared" si="30"/>
        <v>No</v>
      </c>
      <c r="AR86" s="291">
        <v>1961458</v>
      </c>
      <c r="AS86" s="291">
        <f t="shared" si="18"/>
        <v>195373.5693</v>
      </c>
      <c r="AT86" s="291">
        <f t="shared" si="19"/>
        <v>1766084.4306999999</v>
      </c>
      <c r="AU86" s="291">
        <f t="shared" si="20"/>
        <v>1766084.4306999999</v>
      </c>
      <c r="AV86" s="291"/>
      <c r="AW86" s="291">
        <f t="shared" si="31"/>
        <v>1570710.8613999998</v>
      </c>
      <c r="AX86" s="291">
        <f t="shared" si="37"/>
        <v>1375337.2920999997</v>
      </c>
      <c r="AY86" s="291">
        <f t="shared" si="37"/>
        <v>1179963.7227999996</v>
      </c>
      <c r="AZ86" s="291">
        <f t="shared" si="37"/>
        <v>984590.15349999967</v>
      </c>
      <c r="BA86" s="291">
        <f t="shared" si="37"/>
        <v>789216.58419999969</v>
      </c>
      <c r="BB86" s="291">
        <f t="shared" si="37"/>
        <v>593843.01489999972</v>
      </c>
      <c r="BC86" s="291">
        <f t="shared" si="33"/>
        <v>394973</v>
      </c>
      <c r="BD86" s="298"/>
      <c r="BE86" s="291">
        <f t="shared" si="39"/>
        <v>1570710.8613999998</v>
      </c>
      <c r="BF86" s="291">
        <f t="shared" si="39"/>
        <v>1375337.2920999997</v>
      </c>
      <c r="BG86" s="291">
        <f t="shared" si="38"/>
        <v>1179963.7227999996</v>
      </c>
      <c r="BH86" s="291">
        <f t="shared" si="38"/>
        <v>984590.15349999967</v>
      </c>
      <c r="BI86" s="291">
        <f t="shared" si="38"/>
        <v>789216.58419999969</v>
      </c>
      <c r="BJ86" s="291">
        <f t="shared" si="38"/>
        <v>593843.01489999972</v>
      </c>
      <c r="BK86" s="291">
        <f t="shared" si="38"/>
        <v>394973</v>
      </c>
      <c r="BL86" s="298"/>
      <c r="BM86" s="298"/>
      <c r="BN86" s="298"/>
      <c r="BO86" s="298"/>
    </row>
    <row r="87" spans="1:67" x14ac:dyDescent="0.15">
      <c r="A87" s="10" t="s">
        <v>4</v>
      </c>
      <c r="B87" s="10"/>
      <c r="C87" s="276"/>
      <c r="D87" s="276" t="str">
        <f t="shared" si="23"/>
        <v>No</v>
      </c>
      <c r="E87" s="276"/>
      <c r="F87" s="276"/>
      <c r="G87" s="8">
        <v>4</v>
      </c>
      <c r="H87" s="1">
        <v>124</v>
      </c>
      <c r="I87" s="10">
        <v>61</v>
      </c>
      <c r="J87" s="7" t="s">
        <v>73</v>
      </c>
      <c r="K87" s="287"/>
      <c r="L87" s="1">
        <v>1209.96</v>
      </c>
      <c r="M87" s="288"/>
      <c r="N87" s="289"/>
      <c r="O87" s="1">
        <v>184</v>
      </c>
      <c r="P87" s="290">
        <f t="shared" si="4"/>
        <v>0.15207114284769743</v>
      </c>
      <c r="Q87" s="290">
        <f t="shared" si="5"/>
        <v>0</v>
      </c>
      <c r="R87" s="291">
        <f t="shared" si="6"/>
        <v>0</v>
      </c>
      <c r="S87" s="291">
        <f t="shared" si="24"/>
        <v>0</v>
      </c>
      <c r="T87" s="1">
        <v>13</v>
      </c>
      <c r="U87" s="1">
        <f t="shared" si="25"/>
        <v>1.95</v>
      </c>
      <c r="V87" s="292">
        <f t="shared" si="7"/>
        <v>55.2</v>
      </c>
      <c r="W87" s="254">
        <f t="shared" si="8"/>
        <v>1267.1100000000001</v>
      </c>
      <c r="X87" s="1">
        <v>1302158155.3299999</v>
      </c>
      <c r="Y87" s="1">
        <v>8264</v>
      </c>
      <c r="Z87" s="264">
        <f t="shared" si="9"/>
        <v>157569.96</v>
      </c>
      <c r="AA87" s="293">
        <f t="shared" si="10"/>
        <v>0.84397299999999997</v>
      </c>
      <c r="AB87" s="1">
        <v>105920</v>
      </c>
      <c r="AC87" s="293">
        <f t="shared" si="11"/>
        <v>0.91984699999999997</v>
      </c>
      <c r="AD87" s="293">
        <f t="shared" si="12"/>
        <v>0.13326499999999999</v>
      </c>
      <c r="AE87" s="294">
        <f t="shared" si="13"/>
        <v>0.13326499999999999</v>
      </c>
      <c r="AF87" s="295">
        <f t="shared" si="26"/>
        <v>0</v>
      </c>
      <c r="AG87" s="296">
        <f t="shared" si="27"/>
        <v>0.13326499999999999</v>
      </c>
      <c r="AH87" s="1">
        <v>1217</v>
      </c>
      <c r="AI87" s="1">
        <v>13</v>
      </c>
      <c r="AJ87" s="254">
        <f t="shared" si="14"/>
        <v>100</v>
      </c>
      <c r="AK87" s="9">
        <f t="shared" si="15"/>
        <v>121700</v>
      </c>
      <c r="AL87" s="9">
        <f t="shared" si="16"/>
        <v>1946128</v>
      </c>
      <c r="AM87" s="9">
        <f t="shared" si="17"/>
        <v>2067828</v>
      </c>
      <c r="AN87" s="9">
        <f t="shared" si="28"/>
        <v>2067828</v>
      </c>
      <c r="AO87" s="291">
        <v>1971482</v>
      </c>
      <c r="AP87" s="9">
        <f t="shared" si="29"/>
        <v>96346</v>
      </c>
      <c r="AQ87" s="297" t="str">
        <f t="shared" si="30"/>
        <v>Yes</v>
      </c>
      <c r="AR87" s="291">
        <v>2008742</v>
      </c>
      <c r="AS87" s="291">
        <f t="shared" si="18"/>
        <v>10270.4836</v>
      </c>
      <c r="AT87" s="291">
        <f t="shared" si="19"/>
        <v>2019012.4835999999</v>
      </c>
      <c r="AU87" s="291">
        <f t="shared" si="20"/>
        <v>2019012.4835999999</v>
      </c>
      <c r="AV87" s="291"/>
      <c r="AW87" s="291">
        <f t="shared" si="31"/>
        <v>2029282.9671999998</v>
      </c>
      <c r="AX87" s="291">
        <f t="shared" si="37"/>
        <v>2039553.4507999998</v>
      </c>
      <c r="AY87" s="291">
        <f t="shared" si="37"/>
        <v>2049823.9343999997</v>
      </c>
      <c r="AZ87" s="291">
        <f t="shared" si="37"/>
        <v>2060094.4179999996</v>
      </c>
      <c r="BA87" s="291">
        <f t="shared" si="37"/>
        <v>2070364.9015999995</v>
      </c>
      <c r="BB87" s="291">
        <f t="shared" si="37"/>
        <v>2080635.3851999994</v>
      </c>
      <c r="BC87" s="291">
        <f t="shared" si="33"/>
        <v>2067828</v>
      </c>
      <c r="BD87" s="298"/>
      <c r="BE87" s="291">
        <f t="shared" si="39"/>
        <v>2029282.9671999998</v>
      </c>
      <c r="BF87" s="291">
        <f t="shared" si="39"/>
        <v>2039553.4507999998</v>
      </c>
      <c r="BG87" s="291">
        <f t="shared" si="38"/>
        <v>2049823.9343999997</v>
      </c>
      <c r="BH87" s="291">
        <f t="shared" si="38"/>
        <v>2060094.4179999996</v>
      </c>
      <c r="BI87" s="291">
        <f t="shared" si="38"/>
        <v>2070364.9015999995</v>
      </c>
      <c r="BJ87" s="291">
        <f t="shared" si="38"/>
        <v>2080635.3851999994</v>
      </c>
      <c r="BK87" s="291">
        <f t="shared" si="38"/>
        <v>2067828</v>
      </c>
      <c r="BL87" s="298"/>
      <c r="BM87" s="298"/>
      <c r="BN87" s="298"/>
      <c r="BO87" s="298"/>
    </row>
    <row r="88" spans="1:67" x14ac:dyDescent="0.15">
      <c r="A88" s="10" t="s">
        <v>19</v>
      </c>
      <c r="B88" s="10"/>
      <c r="C88" s="276">
        <v>1</v>
      </c>
      <c r="D88" s="276" t="str">
        <f t="shared" si="23"/>
        <v>Yes</v>
      </c>
      <c r="E88" s="276">
        <v>1</v>
      </c>
      <c r="F88" s="276"/>
      <c r="G88" s="8">
        <v>9</v>
      </c>
      <c r="H88" s="1">
        <v>21</v>
      </c>
      <c r="I88" s="10">
        <v>62</v>
      </c>
      <c r="J88" s="7" t="s">
        <v>74</v>
      </c>
      <c r="K88" s="287"/>
      <c r="L88" s="1">
        <v>6362.32</v>
      </c>
      <c r="M88" s="300"/>
      <c r="N88" s="289"/>
      <c r="O88" s="1">
        <v>3026</v>
      </c>
      <c r="P88" s="290">
        <f t="shared" si="4"/>
        <v>0.47561266959222426</v>
      </c>
      <c r="Q88" s="290">
        <f t="shared" si="5"/>
        <v>0</v>
      </c>
      <c r="R88" s="291">
        <f t="shared" si="6"/>
        <v>0</v>
      </c>
      <c r="S88" s="291">
        <f t="shared" si="24"/>
        <v>0</v>
      </c>
      <c r="T88" s="1">
        <v>389</v>
      </c>
      <c r="U88" s="1">
        <f t="shared" si="25"/>
        <v>58.349999999999994</v>
      </c>
      <c r="V88" s="292">
        <f t="shared" si="7"/>
        <v>907.8</v>
      </c>
      <c r="W88" s="254">
        <f t="shared" si="8"/>
        <v>7328.47</v>
      </c>
      <c r="X88" s="1">
        <v>5620660750</v>
      </c>
      <c r="Y88" s="1">
        <v>61284</v>
      </c>
      <c r="Z88" s="264">
        <f t="shared" si="9"/>
        <v>91714.98</v>
      </c>
      <c r="AA88" s="293">
        <f t="shared" si="10"/>
        <v>0.49124200000000001</v>
      </c>
      <c r="AB88" s="1">
        <v>74281</v>
      </c>
      <c r="AC88" s="293">
        <f t="shared" si="11"/>
        <v>0.64508299999999996</v>
      </c>
      <c r="AD88" s="293">
        <f t="shared" si="12"/>
        <v>0.46260600000000002</v>
      </c>
      <c r="AE88" s="294">
        <f t="shared" si="13"/>
        <v>0.46260600000000002</v>
      </c>
      <c r="AF88" s="295">
        <f t="shared" si="26"/>
        <v>0</v>
      </c>
      <c r="AG88" s="296">
        <f t="shared" si="27"/>
        <v>0.46260600000000002</v>
      </c>
      <c r="AH88" s="1">
        <v>0</v>
      </c>
      <c r="AI88" s="1">
        <v>0</v>
      </c>
      <c r="AJ88" s="254">
        <f t="shared" si="14"/>
        <v>0</v>
      </c>
      <c r="AK88" s="9">
        <f t="shared" si="15"/>
        <v>0</v>
      </c>
      <c r="AL88" s="9">
        <f t="shared" si="16"/>
        <v>39071988</v>
      </c>
      <c r="AM88" s="9">
        <f t="shared" si="17"/>
        <v>39071988</v>
      </c>
      <c r="AN88" s="9">
        <f t="shared" si="28"/>
        <v>39071988</v>
      </c>
      <c r="AO88" s="291">
        <v>26945481</v>
      </c>
      <c r="AP88" s="9">
        <f t="shared" si="29"/>
        <v>12126507</v>
      </c>
      <c r="AQ88" s="297" t="str">
        <f t="shared" si="30"/>
        <v>Yes</v>
      </c>
      <c r="AR88" s="291">
        <v>28638991</v>
      </c>
      <c r="AS88" s="291">
        <f t="shared" si="18"/>
        <v>1292685.6462000001</v>
      </c>
      <c r="AT88" s="291">
        <f t="shared" si="19"/>
        <v>29931676.646200001</v>
      </c>
      <c r="AU88" s="291">
        <f t="shared" si="20"/>
        <v>29931676.646200001</v>
      </c>
      <c r="AV88" s="291"/>
      <c r="AW88" s="291">
        <f t="shared" si="31"/>
        <v>31224362.292400002</v>
      </c>
      <c r="AX88" s="291">
        <f t="shared" si="37"/>
        <v>32517047.938600004</v>
      </c>
      <c r="AY88" s="291">
        <f t="shared" si="37"/>
        <v>33809733.584800005</v>
      </c>
      <c r="AZ88" s="291">
        <f t="shared" si="37"/>
        <v>35102419.231000006</v>
      </c>
      <c r="BA88" s="291">
        <f t="shared" si="37"/>
        <v>36395104.877200007</v>
      </c>
      <c r="BB88" s="291">
        <f t="shared" si="37"/>
        <v>37687790.523400009</v>
      </c>
      <c r="BC88" s="291">
        <f t="shared" si="33"/>
        <v>39071988</v>
      </c>
      <c r="BD88" s="298"/>
      <c r="BE88" s="291">
        <f t="shared" si="39"/>
        <v>31224362.292400002</v>
      </c>
      <c r="BF88" s="291">
        <f t="shared" si="39"/>
        <v>32517047.938600004</v>
      </c>
      <c r="BG88" s="291">
        <f t="shared" si="38"/>
        <v>33809733.584800005</v>
      </c>
      <c r="BH88" s="291">
        <f t="shared" si="38"/>
        <v>35102419.231000006</v>
      </c>
      <c r="BI88" s="291">
        <f t="shared" si="38"/>
        <v>36395104.877200007</v>
      </c>
      <c r="BJ88" s="291">
        <f t="shared" si="38"/>
        <v>37687790.523400009</v>
      </c>
      <c r="BK88" s="291">
        <f t="shared" si="38"/>
        <v>39071988</v>
      </c>
      <c r="BL88" s="298"/>
      <c r="BM88" s="298"/>
      <c r="BN88" s="298"/>
      <c r="BO88" s="298"/>
    </row>
    <row r="89" spans="1:67" x14ac:dyDescent="0.15">
      <c r="A89" s="10" t="s">
        <v>8</v>
      </c>
      <c r="B89" s="10"/>
      <c r="C89" s="276"/>
      <c r="D89" s="276" t="str">
        <f t="shared" si="23"/>
        <v>No</v>
      </c>
      <c r="E89" s="276"/>
      <c r="F89" s="276"/>
      <c r="G89" s="8">
        <v>7</v>
      </c>
      <c r="H89" s="1">
        <v>52</v>
      </c>
      <c r="I89" s="10">
        <v>63</v>
      </c>
      <c r="J89" s="7" t="s">
        <v>75</v>
      </c>
      <c r="K89" s="287"/>
      <c r="L89" s="1">
        <v>136.30000000000001</v>
      </c>
      <c r="M89" s="300"/>
      <c r="N89" s="289"/>
      <c r="O89" s="1">
        <v>57</v>
      </c>
      <c r="P89" s="290">
        <f t="shared" si="4"/>
        <v>0.41819515774027877</v>
      </c>
      <c r="Q89" s="290">
        <f t="shared" si="5"/>
        <v>0</v>
      </c>
      <c r="R89" s="291">
        <f t="shared" si="6"/>
        <v>0</v>
      </c>
      <c r="S89" s="291">
        <f t="shared" si="24"/>
        <v>0</v>
      </c>
      <c r="T89" s="1">
        <v>0</v>
      </c>
      <c r="U89" s="1">
        <f t="shared" si="25"/>
        <v>0</v>
      </c>
      <c r="V89" s="292">
        <f t="shared" si="7"/>
        <v>17.100000000000001</v>
      </c>
      <c r="W89" s="254">
        <f t="shared" si="8"/>
        <v>153.4</v>
      </c>
      <c r="X89" s="1">
        <v>217996524.66999999</v>
      </c>
      <c r="Y89" s="1">
        <v>1844</v>
      </c>
      <c r="Z89" s="264">
        <f t="shared" si="9"/>
        <v>118219.37</v>
      </c>
      <c r="AA89" s="293">
        <f t="shared" si="10"/>
        <v>0.63320399999999999</v>
      </c>
      <c r="AB89" s="1">
        <v>74265</v>
      </c>
      <c r="AC89" s="293">
        <f t="shared" si="11"/>
        <v>0.64494399999999996</v>
      </c>
      <c r="AD89" s="293">
        <f t="shared" si="12"/>
        <v>0.36327399999999999</v>
      </c>
      <c r="AE89" s="294">
        <f t="shared" si="13"/>
        <v>0.36327399999999999</v>
      </c>
      <c r="AF89" s="295">
        <f t="shared" si="26"/>
        <v>0</v>
      </c>
      <c r="AG89" s="296">
        <f t="shared" si="27"/>
        <v>0.36327399999999999</v>
      </c>
      <c r="AH89" s="1">
        <v>59</v>
      </c>
      <c r="AI89" s="1">
        <v>6</v>
      </c>
      <c r="AJ89" s="254">
        <f t="shared" si="14"/>
        <v>46.15</v>
      </c>
      <c r="AK89" s="9">
        <f t="shared" si="15"/>
        <v>2723</v>
      </c>
      <c r="AL89" s="9">
        <f t="shared" si="16"/>
        <v>642245</v>
      </c>
      <c r="AM89" s="9">
        <f t="shared" si="17"/>
        <v>644968</v>
      </c>
      <c r="AN89" s="9">
        <f t="shared" si="28"/>
        <v>644968</v>
      </c>
      <c r="AO89" s="291">
        <v>1312383</v>
      </c>
      <c r="AP89" s="9">
        <f t="shared" si="29"/>
        <v>667415</v>
      </c>
      <c r="AQ89" s="297" t="str">
        <f t="shared" si="30"/>
        <v>No</v>
      </c>
      <c r="AR89" s="291">
        <v>1114004</v>
      </c>
      <c r="AS89" s="291">
        <f t="shared" si="18"/>
        <v>55595.669499999996</v>
      </c>
      <c r="AT89" s="291">
        <f t="shared" si="19"/>
        <v>1058408.3304999999</v>
      </c>
      <c r="AU89" s="291">
        <f t="shared" si="20"/>
        <v>1058408.3304999999</v>
      </c>
      <c r="AV89" s="291"/>
      <c r="AW89" s="291">
        <f t="shared" si="31"/>
        <v>1002812.661</v>
      </c>
      <c r="AX89" s="291">
        <f t="shared" si="37"/>
        <v>947216.9915</v>
      </c>
      <c r="AY89" s="291">
        <f t="shared" si="37"/>
        <v>891621.32200000004</v>
      </c>
      <c r="AZ89" s="291">
        <f t="shared" si="37"/>
        <v>836025.65250000008</v>
      </c>
      <c r="BA89" s="291">
        <f t="shared" si="37"/>
        <v>780429.98300000012</v>
      </c>
      <c r="BB89" s="291">
        <f t="shared" si="37"/>
        <v>724834.31350000016</v>
      </c>
      <c r="BC89" s="291">
        <f t="shared" si="33"/>
        <v>644968</v>
      </c>
      <c r="BD89" s="298"/>
      <c r="BE89" s="291">
        <f t="shared" si="39"/>
        <v>1002812.661</v>
      </c>
      <c r="BF89" s="291">
        <f t="shared" si="39"/>
        <v>947216.9915</v>
      </c>
      <c r="BG89" s="291">
        <f t="shared" si="38"/>
        <v>891621.32200000004</v>
      </c>
      <c r="BH89" s="291">
        <f t="shared" si="38"/>
        <v>836025.65250000008</v>
      </c>
      <c r="BI89" s="291">
        <f t="shared" si="38"/>
        <v>780429.98300000012</v>
      </c>
      <c r="BJ89" s="291">
        <f t="shared" si="38"/>
        <v>724834.31350000016</v>
      </c>
      <c r="BK89" s="291">
        <f t="shared" si="38"/>
        <v>644968</v>
      </c>
      <c r="BL89" s="298"/>
      <c r="BM89" s="298"/>
      <c r="BN89" s="298"/>
      <c r="BO89" s="298"/>
    </row>
    <row r="90" spans="1:67" x14ac:dyDescent="0.15">
      <c r="A90" s="10" t="s">
        <v>24</v>
      </c>
      <c r="B90" s="10">
        <v>1</v>
      </c>
      <c r="C90" s="276">
        <v>1</v>
      </c>
      <c r="D90" s="276" t="str">
        <f t="shared" si="23"/>
        <v>Yes</v>
      </c>
      <c r="E90" s="276">
        <v>0</v>
      </c>
      <c r="F90" s="276">
        <v>1</v>
      </c>
      <c r="G90" s="8">
        <v>10</v>
      </c>
      <c r="H90" s="1">
        <v>1</v>
      </c>
      <c r="I90" s="10">
        <v>64</v>
      </c>
      <c r="J90" s="7" t="s">
        <v>76</v>
      </c>
      <c r="K90" s="287"/>
      <c r="L90" s="1">
        <v>19958.900000000001</v>
      </c>
      <c r="M90" s="300"/>
      <c r="N90" s="289"/>
      <c r="O90" s="1">
        <v>17789</v>
      </c>
      <c r="P90" s="290">
        <f t="shared" si="4"/>
        <v>0.89128158365440979</v>
      </c>
      <c r="Q90" s="290">
        <f t="shared" si="5"/>
        <v>0.14128158365440979</v>
      </c>
      <c r="R90" s="291">
        <f t="shared" si="6"/>
        <v>2819.8249999999998</v>
      </c>
      <c r="S90" s="291">
        <f t="shared" si="24"/>
        <v>140.99125000000001</v>
      </c>
      <c r="T90" s="1">
        <v>4425</v>
      </c>
      <c r="U90" s="1">
        <f t="shared" si="25"/>
        <v>663.75</v>
      </c>
      <c r="V90" s="292">
        <f t="shared" si="7"/>
        <v>5336.7</v>
      </c>
      <c r="W90" s="254">
        <f t="shared" si="8"/>
        <v>26100.341250000001</v>
      </c>
      <c r="X90" s="1">
        <v>6764980356</v>
      </c>
      <c r="Y90" s="1">
        <v>123400</v>
      </c>
      <c r="Z90" s="264">
        <f t="shared" si="9"/>
        <v>54821.56</v>
      </c>
      <c r="AA90" s="293">
        <f t="shared" si="10"/>
        <v>0.29363400000000001</v>
      </c>
      <c r="AB90" s="1">
        <v>33841</v>
      </c>
      <c r="AC90" s="293">
        <f t="shared" si="11"/>
        <v>0.29388700000000001</v>
      </c>
      <c r="AD90" s="293">
        <f t="shared" si="12"/>
        <v>0.70628999999999997</v>
      </c>
      <c r="AE90" s="294">
        <f t="shared" si="13"/>
        <v>0.70628999999999997</v>
      </c>
      <c r="AF90" s="295">
        <f t="shared" si="26"/>
        <v>0.06</v>
      </c>
      <c r="AG90" s="296">
        <f t="shared" si="27"/>
        <v>0.76628999999999992</v>
      </c>
      <c r="AH90" s="1">
        <v>0</v>
      </c>
      <c r="AI90" s="1">
        <v>0</v>
      </c>
      <c r="AJ90" s="254">
        <f t="shared" si="14"/>
        <v>0</v>
      </c>
      <c r="AK90" s="9">
        <f t="shared" si="15"/>
        <v>0</v>
      </c>
      <c r="AL90" s="9">
        <f t="shared" si="16"/>
        <v>230504961</v>
      </c>
      <c r="AM90" s="9">
        <f t="shared" si="17"/>
        <v>230504961</v>
      </c>
      <c r="AN90" s="9">
        <f t="shared" si="28"/>
        <v>230504961</v>
      </c>
      <c r="AO90" s="291">
        <v>200518244</v>
      </c>
      <c r="AP90" s="9">
        <f t="shared" si="29"/>
        <v>29986717</v>
      </c>
      <c r="AQ90" s="297" t="str">
        <f t="shared" si="30"/>
        <v>Yes</v>
      </c>
      <c r="AR90" s="291">
        <v>205908194</v>
      </c>
      <c r="AS90" s="291">
        <f t="shared" si="18"/>
        <v>3196584.0321999998</v>
      </c>
      <c r="AT90" s="291">
        <f t="shared" si="19"/>
        <v>209104778.03220001</v>
      </c>
      <c r="AU90" s="291">
        <f t="shared" si="20"/>
        <v>209104778.03220001</v>
      </c>
      <c r="AV90" s="291"/>
      <c r="AW90" s="291">
        <f t="shared" si="31"/>
        <v>212301362.06440002</v>
      </c>
      <c r="AX90" s="291">
        <f t="shared" si="37"/>
        <v>215497946.09660003</v>
      </c>
      <c r="AY90" s="291">
        <f t="shared" si="37"/>
        <v>218694530.12880003</v>
      </c>
      <c r="AZ90" s="291">
        <f t="shared" si="37"/>
        <v>221891114.16100004</v>
      </c>
      <c r="BA90" s="291">
        <f t="shared" si="37"/>
        <v>225087698.19320005</v>
      </c>
      <c r="BB90" s="291">
        <f t="shared" si="37"/>
        <v>228284282.22540006</v>
      </c>
      <c r="BC90" s="291">
        <f t="shared" si="33"/>
        <v>230504961</v>
      </c>
      <c r="BD90" s="298"/>
      <c r="BE90" s="291">
        <f t="shared" si="39"/>
        <v>212301362.06440002</v>
      </c>
      <c r="BF90" s="291">
        <f t="shared" si="39"/>
        <v>215497946.09660003</v>
      </c>
      <c r="BG90" s="291">
        <f t="shared" si="38"/>
        <v>218694530.12880003</v>
      </c>
      <c r="BH90" s="291">
        <f t="shared" si="38"/>
        <v>221891114.16100004</v>
      </c>
      <c r="BI90" s="291">
        <f t="shared" si="38"/>
        <v>225087698.19320005</v>
      </c>
      <c r="BJ90" s="291">
        <f t="shared" si="38"/>
        <v>228284282.22540006</v>
      </c>
      <c r="BK90" s="291">
        <f t="shared" si="38"/>
        <v>230504961</v>
      </c>
      <c r="BL90" s="298"/>
      <c r="BM90" s="298"/>
      <c r="BN90" s="298"/>
      <c r="BO90" s="298"/>
    </row>
    <row r="91" spans="1:67" x14ac:dyDescent="0.15">
      <c r="A91" s="10" t="s">
        <v>8</v>
      </c>
      <c r="B91" s="10"/>
      <c r="C91" s="276"/>
      <c r="D91" s="276" t="str">
        <f t="shared" si="23"/>
        <v>No</v>
      </c>
      <c r="E91" s="276"/>
      <c r="F91" s="276"/>
      <c r="G91" s="8">
        <v>6</v>
      </c>
      <c r="H91" s="1">
        <v>91</v>
      </c>
      <c r="I91" s="10">
        <v>65</v>
      </c>
      <c r="J91" s="7" t="s">
        <v>77</v>
      </c>
      <c r="K91" s="287"/>
      <c r="L91" s="1">
        <v>233.07</v>
      </c>
      <c r="M91" s="288"/>
      <c r="N91" s="289"/>
      <c r="O91" s="1">
        <v>53</v>
      </c>
      <c r="P91" s="290">
        <f t="shared" ref="P91:P154" si="40">O91/L91</f>
        <v>0.22739949371433477</v>
      </c>
      <c r="Q91" s="290">
        <f t="shared" ref="Q91:Q154" si="41">IF(P91&gt;0.75,+P91-0.75,0)</f>
        <v>0</v>
      </c>
      <c r="R91" s="291">
        <f t="shared" ref="R91:R154" si="42">Q91*L91</f>
        <v>0</v>
      </c>
      <c r="S91" s="291">
        <f t="shared" si="24"/>
        <v>0</v>
      </c>
      <c r="T91" s="1">
        <v>1</v>
      </c>
      <c r="U91" s="1">
        <f t="shared" si="25"/>
        <v>0.15</v>
      </c>
      <c r="V91" s="292">
        <f t="shared" ref="V91:V154" si="43">ROUND(O91*$V$2,2)</f>
        <v>15.9</v>
      </c>
      <c r="W91" s="254">
        <f t="shared" ref="W91:W154" si="44">L91+V91+0.15*T91+0.05*R91</f>
        <v>249.12</v>
      </c>
      <c r="X91" s="1">
        <v>293937335</v>
      </c>
      <c r="Y91" s="1">
        <v>2112</v>
      </c>
      <c r="Z91" s="264">
        <f t="shared" ref="Z91:Z154" si="45">ROUND(X91/Y91,2)</f>
        <v>139174.87</v>
      </c>
      <c r="AA91" s="293">
        <f t="shared" ref="AA91:AA154" si="46">(ROUND(Z91/$AA$21,6))</f>
        <v>0.74544600000000005</v>
      </c>
      <c r="AB91" s="1">
        <v>94569</v>
      </c>
      <c r="AC91" s="293">
        <f t="shared" ref="AC91:AC154" si="47">(ROUND(AB91/$AC$21,6))</f>
        <v>0.82127099999999997</v>
      </c>
      <c r="AD91" s="293">
        <f t="shared" ref="AD91:AD154" si="48">ROUND(1-((AA91*$V$4)+(AC91*$V$5)),6)</f>
        <v>0.23180700000000001</v>
      </c>
      <c r="AE91" s="294">
        <f t="shared" ref="AE91:AE154" si="49">IF(C91=1,MAX($V$7,AD91),MAX($V$6,AD91))</f>
        <v>0.23180700000000001</v>
      </c>
      <c r="AF91" s="295">
        <f t="shared" si="26"/>
        <v>0</v>
      </c>
      <c r="AG91" s="296">
        <f t="shared" si="27"/>
        <v>0.23180700000000001</v>
      </c>
      <c r="AH91" s="1">
        <v>0</v>
      </c>
      <c r="AI91" s="1">
        <v>0</v>
      </c>
      <c r="AJ91" s="254">
        <f t="shared" ref="AJ91:AJ154" si="50">ROUND((AI91/13)*100,2)</f>
        <v>0</v>
      </c>
      <c r="AK91" s="9">
        <f t="shared" ref="AK91:AK154" si="51">ROUND(AH91*AJ91,0)</f>
        <v>0</v>
      </c>
      <c r="AL91" s="9">
        <f t="shared" ref="AL91:AL154" si="52">ROUND(W91*AG91*$AL$21,0)</f>
        <v>665543</v>
      </c>
      <c r="AM91" s="9">
        <f t="shared" ref="AM91:AM154" si="53">IF(AL91=0, 0,AK91+AL91)</f>
        <v>665543</v>
      </c>
      <c r="AN91" s="9">
        <f t="shared" si="28"/>
        <v>665543</v>
      </c>
      <c r="AO91" s="291">
        <v>1327652</v>
      </c>
      <c r="AP91" s="9">
        <f t="shared" si="29"/>
        <v>662109</v>
      </c>
      <c r="AQ91" s="297" t="str">
        <f t="shared" si="30"/>
        <v>No</v>
      </c>
      <c r="AR91" s="291">
        <v>1126876</v>
      </c>
      <c r="AS91" s="291">
        <f t="shared" ref="AS91:AS154" si="54">IF(AQ91="Yes",+AP91*$M$9,+AP91*$M$10)</f>
        <v>55153.679700000001</v>
      </c>
      <c r="AT91" s="291">
        <f t="shared" ref="AT91:AT154" si="55">IF(AQ91="Yes",+AR91+AS91,+AR91-AS91)</f>
        <v>1071722.3203</v>
      </c>
      <c r="AU91" s="291">
        <f t="shared" ref="AU91:AU154" si="56">IF(C91=1,MAX(AT91,AO91),AT91)</f>
        <v>1071722.3203</v>
      </c>
      <c r="AV91" s="291"/>
      <c r="AW91" s="291">
        <f t="shared" si="31"/>
        <v>1016568.6406</v>
      </c>
      <c r="AX91" s="291">
        <f t="shared" si="37"/>
        <v>961414.96090000006</v>
      </c>
      <c r="AY91" s="291">
        <f t="shared" si="37"/>
        <v>906261.28120000008</v>
      </c>
      <c r="AZ91" s="291">
        <f t="shared" si="37"/>
        <v>851107.60150000011</v>
      </c>
      <c r="BA91" s="291">
        <f t="shared" si="37"/>
        <v>795953.92180000013</v>
      </c>
      <c r="BB91" s="291">
        <f t="shared" si="37"/>
        <v>740800.24210000015</v>
      </c>
      <c r="BC91" s="291">
        <f t="shared" si="33"/>
        <v>665543</v>
      </c>
      <c r="BD91" s="298"/>
      <c r="BE91" s="291">
        <f t="shared" si="39"/>
        <v>1016568.6406</v>
      </c>
      <c r="BF91" s="291">
        <f t="shared" si="39"/>
        <v>961414.96090000006</v>
      </c>
      <c r="BG91" s="291">
        <f t="shared" si="38"/>
        <v>906261.28120000008</v>
      </c>
      <c r="BH91" s="291">
        <f t="shared" si="38"/>
        <v>851107.60150000011</v>
      </c>
      <c r="BI91" s="291">
        <f t="shared" si="38"/>
        <v>795953.92180000013</v>
      </c>
      <c r="BJ91" s="291">
        <f t="shared" si="38"/>
        <v>740800.24210000015</v>
      </c>
      <c r="BK91" s="291">
        <f t="shared" si="38"/>
        <v>665543</v>
      </c>
      <c r="BL91" s="298"/>
      <c r="BM91" s="298"/>
      <c r="BN91" s="298"/>
      <c r="BO91" s="298"/>
    </row>
    <row r="92" spans="1:67" x14ac:dyDescent="0.15">
      <c r="A92" s="10" t="s">
        <v>4</v>
      </c>
      <c r="B92" s="10"/>
      <c r="C92" s="276"/>
      <c r="D92" s="276" t="str">
        <f t="shared" ref="D92:D155" si="57">IF(C92=1,"Yes","No")</f>
        <v>No</v>
      </c>
      <c r="E92" s="276"/>
      <c r="F92" s="276"/>
      <c r="G92" s="8">
        <v>5</v>
      </c>
      <c r="H92" s="1">
        <v>101</v>
      </c>
      <c r="I92" s="10">
        <v>66</v>
      </c>
      <c r="J92" s="7" t="s">
        <v>78</v>
      </c>
      <c r="K92" s="287"/>
      <c r="L92" s="1">
        <v>782.2</v>
      </c>
      <c r="M92" s="288"/>
      <c r="N92" s="289"/>
      <c r="O92" s="1">
        <v>139</v>
      </c>
      <c r="P92" s="290">
        <f t="shared" si="40"/>
        <v>0.17770391204295574</v>
      </c>
      <c r="Q92" s="290">
        <f t="shared" si="41"/>
        <v>0</v>
      </c>
      <c r="R92" s="291">
        <f t="shared" si="42"/>
        <v>0</v>
      </c>
      <c r="S92" s="291">
        <f t="shared" ref="S92:S155" si="58">R92*0.05</f>
        <v>0</v>
      </c>
      <c r="T92" s="1">
        <v>4</v>
      </c>
      <c r="U92" s="1">
        <f t="shared" ref="U92:U155" si="59">T92*0.15</f>
        <v>0.6</v>
      </c>
      <c r="V92" s="292">
        <f t="shared" si="43"/>
        <v>41.7</v>
      </c>
      <c r="W92" s="254">
        <f t="shared" si="44"/>
        <v>824.50000000000011</v>
      </c>
      <c r="X92" s="1">
        <v>799744048.66999996</v>
      </c>
      <c r="Y92" s="1">
        <v>5452</v>
      </c>
      <c r="Z92" s="264">
        <f t="shared" si="45"/>
        <v>146688.20000000001</v>
      </c>
      <c r="AA92" s="293">
        <f t="shared" si="46"/>
        <v>0.78568899999999997</v>
      </c>
      <c r="AB92" s="1">
        <v>104205</v>
      </c>
      <c r="AC92" s="293">
        <f t="shared" si="47"/>
        <v>0.90495300000000001</v>
      </c>
      <c r="AD92" s="293">
        <f t="shared" si="48"/>
        <v>0.178532</v>
      </c>
      <c r="AE92" s="294">
        <f t="shared" si="49"/>
        <v>0.178532</v>
      </c>
      <c r="AF92" s="295">
        <f t="shared" ref="AF92:AF155" si="60">IF(H92&gt;=1,IF(H92&lt;=5,0.06,IF(H92&lt;=10,0.05,IF(H92&lt;=15,0.04,IF(H92&lt;=19,0.03,0)))),0)</f>
        <v>0</v>
      </c>
      <c r="AG92" s="296">
        <f t="shared" ref="AG92:AG155" si="61">+AF92+AE92</f>
        <v>0.178532</v>
      </c>
      <c r="AH92" s="1">
        <v>782</v>
      </c>
      <c r="AI92" s="1">
        <v>13</v>
      </c>
      <c r="AJ92" s="254">
        <f t="shared" si="50"/>
        <v>100</v>
      </c>
      <c r="AK92" s="9">
        <f t="shared" si="51"/>
        <v>78200</v>
      </c>
      <c r="AL92" s="9">
        <f t="shared" si="52"/>
        <v>1696476</v>
      </c>
      <c r="AM92" s="9">
        <f t="shared" si="53"/>
        <v>1774676</v>
      </c>
      <c r="AN92" s="9">
        <f t="shared" ref="AN92:AN155" si="62">IF(AND(C92=1,AM92&lt;AO92),AO92,AM92)</f>
        <v>1774676</v>
      </c>
      <c r="AO92" s="291">
        <v>2708774</v>
      </c>
      <c r="AP92" s="9">
        <f t="shared" ref="AP92:AP155" si="63">ABS(SUM(AO92,-AM92))</f>
        <v>934098</v>
      </c>
      <c r="AQ92" s="297" t="str">
        <f t="shared" ref="AQ92:AQ155" si="64">IF(AM92&gt;AO92,"Yes","No")</f>
        <v>No</v>
      </c>
      <c r="AR92" s="291">
        <v>2507860</v>
      </c>
      <c r="AS92" s="291">
        <f t="shared" si="54"/>
        <v>77810.363400000002</v>
      </c>
      <c r="AT92" s="291">
        <f t="shared" si="55"/>
        <v>2430049.6365999999</v>
      </c>
      <c r="AU92" s="291">
        <f t="shared" si="56"/>
        <v>2430049.6365999999</v>
      </c>
      <c r="AV92" s="291"/>
      <c r="AW92" s="291">
        <f t="shared" ref="AW92:AW155" si="65">IF($AQ92="Yes",AU92+$AS92,AU92-$AS92)</f>
        <v>2352239.2731999997</v>
      </c>
      <c r="AX92" s="291">
        <f t="shared" ref="AX92:BB107" si="66">IF($AQ92="Yes",AW92+$AS92,AW92-$AS92)</f>
        <v>2274428.9097999996</v>
      </c>
      <c r="AY92" s="291">
        <f t="shared" si="66"/>
        <v>2196618.5463999994</v>
      </c>
      <c r="AZ92" s="291">
        <f t="shared" si="66"/>
        <v>2118808.1829999993</v>
      </c>
      <c r="BA92" s="291">
        <f t="shared" si="66"/>
        <v>2040997.8195999993</v>
      </c>
      <c r="BB92" s="291">
        <f t="shared" si="66"/>
        <v>1963187.4561999994</v>
      </c>
      <c r="BC92" s="291">
        <f t="shared" ref="BC92:BC155" si="67">AM92</f>
        <v>1774676</v>
      </c>
      <c r="BD92" s="298"/>
      <c r="BE92" s="291">
        <f t="shared" si="39"/>
        <v>2352239.2731999997</v>
      </c>
      <c r="BF92" s="291">
        <f t="shared" si="39"/>
        <v>2274428.9097999996</v>
      </c>
      <c r="BG92" s="291">
        <f t="shared" si="38"/>
        <v>2196618.5463999994</v>
      </c>
      <c r="BH92" s="291">
        <f t="shared" si="38"/>
        <v>2118808.1829999993</v>
      </c>
      <c r="BI92" s="291">
        <f t="shared" si="38"/>
        <v>2040997.8195999993</v>
      </c>
      <c r="BJ92" s="291">
        <f t="shared" si="38"/>
        <v>1963187.4561999994</v>
      </c>
      <c r="BK92" s="291">
        <f t="shared" si="38"/>
        <v>1774676</v>
      </c>
      <c r="BL92" s="298"/>
      <c r="BM92" s="298"/>
      <c r="BN92" s="298"/>
      <c r="BO92" s="298"/>
    </row>
    <row r="93" spans="1:67" x14ac:dyDescent="0.15">
      <c r="A93" s="10" t="s">
        <v>4</v>
      </c>
      <c r="B93" s="10"/>
      <c r="C93" s="276"/>
      <c r="D93" s="276" t="str">
        <f t="shared" si="57"/>
        <v>No</v>
      </c>
      <c r="E93" s="276"/>
      <c r="F93" s="276"/>
      <c r="G93" s="8">
        <v>4</v>
      </c>
      <c r="H93" s="1">
        <v>80</v>
      </c>
      <c r="I93" s="10">
        <v>67</v>
      </c>
      <c r="J93" s="7" t="s">
        <v>79</v>
      </c>
      <c r="K93" s="287"/>
      <c r="L93" s="1">
        <v>1330.44</v>
      </c>
      <c r="M93" s="288"/>
      <c r="N93" s="289"/>
      <c r="O93" s="1">
        <v>192</v>
      </c>
      <c r="P93" s="290">
        <f t="shared" si="40"/>
        <v>0.14431315955623703</v>
      </c>
      <c r="Q93" s="290">
        <f t="shared" si="41"/>
        <v>0</v>
      </c>
      <c r="R93" s="291">
        <f t="shared" si="42"/>
        <v>0</v>
      </c>
      <c r="S93" s="291">
        <f t="shared" si="58"/>
        <v>0</v>
      </c>
      <c r="T93" s="1">
        <v>2</v>
      </c>
      <c r="U93" s="1">
        <f t="shared" si="59"/>
        <v>0.3</v>
      </c>
      <c r="V93" s="292">
        <f t="shared" si="43"/>
        <v>57.6</v>
      </c>
      <c r="W93" s="254">
        <f t="shared" si="44"/>
        <v>1388.34</v>
      </c>
      <c r="X93" s="1">
        <v>1104527770.3299999</v>
      </c>
      <c r="Y93" s="1">
        <v>9507</v>
      </c>
      <c r="Z93" s="264">
        <f t="shared" si="45"/>
        <v>116180.47</v>
      </c>
      <c r="AA93" s="293">
        <f t="shared" si="46"/>
        <v>0.62228399999999995</v>
      </c>
      <c r="AB93" s="1">
        <v>104519</v>
      </c>
      <c r="AC93" s="293">
        <f t="shared" si="47"/>
        <v>0.90768000000000004</v>
      </c>
      <c r="AD93" s="293">
        <f t="shared" si="48"/>
        <v>0.292097</v>
      </c>
      <c r="AE93" s="294">
        <f t="shared" si="49"/>
        <v>0.292097</v>
      </c>
      <c r="AF93" s="295">
        <f t="shared" si="60"/>
        <v>0</v>
      </c>
      <c r="AG93" s="296">
        <f t="shared" si="61"/>
        <v>0.292097</v>
      </c>
      <c r="AH93" s="1">
        <v>716</v>
      </c>
      <c r="AI93" s="1">
        <v>6</v>
      </c>
      <c r="AJ93" s="254">
        <f t="shared" si="50"/>
        <v>46.15</v>
      </c>
      <c r="AK93" s="9">
        <f t="shared" si="51"/>
        <v>33043</v>
      </c>
      <c r="AL93" s="9">
        <f t="shared" si="52"/>
        <v>4673733</v>
      </c>
      <c r="AM93" s="9">
        <f t="shared" si="53"/>
        <v>4706776</v>
      </c>
      <c r="AN93" s="9">
        <f t="shared" si="62"/>
        <v>4706776</v>
      </c>
      <c r="AO93" s="291">
        <v>6875123</v>
      </c>
      <c r="AP93" s="9">
        <f t="shared" si="63"/>
        <v>2168347</v>
      </c>
      <c r="AQ93" s="297" t="str">
        <f t="shared" si="64"/>
        <v>No</v>
      </c>
      <c r="AR93" s="291">
        <v>6178316</v>
      </c>
      <c r="AS93" s="291">
        <f t="shared" si="54"/>
        <v>180623.3051</v>
      </c>
      <c r="AT93" s="291">
        <f t="shared" si="55"/>
        <v>5997692.6949000005</v>
      </c>
      <c r="AU93" s="291">
        <f t="shared" si="56"/>
        <v>5997692.6949000005</v>
      </c>
      <c r="AV93" s="291"/>
      <c r="AW93" s="291">
        <f t="shared" si="65"/>
        <v>5817069.3898000009</v>
      </c>
      <c r="AX93" s="291">
        <f t="shared" si="66"/>
        <v>5636446.0847000014</v>
      </c>
      <c r="AY93" s="291">
        <f t="shared" si="66"/>
        <v>5455822.7796000019</v>
      </c>
      <c r="AZ93" s="291">
        <f t="shared" si="66"/>
        <v>5275199.4745000023</v>
      </c>
      <c r="BA93" s="291">
        <f t="shared" si="66"/>
        <v>5094576.1694000028</v>
      </c>
      <c r="BB93" s="291">
        <f t="shared" si="66"/>
        <v>4913952.8643000033</v>
      </c>
      <c r="BC93" s="291">
        <f t="shared" si="67"/>
        <v>4706776</v>
      </c>
      <c r="BD93" s="298"/>
      <c r="BE93" s="291">
        <f t="shared" si="39"/>
        <v>5817069.3898000009</v>
      </c>
      <c r="BF93" s="291">
        <f t="shared" si="39"/>
        <v>5636446.0847000014</v>
      </c>
      <c r="BG93" s="291">
        <f t="shared" si="38"/>
        <v>5455822.7796000019</v>
      </c>
      <c r="BH93" s="291">
        <f t="shared" si="38"/>
        <v>5275199.4745000023</v>
      </c>
      <c r="BI93" s="291">
        <f t="shared" si="38"/>
        <v>5094576.1694000028</v>
      </c>
      <c r="BJ93" s="291">
        <f t="shared" si="38"/>
        <v>4913952.8643000033</v>
      </c>
      <c r="BK93" s="291">
        <f t="shared" si="38"/>
        <v>4706776</v>
      </c>
      <c r="BL93" s="298"/>
      <c r="BM93" s="298"/>
      <c r="BN93" s="298"/>
      <c r="BO93" s="298"/>
    </row>
    <row r="94" spans="1:67" x14ac:dyDescent="0.15">
      <c r="A94" s="10" t="s">
        <v>8</v>
      </c>
      <c r="B94" s="10"/>
      <c r="C94" s="276"/>
      <c r="D94" s="276" t="str">
        <f t="shared" si="57"/>
        <v>No</v>
      </c>
      <c r="E94" s="276"/>
      <c r="F94" s="276"/>
      <c r="G94" s="8">
        <v>2</v>
      </c>
      <c r="H94" s="1">
        <v>145</v>
      </c>
      <c r="I94" s="10">
        <v>68</v>
      </c>
      <c r="J94" s="7" t="s">
        <v>80</v>
      </c>
      <c r="K94" s="287"/>
      <c r="L94" s="1">
        <v>241.56</v>
      </c>
      <c r="M94" s="288"/>
      <c r="N94" s="289"/>
      <c r="O94" s="1">
        <v>65</v>
      </c>
      <c r="P94" s="290">
        <f t="shared" si="40"/>
        <v>0.26908428547772811</v>
      </c>
      <c r="Q94" s="290">
        <f t="shared" si="41"/>
        <v>0</v>
      </c>
      <c r="R94" s="291">
        <f t="shared" si="42"/>
        <v>0</v>
      </c>
      <c r="S94" s="291">
        <f t="shared" si="58"/>
        <v>0</v>
      </c>
      <c r="T94" s="1">
        <v>3</v>
      </c>
      <c r="U94" s="1">
        <f t="shared" si="59"/>
        <v>0.44999999999999996</v>
      </c>
      <c r="V94" s="292">
        <f t="shared" si="43"/>
        <v>19.5</v>
      </c>
      <c r="W94" s="254">
        <f t="shared" si="44"/>
        <v>261.51</v>
      </c>
      <c r="X94" s="1">
        <v>865265054</v>
      </c>
      <c r="Y94" s="1">
        <v>2800</v>
      </c>
      <c r="Z94" s="264">
        <f t="shared" si="45"/>
        <v>309023.23</v>
      </c>
      <c r="AA94" s="293">
        <f t="shared" si="46"/>
        <v>1.6551849999999999</v>
      </c>
      <c r="AB94" s="1">
        <v>64464</v>
      </c>
      <c r="AC94" s="293">
        <f t="shared" si="47"/>
        <v>0.55982799999999999</v>
      </c>
      <c r="AD94" s="293">
        <f t="shared" si="48"/>
        <v>-0.32657799999999998</v>
      </c>
      <c r="AE94" s="294">
        <f t="shared" si="49"/>
        <v>0.01</v>
      </c>
      <c r="AF94" s="295">
        <f t="shared" si="60"/>
        <v>0</v>
      </c>
      <c r="AG94" s="296">
        <f t="shared" si="61"/>
        <v>0.01</v>
      </c>
      <c r="AH94" s="1">
        <v>51</v>
      </c>
      <c r="AI94" s="1">
        <v>4</v>
      </c>
      <c r="AJ94" s="254">
        <f t="shared" si="50"/>
        <v>30.77</v>
      </c>
      <c r="AK94" s="9">
        <f t="shared" si="51"/>
        <v>1569</v>
      </c>
      <c r="AL94" s="9">
        <f t="shared" si="52"/>
        <v>30139</v>
      </c>
      <c r="AM94" s="9">
        <f t="shared" si="53"/>
        <v>31708</v>
      </c>
      <c r="AN94" s="9">
        <f t="shared" si="62"/>
        <v>31708</v>
      </c>
      <c r="AO94" s="291">
        <v>25634</v>
      </c>
      <c r="AP94" s="9">
        <f t="shared" si="63"/>
        <v>6074</v>
      </c>
      <c r="AQ94" s="297" t="str">
        <f t="shared" si="64"/>
        <v>Yes</v>
      </c>
      <c r="AR94" s="291">
        <v>26947</v>
      </c>
      <c r="AS94" s="291">
        <f t="shared" si="54"/>
        <v>647.48839999999996</v>
      </c>
      <c r="AT94" s="291">
        <f t="shared" si="55"/>
        <v>27594.488399999998</v>
      </c>
      <c r="AU94" s="291">
        <f t="shared" si="56"/>
        <v>27594.488399999998</v>
      </c>
      <c r="AV94" s="291"/>
      <c r="AW94" s="291">
        <f t="shared" si="65"/>
        <v>28241.976799999997</v>
      </c>
      <c r="AX94" s="291">
        <f t="shared" si="66"/>
        <v>28889.465199999995</v>
      </c>
      <c r="AY94" s="291">
        <f t="shared" si="66"/>
        <v>29536.953599999993</v>
      </c>
      <c r="AZ94" s="291">
        <f t="shared" si="66"/>
        <v>30184.441999999992</v>
      </c>
      <c r="BA94" s="291">
        <f t="shared" si="66"/>
        <v>30831.93039999999</v>
      </c>
      <c r="BB94" s="291">
        <f t="shared" si="66"/>
        <v>31479.418799999989</v>
      </c>
      <c r="BC94" s="291">
        <f t="shared" si="67"/>
        <v>31708</v>
      </c>
      <c r="BD94" s="298"/>
      <c r="BE94" s="291">
        <f t="shared" si="39"/>
        <v>28241.976799999997</v>
      </c>
      <c r="BF94" s="291">
        <f t="shared" si="39"/>
        <v>28889.465199999995</v>
      </c>
      <c r="BG94" s="291">
        <f t="shared" si="38"/>
        <v>29536.953599999993</v>
      </c>
      <c r="BH94" s="291">
        <f t="shared" si="38"/>
        <v>30184.441999999992</v>
      </c>
      <c r="BI94" s="291">
        <f t="shared" si="38"/>
        <v>30831.93039999999</v>
      </c>
      <c r="BJ94" s="291">
        <f t="shared" si="38"/>
        <v>31479.418799999989</v>
      </c>
      <c r="BK94" s="291">
        <f t="shared" si="38"/>
        <v>31708</v>
      </c>
      <c r="BL94" s="298"/>
      <c r="BM94" s="298"/>
      <c r="BN94" s="298"/>
      <c r="BO94" s="298"/>
    </row>
    <row r="95" spans="1:67" x14ac:dyDescent="0.15">
      <c r="A95" s="10" t="s">
        <v>19</v>
      </c>
      <c r="B95" s="10"/>
      <c r="C95" s="276">
        <v>1</v>
      </c>
      <c r="D95" s="276" t="str">
        <f t="shared" si="57"/>
        <v>Yes</v>
      </c>
      <c r="E95" s="276">
        <v>1</v>
      </c>
      <c r="F95" s="276"/>
      <c r="G95" s="8">
        <v>10</v>
      </c>
      <c r="H95" s="1">
        <v>25</v>
      </c>
      <c r="I95" s="10">
        <v>69</v>
      </c>
      <c r="J95" s="7" t="s">
        <v>81</v>
      </c>
      <c r="K95" s="287"/>
      <c r="L95" s="1">
        <v>2230.8200000000002</v>
      </c>
      <c r="M95" s="300"/>
      <c r="N95" s="289"/>
      <c r="O95" s="1">
        <v>1153</v>
      </c>
      <c r="P95" s="290">
        <f t="shared" si="40"/>
        <v>0.51685030616544581</v>
      </c>
      <c r="Q95" s="290">
        <f t="shared" si="41"/>
        <v>0</v>
      </c>
      <c r="R95" s="291">
        <f t="shared" si="42"/>
        <v>0</v>
      </c>
      <c r="S95" s="291">
        <f t="shared" si="58"/>
        <v>0</v>
      </c>
      <c r="T95" s="1">
        <v>58</v>
      </c>
      <c r="U95" s="1">
        <f t="shared" si="59"/>
        <v>8.6999999999999993</v>
      </c>
      <c r="V95" s="292">
        <f t="shared" si="43"/>
        <v>345.9</v>
      </c>
      <c r="W95" s="254">
        <f t="shared" si="44"/>
        <v>2585.42</v>
      </c>
      <c r="X95" s="1">
        <v>1921576945</v>
      </c>
      <c r="Y95" s="1">
        <v>17172</v>
      </c>
      <c r="Z95" s="264">
        <f t="shared" si="45"/>
        <v>111901.75999999999</v>
      </c>
      <c r="AA95" s="293">
        <f t="shared" si="46"/>
        <v>0.59936599999999995</v>
      </c>
      <c r="AB95" s="1">
        <v>54868</v>
      </c>
      <c r="AC95" s="293">
        <f t="shared" si="47"/>
        <v>0.476493</v>
      </c>
      <c r="AD95" s="293">
        <f t="shared" si="48"/>
        <v>0.437496</v>
      </c>
      <c r="AE95" s="294">
        <f t="shared" si="49"/>
        <v>0.437496</v>
      </c>
      <c r="AF95" s="295">
        <f t="shared" si="60"/>
        <v>0</v>
      </c>
      <c r="AG95" s="296">
        <f t="shared" si="61"/>
        <v>0.437496</v>
      </c>
      <c r="AH95" s="1">
        <v>0</v>
      </c>
      <c r="AI95" s="1">
        <v>0</v>
      </c>
      <c r="AJ95" s="254">
        <f t="shared" si="50"/>
        <v>0</v>
      </c>
      <c r="AK95" s="9">
        <f t="shared" si="51"/>
        <v>0</v>
      </c>
      <c r="AL95" s="9">
        <f t="shared" si="52"/>
        <v>13036053</v>
      </c>
      <c r="AM95" s="9">
        <f t="shared" si="53"/>
        <v>13036053</v>
      </c>
      <c r="AN95" s="9">
        <f t="shared" si="62"/>
        <v>15574402</v>
      </c>
      <c r="AO95" s="291">
        <v>15574402</v>
      </c>
      <c r="AP95" s="9">
        <f t="shared" si="63"/>
        <v>2538349</v>
      </c>
      <c r="AQ95" s="297" t="str">
        <f t="shared" si="64"/>
        <v>No</v>
      </c>
      <c r="AR95" s="291">
        <v>15574402</v>
      </c>
      <c r="AS95" s="291">
        <f t="shared" si="54"/>
        <v>211444.47169999999</v>
      </c>
      <c r="AT95" s="291">
        <f t="shared" si="55"/>
        <v>15362957.5283</v>
      </c>
      <c r="AU95" s="291">
        <f t="shared" si="56"/>
        <v>15574402</v>
      </c>
      <c r="AV95" s="291"/>
      <c r="AW95" s="291">
        <f t="shared" si="65"/>
        <v>15362957.5283</v>
      </c>
      <c r="AX95" s="291">
        <f t="shared" si="66"/>
        <v>15151513.056600001</v>
      </c>
      <c r="AY95" s="291">
        <f t="shared" si="66"/>
        <v>14940068.584900001</v>
      </c>
      <c r="AZ95" s="291">
        <f t="shared" si="66"/>
        <v>14728624.113200001</v>
      </c>
      <c r="BA95" s="291">
        <f t="shared" si="66"/>
        <v>14517179.641500002</v>
      </c>
      <c r="BB95" s="291">
        <f t="shared" si="66"/>
        <v>14305735.169800002</v>
      </c>
      <c r="BC95" s="291">
        <f t="shared" si="67"/>
        <v>13036053</v>
      </c>
      <c r="BD95" s="298"/>
      <c r="BE95" s="291">
        <f t="shared" si="39"/>
        <v>15574402</v>
      </c>
      <c r="BF95" s="291">
        <f t="shared" si="39"/>
        <v>15574402</v>
      </c>
      <c r="BG95" s="291">
        <f t="shared" si="38"/>
        <v>15574402</v>
      </c>
      <c r="BH95" s="291">
        <f t="shared" si="38"/>
        <v>15574402</v>
      </c>
      <c r="BI95" s="291">
        <f t="shared" si="38"/>
        <v>15574402</v>
      </c>
      <c r="BJ95" s="291">
        <f t="shared" si="38"/>
        <v>15574402</v>
      </c>
      <c r="BK95" s="291">
        <f t="shared" si="38"/>
        <v>15574402</v>
      </c>
      <c r="BL95" s="298"/>
      <c r="BM95" s="298"/>
      <c r="BN95" s="298"/>
      <c r="BO95" s="298"/>
    </row>
    <row r="96" spans="1:67" x14ac:dyDescent="0.15">
      <c r="A96" s="10" t="s">
        <v>4</v>
      </c>
      <c r="B96" s="10"/>
      <c r="C96" s="276"/>
      <c r="D96" s="276" t="str">
        <f t="shared" si="57"/>
        <v>No</v>
      </c>
      <c r="E96" s="276"/>
      <c r="F96" s="276"/>
      <c r="G96" s="8">
        <v>3</v>
      </c>
      <c r="H96" s="1">
        <v>140</v>
      </c>
      <c r="I96" s="10">
        <v>70</v>
      </c>
      <c r="J96" s="7" t="s">
        <v>82</v>
      </c>
      <c r="K96" s="287"/>
      <c r="L96" s="1">
        <v>766.99</v>
      </c>
      <c r="M96" s="288"/>
      <c r="N96" s="289"/>
      <c r="O96" s="1">
        <v>69</v>
      </c>
      <c r="P96" s="290">
        <f t="shared" si="40"/>
        <v>8.9962059479263098E-2</v>
      </c>
      <c r="Q96" s="290">
        <f t="shared" si="41"/>
        <v>0</v>
      </c>
      <c r="R96" s="291">
        <f t="shared" si="42"/>
        <v>0</v>
      </c>
      <c r="S96" s="291">
        <f t="shared" si="58"/>
        <v>0</v>
      </c>
      <c r="T96" s="1">
        <v>6</v>
      </c>
      <c r="U96" s="1">
        <f t="shared" si="59"/>
        <v>0.89999999999999991</v>
      </c>
      <c r="V96" s="292">
        <f t="shared" si="43"/>
        <v>20.7</v>
      </c>
      <c r="W96" s="254">
        <f t="shared" si="44"/>
        <v>788.59</v>
      </c>
      <c r="X96" s="1">
        <v>1011103715</v>
      </c>
      <c r="Y96" s="1">
        <v>6401</v>
      </c>
      <c r="Z96" s="264">
        <f t="shared" si="45"/>
        <v>157960.26999999999</v>
      </c>
      <c r="AA96" s="293">
        <f t="shared" si="46"/>
        <v>0.84606400000000004</v>
      </c>
      <c r="AB96" s="1">
        <v>113413</v>
      </c>
      <c r="AC96" s="293">
        <f t="shared" si="47"/>
        <v>0.98491899999999999</v>
      </c>
      <c r="AD96" s="293">
        <f t="shared" si="48"/>
        <v>0.11228</v>
      </c>
      <c r="AE96" s="294">
        <f t="shared" si="49"/>
        <v>0.11228</v>
      </c>
      <c r="AF96" s="295">
        <f t="shared" si="60"/>
        <v>0</v>
      </c>
      <c r="AG96" s="296">
        <f t="shared" si="61"/>
        <v>0.11228</v>
      </c>
      <c r="AH96" s="1">
        <v>771</v>
      </c>
      <c r="AI96" s="1">
        <v>13</v>
      </c>
      <c r="AJ96" s="254">
        <f t="shared" si="50"/>
        <v>100</v>
      </c>
      <c r="AK96" s="9">
        <f t="shared" si="51"/>
        <v>77100</v>
      </c>
      <c r="AL96" s="9">
        <f t="shared" si="52"/>
        <v>1020457</v>
      </c>
      <c r="AM96" s="9">
        <f t="shared" si="53"/>
        <v>1097557</v>
      </c>
      <c r="AN96" s="9">
        <f t="shared" si="62"/>
        <v>1097557</v>
      </c>
      <c r="AO96" s="291">
        <v>2173420</v>
      </c>
      <c r="AP96" s="9">
        <f t="shared" si="63"/>
        <v>1075863</v>
      </c>
      <c r="AQ96" s="297" t="str">
        <f t="shared" si="64"/>
        <v>No</v>
      </c>
      <c r="AR96" s="291">
        <v>1767283</v>
      </c>
      <c r="AS96" s="291">
        <f t="shared" si="54"/>
        <v>89619.387900000002</v>
      </c>
      <c r="AT96" s="291">
        <f t="shared" si="55"/>
        <v>1677663.6121</v>
      </c>
      <c r="AU96" s="291">
        <f t="shared" si="56"/>
        <v>1677663.6121</v>
      </c>
      <c r="AV96" s="291"/>
      <c r="AW96" s="291">
        <f t="shared" si="65"/>
        <v>1588044.2242000001</v>
      </c>
      <c r="AX96" s="291">
        <f t="shared" si="66"/>
        <v>1498424.8363000001</v>
      </c>
      <c r="AY96" s="291">
        <f t="shared" si="66"/>
        <v>1408805.4484000001</v>
      </c>
      <c r="AZ96" s="291">
        <f t="shared" si="66"/>
        <v>1319186.0605000001</v>
      </c>
      <c r="BA96" s="291">
        <f t="shared" si="66"/>
        <v>1229566.6726000002</v>
      </c>
      <c r="BB96" s="291">
        <f t="shared" si="66"/>
        <v>1139947.2847000002</v>
      </c>
      <c r="BC96" s="291">
        <f t="shared" si="67"/>
        <v>1097557</v>
      </c>
      <c r="BD96" s="298"/>
      <c r="BE96" s="291">
        <f t="shared" si="39"/>
        <v>1588044.2242000001</v>
      </c>
      <c r="BF96" s="291">
        <f t="shared" si="39"/>
        <v>1498424.8363000001</v>
      </c>
      <c r="BG96" s="291">
        <f t="shared" si="38"/>
        <v>1408805.4484000001</v>
      </c>
      <c r="BH96" s="291">
        <f t="shared" si="38"/>
        <v>1319186.0605000001</v>
      </c>
      <c r="BI96" s="291">
        <f t="shared" si="38"/>
        <v>1229566.6726000002</v>
      </c>
      <c r="BJ96" s="291">
        <f t="shared" si="38"/>
        <v>1139947.2847000002</v>
      </c>
      <c r="BK96" s="291">
        <f t="shared" si="38"/>
        <v>1097557</v>
      </c>
      <c r="BL96" s="298"/>
      <c r="BM96" s="298"/>
      <c r="BN96" s="298"/>
      <c r="BO96" s="298"/>
    </row>
    <row r="97" spans="1:67" x14ac:dyDescent="0.15">
      <c r="A97" s="10" t="s">
        <v>8</v>
      </c>
      <c r="B97" s="10"/>
      <c r="C97" s="276"/>
      <c r="D97" s="276" t="str">
        <f t="shared" si="57"/>
        <v>No</v>
      </c>
      <c r="E97" s="276"/>
      <c r="F97" s="276"/>
      <c r="G97" s="8">
        <v>7</v>
      </c>
      <c r="H97" s="1">
        <v>53</v>
      </c>
      <c r="I97" s="10">
        <v>71</v>
      </c>
      <c r="J97" s="7" t="s">
        <v>83</v>
      </c>
      <c r="K97" s="287"/>
      <c r="L97" s="1">
        <v>952.01</v>
      </c>
      <c r="M97" s="288"/>
      <c r="N97" s="289"/>
      <c r="O97" s="1">
        <v>288</v>
      </c>
      <c r="P97" s="290">
        <f t="shared" si="40"/>
        <v>0.30251783069505572</v>
      </c>
      <c r="Q97" s="290">
        <f t="shared" si="41"/>
        <v>0</v>
      </c>
      <c r="R97" s="291">
        <f t="shared" si="42"/>
        <v>0</v>
      </c>
      <c r="S97" s="291">
        <f t="shared" si="58"/>
        <v>0</v>
      </c>
      <c r="T97" s="1">
        <v>10</v>
      </c>
      <c r="U97" s="1">
        <f t="shared" si="59"/>
        <v>1.5</v>
      </c>
      <c r="V97" s="292">
        <f t="shared" si="43"/>
        <v>86.4</v>
      </c>
      <c r="W97" s="254">
        <f t="shared" si="44"/>
        <v>1039.9100000000001</v>
      </c>
      <c r="X97" s="1">
        <v>937654775.33000004</v>
      </c>
      <c r="Y97" s="1">
        <v>7209</v>
      </c>
      <c r="Z97" s="264">
        <f t="shared" si="45"/>
        <v>130067.25</v>
      </c>
      <c r="AA97" s="293">
        <f t="shared" si="46"/>
        <v>0.69666399999999995</v>
      </c>
      <c r="AB97" s="1">
        <v>93531</v>
      </c>
      <c r="AC97" s="293">
        <f t="shared" si="47"/>
        <v>0.81225599999999998</v>
      </c>
      <c r="AD97" s="293">
        <f t="shared" si="48"/>
        <v>0.26865800000000001</v>
      </c>
      <c r="AE97" s="294">
        <f t="shared" si="49"/>
        <v>0.26865800000000001</v>
      </c>
      <c r="AF97" s="295">
        <f t="shared" si="60"/>
        <v>0</v>
      </c>
      <c r="AG97" s="296">
        <f t="shared" si="61"/>
        <v>0.26865800000000001</v>
      </c>
      <c r="AH97" s="1">
        <v>0</v>
      </c>
      <c r="AI97" s="1">
        <v>0</v>
      </c>
      <c r="AJ97" s="254">
        <f t="shared" si="50"/>
        <v>0</v>
      </c>
      <c r="AK97" s="9">
        <f t="shared" si="51"/>
        <v>0</v>
      </c>
      <c r="AL97" s="9">
        <f t="shared" si="52"/>
        <v>3219856</v>
      </c>
      <c r="AM97" s="9">
        <f t="shared" si="53"/>
        <v>3219856</v>
      </c>
      <c r="AN97" s="9">
        <f t="shared" si="62"/>
        <v>3219856</v>
      </c>
      <c r="AO97" s="291">
        <v>5410404</v>
      </c>
      <c r="AP97" s="9">
        <f t="shared" si="63"/>
        <v>2190548</v>
      </c>
      <c r="AQ97" s="297" t="str">
        <f t="shared" si="64"/>
        <v>No</v>
      </c>
      <c r="AR97" s="291">
        <v>4761062</v>
      </c>
      <c r="AS97" s="291">
        <f t="shared" si="54"/>
        <v>182472.64840000001</v>
      </c>
      <c r="AT97" s="291">
        <f t="shared" si="55"/>
        <v>4578589.3515999997</v>
      </c>
      <c r="AU97" s="291">
        <f t="shared" si="56"/>
        <v>4578589.3515999997</v>
      </c>
      <c r="AV97" s="291"/>
      <c r="AW97" s="291">
        <f t="shared" si="65"/>
        <v>4396116.7031999994</v>
      </c>
      <c r="AX97" s="291">
        <f t="shared" si="66"/>
        <v>4213644.0547999991</v>
      </c>
      <c r="AY97" s="291">
        <f t="shared" si="66"/>
        <v>4031171.4063999993</v>
      </c>
      <c r="AZ97" s="291">
        <f t="shared" si="66"/>
        <v>3848698.7579999994</v>
      </c>
      <c r="BA97" s="291">
        <f t="shared" si="66"/>
        <v>3666226.1095999996</v>
      </c>
      <c r="BB97" s="291">
        <f t="shared" si="66"/>
        <v>3483753.4611999998</v>
      </c>
      <c r="BC97" s="291">
        <f t="shared" si="67"/>
        <v>3219856</v>
      </c>
      <c r="BD97" s="298"/>
      <c r="BE97" s="291">
        <f t="shared" si="39"/>
        <v>4396116.7031999994</v>
      </c>
      <c r="BF97" s="291">
        <f t="shared" si="39"/>
        <v>4213644.0547999991</v>
      </c>
      <c r="BG97" s="291">
        <f t="shared" si="38"/>
        <v>4031171.4063999993</v>
      </c>
      <c r="BH97" s="291">
        <f t="shared" si="38"/>
        <v>3848698.7579999994</v>
      </c>
      <c r="BI97" s="291">
        <f t="shared" si="38"/>
        <v>3666226.1095999996</v>
      </c>
      <c r="BJ97" s="291">
        <f t="shared" si="38"/>
        <v>3483753.4611999998</v>
      </c>
      <c r="BK97" s="291">
        <f t="shared" si="38"/>
        <v>3219856</v>
      </c>
      <c r="BL97" s="298"/>
      <c r="BM97" s="298"/>
      <c r="BN97" s="298"/>
      <c r="BO97" s="298"/>
    </row>
    <row r="98" spans="1:67" x14ac:dyDescent="0.15">
      <c r="A98" s="10" t="s">
        <v>14</v>
      </c>
      <c r="B98" s="10"/>
      <c r="C98" s="276"/>
      <c r="D98" s="276" t="str">
        <f t="shared" si="57"/>
        <v>No</v>
      </c>
      <c r="E98" s="276"/>
      <c r="F98" s="276"/>
      <c r="G98" s="8">
        <v>7</v>
      </c>
      <c r="H98" s="1">
        <v>62</v>
      </c>
      <c r="I98" s="10">
        <v>72</v>
      </c>
      <c r="J98" s="7" t="s">
        <v>84</v>
      </c>
      <c r="K98" s="287"/>
      <c r="L98" s="1">
        <v>2375.2199999999998</v>
      </c>
      <c r="M98" s="288"/>
      <c r="N98" s="289"/>
      <c r="O98" s="1">
        <v>611</v>
      </c>
      <c r="P98" s="290">
        <f t="shared" si="40"/>
        <v>0.25723932940948629</v>
      </c>
      <c r="Q98" s="290">
        <f t="shared" si="41"/>
        <v>0</v>
      </c>
      <c r="R98" s="291">
        <f t="shared" si="42"/>
        <v>0</v>
      </c>
      <c r="S98" s="291">
        <f t="shared" si="58"/>
        <v>0</v>
      </c>
      <c r="T98" s="1">
        <v>35</v>
      </c>
      <c r="U98" s="1">
        <f t="shared" si="59"/>
        <v>5.25</v>
      </c>
      <c r="V98" s="292">
        <f t="shared" si="43"/>
        <v>183.3</v>
      </c>
      <c r="W98" s="254">
        <f t="shared" si="44"/>
        <v>2563.77</v>
      </c>
      <c r="X98" s="1">
        <v>1619114817</v>
      </c>
      <c r="Y98" s="1">
        <v>14837</v>
      </c>
      <c r="Z98" s="264">
        <f t="shared" si="45"/>
        <v>109126.83</v>
      </c>
      <c r="AA98" s="293">
        <f t="shared" si="46"/>
        <v>0.58450299999999999</v>
      </c>
      <c r="AB98" s="1">
        <v>88163</v>
      </c>
      <c r="AC98" s="293">
        <f t="shared" si="47"/>
        <v>0.76563899999999996</v>
      </c>
      <c r="AD98" s="293">
        <f t="shared" si="48"/>
        <v>0.36115599999999998</v>
      </c>
      <c r="AE98" s="294">
        <f t="shared" si="49"/>
        <v>0.36115599999999998</v>
      </c>
      <c r="AF98" s="295">
        <f t="shared" si="60"/>
        <v>0</v>
      </c>
      <c r="AG98" s="296">
        <f t="shared" si="61"/>
        <v>0.36115599999999998</v>
      </c>
      <c r="AH98" s="1">
        <v>0</v>
      </c>
      <c r="AI98" s="1">
        <v>0</v>
      </c>
      <c r="AJ98" s="254">
        <f t="shared" si="50"/>
        <v>0</v>
      </c>
      <c r="AK98" s="9">
        <f t="shared" si="51"/>
        <v>0</v>
      </c>
      <c r="AL98" s="9">
        <f t="shared" si="52"/>
        <v>10671239</v>
      </c>
      <c r="AM98" s="9">
        <f t="shared" si="53"/>
        <v>10671239</v>
      </c>
      <c r="AN98" s="9">
        <f t="shared" si="62"/>
        <v>10671239</v>
      </c>
      <c r="AO98" s="291">
        <v>11977384</v>
      </c>
      <c r="AP98" s="9">
        <f t="shared" si="63"/>
        <v>1306145</v>
      </c>
      <c r="AQ98" s="297" t="str">
        <f t="shared" si="64"/>
        <v>No</v>
      </c>
      <c r="AR98" s="291">
        <v>11601318</v>
      </c>
      <c r="AS98" s="291">
        <f t="shared" si="54"/>
        <v>108801.87849999999</v>
      </c>
      <c r="AT98" s="291">
        <f t="shared" si="55"/>
        <v>11492516.1215</v>
      </c>
      <c r="AU98" s="291">
        <f t="shared" si="56"/>
        <v>11492516.1215</v>
      </c>
      <c r="AV98" s="291"/>
      <c r="AW98" s="291">
        <f t="shared" si="65"/>
        <v>11383714.243000001</v>
      </c>
      <c r="AX98" s="291">
        <f t="shared" si="66"/>
        <v>11274912.364500001</v>
      </c>
      <c r="AY98" s="291">
        <f t="shared" si="66"/>
        <v>11166110.486000001</v>
      </c>
      <c r="AZ98" s="291">
        <f t="shared" si="66"/>
        <v>11057308.607500002</v>
      </c>
      <c r="BA98" s="291">
        <f t="shared" si="66"/>
        <v>10948506.729000002</v>
      </c>
      <c r="BB98" s="291">
        <f t="shared" si="66"/>
        <v>10839704.850500003</v>
      </c>
      <c r="BC98" s="291">
        <f t="shared" si="67"/>
        <v>10671239</v>
      </c>
      <c r="BD98" s="298"/>
      <c r="BE98" s="291">
        <f t="shared" si="39"/>
        <v>11383714.243000001</v>
      </c>
      <c r="BF98" s="291">
        <f t="shared" si="39"/>
        <v>11274912.364500001</v>
      </c>
      <c r="BG98" s="291">
        <f t="shared" si="38"/>
        <v>11166110.486000001</v>
      </c>
      <c r="BH98" s="291">
        <f t="shared" si="38"/>
        <v>11057308.607500002</v>
      </c>
      <c r="BI98" s="291">
        <f t="shared" si="38"/>
        <v>10948506.729000002</v>
      </c>
      <c r="BJ98" s="291">
        <f t="shared" si="38"/>
        <v>10839704.850500003</v>
      </c>
      <c r="BK98" s="291">
        <f t="shared" si="38"/>
        <v>10671239</v>
      </c>
      <c r="BL98" s="298"/>
      <c r="BM98" s="298"/>
      <c r="BN98" s="298"/>
      <c r="BO98" s="298"/>
    </row>
    <row r="99" spans="1:67" x14ac:dyDescent="0.15">
      <c r="A99" s="10" t="s">
        <v>8</v>
      </c>
      <c r="B99" s="10"/>
      <c r="C99" s="276"/>
      <c r="D99" s="276" t="str">
        <f t="shared" si="57"/>
        <v>No</v>
      </c>
      <c r="E99" s="276"/>
      <c r="F99" s="276"/>
      <c r="G99" s="8">
        <v>7</v>
      </c>
      <c r="H99" s="1">
        <v>70</v>
      </c>
      <c r="I99" s="10">
        <v>73</v>
      </c>
      <c r="J99" s="7" t="s">
        <v>85</v>
      </c>
      <c r="K99" s="287"/>
      <c r="L99" s="1">
        <v>572.12</v>
      </c>
      <c r="M99" s="288"/>
      <c r="N99" s="289"/>
      <c r="O99" s="1">
        <v>202</v>
      </c>
      <c r="P99" s="290">
        <f t="shared" si="40"/>
        <v>0.35307278193386005</v>
      </c>
      <c r="Q99" s="290">
        <f t="shared" si="41"/>
        <v>0</v>
      </c>
      <c r="R99" s="291">
        <f t="shared" si="42"/>
        <v>0</v>
      </c>
      <c r="S99" s="291">
        <f t="shared" si="58"/>
        <v>0</v>
      </c>
      <c r="T99" s="1">
        <v>8</v>
      </c>
      <c r="U99" s="1">
        <f t="shared" si="59"/>
        <v>1.2</v>
      </c>
      <c r="V99" s="292">
        <f t="shared" si="43"/>
        <v>60.6</v>
      </c>
      <c r="W99" s="254">
        <f t="shared" si="44"/>
        <v>633.92000000000007</v>
      </c>
      <c r="X99" s="1">
        <v>562346536</v>
      </c>
      <c r="Y99" s="1">
        <v>4274</v>
      </c>
      <c r="Z99" s="264">
        <f t="shared" si="45"/>
        <v>131573.82999999999</v>
      </c>
      <c r="AA99" s="293">
        <f t="shared" si="46"/>
        <v>0.70473300000000005</v>
      </c>
      <c r="AB99" s="1">
        <v>85296</v>
      </c>
      <c r="AC99" s="293">
        <f t="shared" si="47"/>
        <v>0.74074099999999998</v>
      </c>
      <c r="AD99" s="293">
        <f t="shared" si="48"/>
        <v>0.28446500000000002</v>
      </c>
      <c r="AE99" s="294">
        <f t="shared" si="49"/>
        <v>0.28446500000000002</v>
      </c>
      <c r="AF99" s="295">
        <f t="shared" si="60"/>
        <v>0</v>
      </c>
      <c r="AG99" s="296">
        <f t="shared" si="61"/>
        <v>0.28446500000000002</v>
      </c>
      <c r="AH99" s="1">
        <v>0</v>
      </c>
      <c r="AI99" s="1">
        <v>0</v>
      </c>
      <c r="AJ99" s="254">
        <f t="shared" si="50"/>
        <v>0</v>
      </c>
      <c r="AK99" s="9">
        <f t="shared" si="51"/>
        <v>0</v>
      </c>
      <c r="AL99" s="9">
        <f t="shared" si="52"/>
        <v>2078281</v>
      </c>
      <c r="AM99" s="9">
        <f t="shared" si="53"/>
        <v>2078281</v>
      </c>
      <c r="AN99" s="9">
        <f t="shared" si="62"/>
        <v>2078281</v>
      </c>
      <c r="AO99" s="291">
        <v>3518715</v>
      </c>
      <c r="AP99" s="9">
        <f t="shared" si="63"/>
        <v>1440434</v>
      </c>
      <c r="AQ99" s="297" t="str">
        <f t="shared" si="64"/>
        <v>No</v>
      </c>
      <c r="AR99" s="291">
        <v>3019504</v>
      </c>
      <c r="AS99" s="291">
        <f t="shared" si="54"/>
        <v>119988.1522</v>
      </c>
      <c r="AT99" s="291">
        <f t="shared" si="55"/>
        <v>2899515.8478000001</v>
      </c>
      <c r="AU99" s="291">
        <f t="shared" si="56"/>
        <v>2899515.8478000001</v>
      </c>
      <c r="AV99" s="291"/>
      <c r="AW99" s="291">
        <f t="shared" si="65"/>
        <v>2779527.6956000002</v>
      </c>
      <c r="AX99" s="291">
        <f t="shared" si="66"/>
        <v>2659539.5434000003</v>
      </c>
      <c r="AY99" s="291">
        <f t="shared" si="66"/>
        <v>2539551.3912000004</v>
      </c>
      <c r="AZ99" s="291">
        <f t="shared" si="66"/>
        <v>2419563.2390000005</v>
      </c>
      <c r="BA99" s="291">
        <f t="shared" si="66"/>
        <v>2299575.0868000006</v>
      </c>
      <c r="BB99" s="291">
        <f t="shared" si="66"/>
        <v>2179586.9346000007</v>
      </c>
      <c r="BC99" s="291">
        <f t="shared" si="67"/>
        <v>2078281</v>
      </c>
      <c r="BD99" s="298"/>
      <c r="BE99" s="291">
        <f t="shared" si="39"/>
        <v>2779527.6956000002</v>
      </c>
      <c r="BF99" s="291">
        <f t="shared" si="39"/>
        <v>2659539.5434000003</v>
      </c>
      <c r="BG99" s="291">
        <f t="shared" si="38"/>
        <v>2539551.3912000004</v>
      </c>
      <c r="BH99" s="291">
        <f t="shared" si="38"/>
        <v>2419563.2390000005</v>
      </c>
      <c r="BI99" s="291">
        <f t="shared" si="38"/>
        <v>2299575.0868000006</v>
      </c>
      <c r="BJ99" s="291">
        <f t="shared" si="38"/>
        <v>2179586.9346000007</v>
      </c>
      <c r="BK99" s="291">
        <f t="shared" si="38"/>
        <v>2078281</v>
      </c>
      <c r="BL99" s="298"/>
      <c r="BM99" s="298"/>
      <c r="BN99" s="298"/>
      <c r="BO99" s="298"/>
    </row>
    <row r="100" spans="1:67" x14ac:dyDescent="0.15">
      <c r="A100" s="10" t="s">
        <v>8</v>
      </c>
      <c r="B100" s="10"/>
      <c r="C100" s="276"/>
      <c r="D100" s="276" t="str">
        <f t="shared" si="57"/>
        <v>No</v>
      </c>
      <c r="E100" s="276"/>
      <c r="F100" s="276"/>
      <c r="G100" s="8">
        <v>4</v>
      </c>
      <c r="H100" s="1">
        <v>114</v>
      </c>
      <c r="I100" s="10">
        <v>74</v>
      </c>
      <c r="J100" s="7" t="s">
        <v>86</v>
      </c>
      <c r="K100" s="287"/>
      <c r="L100" s="1">
        <v>883.11</v>
      </c>
      <c r="M100" s="288"/>
      <c r="N100" s="289"/>
      <c r="O100" s="1">
        <v>219</v>
      </c>
      <c r="P100" s="290">
        <f t="shared" si="40"/>
        <v>0.24798722695926895</v>
      </c>
      <c r="Q100" s="290">
        <f t="shared" si="41"/>
        <v>0</v>
      </c>
      <c r="R100" s="291">
        <f t="shared" si="42"/>
        <v>0</v>
      </c>
      <c r="S100" s="291">
        <f t="shared" si="58"/>
        <v>0</v>
      </c>
      <c r="T100" s="1">
        <v>2</v>
      </c>
      <c r="U100" s="1">
        <f t="shared" si="59"/>
        <v>0.3</v>
      </c>
      <c r="V100" s="292">
        <f t="shared" si="43"/>
        <v>65.7</v>
      </c>
      <c r="W100" s="254">
        <f t="shared" si="44"/>
        <v>949.11</v>
      </c>
      <c r="X100" s="1">
        <v>1463334139.6700001</v>
      </c>
      <c r="Y100" s="1">
        <v>8168</v>
      </c>
      <c r="Z100" s="264">
        <f t="shared" si="45"/>
        <v>179154.52</v>
      </c>
      <c r="AA100" s="293">
        <f t="shared" si="46"/>
        <v>0.95958399999999999</v>
      </c>
      <c r="AB100" s="1">
        <v>78375</v>
      </c>
      <c r="AC100" s="293">
        <f t="shared" si="47"/>
        <v>0.68063600000000002</v>
      </c>
      <c r="AD100" s="293">
        <f t="shared" si="48"/>
        <v>0.1241</v>
      </c>
      <c r="AE100" s="294">
        <f t="shared" si="49"/>
        <v>0.1241</v>
      </c>
      <c r="AF100" s="295">
        <f t="shared" si="60"/>
        <v>0</v>
      </c>
      <c r="AG100" s="296">
        <f t="shared" si="61"/>
        <v>0.1241</v>
      </c>
      <c r="AH100" s="1">
        <v>0</v>
      </c>
      <c r="AI100" s="1">
        <v>0</v>
      </c>
      <c r="AJ100" s="254">
        <f t="shared" si="50"/>
        <v>0</v>
      </c>
      <c r="AK100" s="9">
        <f t="shared" si="51"/>
        <v>0</v>
      </c>
      <c r="AL100" s="9">
        <f t="shared" si="52"/>
        <v>1357467</v>
      </c>
      <c r="AM100" s="9">
        <f t="shared" si="53"/>
        <v>1357467</v>
      </c>
      <c r="AN100" s="9">
        <f t="shared" si="62"/>
        <v>1357467</v>
      </c>
      <c r="AO100" s="291">
        <v>1446598</v>
      </c>
      <c r="AP100" s="9">
        <f t="shared" si="63"/>
        <v>89131</v>
      </c>
      <c r="AQ100" s="297" t="str">
        <f t="shared" si="64"/>
        <v>No</v>
      </c>
      <c r="AR100" s="291">
        <v>1300927</v>
      </c>
      <c r="AS100" s="291">
        <f t="shared" si="54"/>
        <v>7424.6122999999998</v>
      </c>
      <c r="AT100" s="291">
        <f t="shared" si="55"/>
        <v>1293502.3877000001</v>
      </c>
      <c r="AU100" s="291">
        <f t="shared" si="56"/>
        <v>1293502.3877000001</v>
      </c>
      <c r="AV100" s="291"/>
      <c r="AW100" s="291">
        <f t="shared" si="65"/>
        <v>1286077.7754000002</v>
      </c>
      <c r="AX100" s="291">
        <f t="shared" si="66"/>
        <v>1278653.1631000002</v>
      </c>
      <c r="AY100" s="291">
        <f t="shared" si="66"/>
        <v>1271228.5508000003</v>
      </c>
      <c r="AZ100" s="291">
        <f t="shared" si="66"/>
        <v>1263803.9385000004</v>
      </c>
      <c r="BA100" s="291">
        <f t="shared" si="66"/>
        <v>1256379.3262000005</v>
      </c>
      <c r="BB100" s="291">
        <f t="shared" si="66"/>
        <v>1248954.7139000006</v>
      </c>
      <c r="BC100" s="291">
        <f t="shared" si="67"/>
        <v>1357467</v>
      </c>
      <c r="BD100" s="298"/>
      <c r="BE100" s="291">
        <f t="shared" si="39"/>
        <v>1286077.7754000002</v>
      </c>
      <c r="BF100" s="291">
        <f t="shared" si="39"/>
        <v>1278653.1631000002</v>
      </c>
      <c r="BG100" s="291">
        <f t="shared" si="38"/>
        <v>1271228.5508000003</v>
      </c>
      <c r="BH100" s="291">
        <f t="shared" si="38"/>
        <v>1263803.9385000004</v>
      </c>
      <c r="BI100" s="291">
        <f t="shared" si="38"/>
        <v>1256379.3262000005</v>
      </c>
      <c r="BJ100" s="291">
        <f t="shared" si="38"/>
        <v>1248954.7139000006</v>
      </c>
      <c r="BK100" s="291">
        <f t="shared" si="38"/>
        <v>1357467</v>
      </c>
      <c r="BL100" s="298"/>
      <c r="BM100" s="298"/>
      <c r="BN100" s="298"/>
      <c r="BO100" s="298"/>
    </row>
    <row r="101" spans="1:67" x14ac:dyDescent="0.15">
      <c r="A101" s="10" t="s">
        <v>4</v>
      </c>
      <c r="B101" s="10"/>
      <c r="C101" s="276"/>
      <c r="D101" s="276" t="str">
        <f t="shared" si="57"/>
        <v>No</v>
      </c>
      <c r="E101" s="276"/>
      <c r="F101" s="276"/>
      <c r="G101" s="8">
        <v>1</v>
      </c>
      <c r="H101" s="1">
        <v>154</v>
      </c>
      <c r="I101" s="10">
        <v>75</v>
      </c>
      <c r="J101" s="7" t="s">
        <v>87</v>
      </c>
      <c r="K101" s="287"/>
      <c r="L101" s="1">
        <v>248.43</v>
      </c>
      <c r="M101" s="288"/>
      <c r="N101" s="289"/>
      <c r="O101" s="1">
        <v>41</v>
      </c>
      <c r="P101" s="290">
        <f t="shared" si="40"/>
        <v>0.16503642877269251</v>
      </c>
      <c r="Q101" s="290">
        <f t="shared" si="41"/>
        <v>0</v>
      </c>
      <c r="R101" s="291">
        <f t="shared" si="42"/>
        <v>0</v>
      </c>
      <c r="S101" s="291">
        <f t="shared" si="58"/>
        <v>0</v>
      </c>
      <c r="T101" s="1">
        <v>4</v>
      </c>
      <c r="U101" s="1">
        <f t="shared" si="59"/>
        <v>0.6</v>
      </c>
      <c r="V101" s="292">
        <f t="shared" si="43"/>
        <v>12.3</v>
      </c>
      <c r="W101" s="254">
        <f t="shared" si="44"/>
        <v>261.33000000000004</v>
      </c>
      <c r="X101" s="1">
        <v>720535394.66999996</v>
      </c>
      <c r="Y101" s="1">
        <v>2354</v>
      </c>
      <c r="Z101" s="264">
        <f t="shared" si="45"/>
        <v>306089.8</v>
      </c>
      <c r="AA101" s="293">
        <f t="shared" si="46"/>
        <v>1.639473</v>
      </c>
      <c r="AB101" s="1">
        <v>84922</v>
      </c>
      <c r="AC101" s="293">
        <f t="shared" si="47"/>
        <v>0.73749299999999995</v>
      </c>
      <c r="AD101" s="293">
        <f t="shared" si="48"/>
        <v>-0.36887900000000001</v>
      </c>
      <c r="AE101" s="294">
        <f t="shared" si="49"/>
        <v>0.01</v>
      </c>
      <c r="AF101" s="295">
        <f t="shared" si="60"/>
        <v>0</v>
      </c>
      <c r="AG101" s="296">
        <f t="shared" si="61"/>
        <v>0.01</v>
      </c>
      <c r="AH101" s="1">
        <v>246</v>
      </c>
      <c r="AI101" s="1">
        <v>13</v>
      </c>
      <c r="AJ101" s="254">
        <f t="shared" si="50"/>
        <v>100</v>
      </c>
      <c r="AK101" s="9">
        <f t="shared" si="51"/>
        <v>24600</v>
      </c>
      <c r="AL101" s="9">
        <f t="shared" si="52"/>
        <v>30118</v>
      </c>
      <c r="AM101" s="9">
        <f t="shared" si="53"/>
        <v>54718</v>
      </c>
      <c r="AN101" s="9">
        <f t="shared" si="62"/>
        <v>54718</v>
      </c>
      <c r="AO101" s="291">
        <v>63069</v>
      </c>
      <c r="AP101" s="9">
        <f t="shared" si="63"/>
        <v>8351</v>
      </c>
      <c r="AQ101" s="297" t="str">
        <f t="shared" si="64"/>
        <v>No</v>
      </c>
      <c r="AR101" s="291">
        <v>60912</v>
      </c>
      <c r="AS101" s="291">
        <f t="shared" si="54"/>
        <v>695.63829999999996</v>
      </c>
      <c r="AT101" s="291">
        <f t="shared" si="55"/>
        <v>60216.361700000001</v>
      </c>
      <c r="AU101" s="291">
        <f t="shared" si="56"/>
        <v>60216.361700000001</v>
      </c>
      <c r="AV101" s="291"/>
      <c r="AW101" s="291">
        <f t="shared" si="65"/>
        <v>59520.723400000003</v>
      </c>
      <c r="AX101" s="291">
        <f t="shared" si="66"/>
        <v>58825.085100000004</v>
      </c>
      <c r="AY101" s="291">
        <f t="shared" si="66"/>
        <v>58129.446800000005</v>
      </c>
      <c r="AZ101" s="291">
        <f t="shared" si="66"/>
        <v>57433.808500000006</v>
      </c>
      <c r="BA101" s="291">
        <f t="shared" si="66"/>
        <v>56738.170200000008</v>
      </c>
      <c r="BB101" s="291">
        <f t="shared" si="66"/>
        <v>56042.531900000009</v>
      </c>
      <c r="BC101" s="291">
        <f t="shared" si="67"/>
        <v>54718</v>
      </c>
      <c r="BD101" s="298"/>
      <c r="BE101" s="291">
        <f t="shared" si="39"/>
        <v>59520.723400000003</v>
      </c>
      <c r="BF101" s="291">
        <f t="shared" si="39"/>
        <v>58825.085100000004</v>
      </c>
      <c r="BG101" s="291">
        <f t="shared" si="38"/>
        <v>58129.446800000005</v>
      </c>
      <c r="BH101" s="291">
        <f t="shared" si="38"/>
        <v>57433.808500000006</v>
      </c>
      <c r="BI101" s="291">
        <f t="shared" si="38"/>
        <v>56738.170200000008</v>
      </c>
      <c r="BJ101" s="291">
        <f t="shared" si="38"/>
        <v>56042.531900000009</v>
      </c>
      <c r="BK101" s="291">
        <f t="shared" si="38"/>
        <v>54718</v>
      </c>
      <c r="BL101" s="298"/>
      <c r="BM101" s="298"/>
      <c r="BN101" s="298"/>
      <c r="BO101" s="298"/>
    </row>
    <row r="102" spans="1:67" x14ac:dyDescent="0.15">
      <c r="A102" s="10" t="s">
        <v>10</v>
      </c>
      <c r="B102" s="10"/>
      <c r="C102" s="276"/>
      <c r="D102" s="276" t="str">
        <f t="shared" si="57"/>
        <v>No</v>
      </c>
      <c r="E102" s="276"/>
      <c r="F102" s="276"/>
      <c r="G102" s="8">
        <v>2</v>
      </c>
      <c r="H102" s="1">
        <v>144</v>
      </c>
      <c r="I102" s="10">
        <v>76</v>
      </c>
      <c r="J102" s="7" t="s">
        <v>88</v>
      </c>
      <c r="K102" s="287"/>
      <c r="L102" s="1">
        <v>2625.47</v>
      </c>
      <c r="M102" s="288"/>
      <c r="N102" s="289"/>
      <c r="O102" s="1">
        <v>99</v>
      </c>
      <c r="P102" s="290">
        <f t="shared" si="40"/>
        <v>3.7707534270054507E-2</v>
      </c>
      <c r="Q102" s="290">
        <f t="shared" si="41"/>
        <v>0</v>
      </c>
      <c r="R102" s="291">
        <f t="shared" si="42"/>
        <v>0</v>
      </c>
      <c r="S102" s="291">
        <f t="shared" si="58"/>
        <v>0</v>
      </c>
      <c r="T102" s="1">
        <v>37</v>
      </c>
      <c r="U102" s="1">
        <f t="shared" si="59"/>
        <v>5.55</v>
      </c>
      <c r="V102" s="292">
        <f t="shared" si="43"/>
        <v>29.7</v>
      </c>
      <c r="W102" s="254">
        <f t="shared" si="44"/>
        <v>2660.72</v>
      </c>
      <c r="X102" s="1">
        <v>4227313659.6700001</v>
      </c>
      <c r="Y102" s="1">
        <v>18196</v>
      </c>
      <c r="Z102" s="264">
        <f t="shared" si="45"/>
        <v>232321.04</v>
      </c>
      <c r="AA102" s="293">
        <f t="shared" si="46"/>
        <v>1.244354</v>
      </c>
      <c r="AB102" s="1">
        <v>108167</v>
      </c>
      <c r="AC102" s="293">
        <f t="shared" si="47"/>
        <v>0.939361</v>
      </c>
      <c r="AD102" s="293">
        <f t="shared" si="48"/>
        <v>-0.15285599999999999</v>
      </c>
      <c r="AE102" s="294">
        <f t="shared" si="49"/>
        <v>0.01</v>
      </c>
      <c r="AF102" s="295">
        <f t="shared" si="60"/>
        <v>0</v>
      </c>
      <c r="AG102" s="296">
        <f t="shared" si="61"/>
        <v>0.01</v>
      </c>
      <c r="AH102" s="1">
        <v>0</v>
      </c>
      <c r="AI102" s="1">
        <v>0</v>
      </c>
      <c r="AJ102" s="254">
        <f t="shared" si="50"/>
        <v>0</v>
      </c>
      <c r="AK102" s="9">
        <f t="shared" si="51"/>
        <v>0</v>
      </c>
      <c r="AL102" s="9">
        <f t="shared" si="52"/>
        <v>306648</v>
      </c>
      <c r="AM102" s="9">
        <f t="shared" si="53"/>
        <v>306648</v>
      </c>
      <c r="AN102" s="9">
        <f t="shared" si="62"/>
        <v>306648</v>
      </c>
      <c r="AO102" s="291">
        <v>446496</v>
      </c>
      <c r="AP102" s="9">
        <f t="shared" si="63"/>
        <v>139848</v>
      </c>
      <c r="AQ102" s="297" t="str">
        <f t="shared" si="64"/>
        <v>No</v>
      </c>
      <c r="AR102" s="291">
        <v>407115</v>
      </c>
      <c r="AS102" s="291">
        <f t="shared" si="54"/>
        <v>11649.338400000001</v>
      </c>
      <c r="AT102" s="291">
        <f t="shared" si="55"/>
        <v>395465.66159999999</v>
      </c>
      <c r="AU102" s="291">
        <f t="shared" si="56"/>
        <v>395465.66159999999</v>
      </c>
      <c r="AV102" s="291"/>
      <c r="AW102" s="291">
        <f t="shared" si="65"/>
        <v>383816.32319999998</v>
      </c>
      <c r="AX102" s="291">
        <f t="shared" si="66"/>
        <v>372166.98479999998</v>
      </c>
      <c r="AY102" s="291">
        <f t="shared" si="66"/>
        <v>360517.64639999997</v>
      </c>
      <c r="AZ102" s="291">
        <f t="shared" si="66"/>
        <v>348868.30799999996</v>
      </c>
      <c r="BA102" s="291">
        <f t="shared" si="66"/>
        <v>337218.96959999995</v>
      </c>
      <c r="BB102" s="291">
        <f t="shared" si="66"/>
        <v>325569.63119999995</v>
      </c>
      <c r="BC102" s="291">
        <f t="shared" si="67"/>
        <v>306648</v>
      </c>
      <c r="BD102" s="298"/>
      <c r="BE102" s="291">
        <f t="shared" si="39"/>
        <v>383816.32319999998</v>
      </c>
      <c r="BF102" s="291">
        <f t="shared" si="39"/>
        <v>372166.98479999998</v>
      </c>
      <c r="BG102" s="291">
        <f t="shared" si="38"/>
        <v>360517.64639999997</v>
      </c>
      <c r="BH102" s="291">
        <f t="shared" si="38"/>
        <v>348868.30799999996</v>
      </c>
      <c r="BI102" s="291">
        <f t="shared" si="38"/>
        <v>337218.96959999995</v>
      </c>
      <c r="BJ102" s="291">
        <f t="shared" si="38"/>
        <v>325569.63119999995</v>
      </c>
      <c r="BK102" s="291">
        <f t="shared" si="38"/>
        <v>306648</v>
      </c>
      <c r="BL102" s="298"/>
      <c r="BM102" s="298"/>
      <c r="BN102" s="298"/>
      <c r="BO102" s="298"/>
    </row>
    <row r="103" spans="1:67" x14ac:dyDescent="0.15">
      <c r="A103" s="10" t="s">
        <v>19</v>
      </c>
      <c r="B103" s="10"/>
      <c r="C103" s="276">
        <v>1</v>
      </c>
      <c r="D103" s="276" t="str">
        <f t="shared" si="57"/>
        <v>Yes</v>
      </c>
      <c r="E103" s="276">
        <v>1</v>
      </c>
      <c r="F103" s="276"/>
      <c r="G103" s="8">
        <v>9</v>
      </c>
      <c r="H103" s="1">
        <v>17</v>
      </c>
      <c r="I103" s="10">
        <v>77</v>
      </c>
      <c r="J103" s="7" t="s">
        <v>89</v>
      </c>
      <c r="K103" s="287"/>
      <c r="L103" s="1">
        <v>7651.26</v>
      </c>
      <c r="M103" s="300"/>
      <c r="N103" s="289"/>
      <c r="O103" s="1">
        <v>4673</v>
      </c>
      <c r="P103" s="290">
        <f t="shared" si="40"/>
        <v>0.61074907923662247</v>
      </c>
      <c r="Q103" s="290">
        <f t="shared" si="41"/>
        <v>0</v>
      </c>
      <c r="R103" s="291">
        <f t="shared" si="42"/>
        <v>0</v>
      </c>
      <c r="S103" s="291">
        <f t="shared" si="58"/>
        <v>0</v>
      </c>
      <c r="T103" s="1">
        <v>531</v>
      </c>
      <c r="U103" s="1">
        <f t="shared" si="59"/>
        <v>79.649999999999991</v>
      </c>
      <c r="V103" s="292">
        <f t="shared" si="43"/>
        <v>1401.9</v>
      </c>
      <c r="W103" s="254">
        <f t="shared" si="44"/>
        <v>9132.81</v>
      </c>
      <c r="X103" s="1">
        <v>5813992039.6700001</v>
      </c>
      <c r="Y103" s="1">
        <v>57932</v>
      </c>
      <c r="Z103" s="264">
        <f t="shared" si="45"/>
        <v>100358.9</v>
      </c>
      <c r="AA103" s="293">
        <f t="shared" si="46"/>
        <v>0.53754000000000002</v>
      </c>
      <c r="AB103" s="1">
        <v>67325</v>
      </c>
      <c r="AC103" s="293">
        <f t="shared" si="47"/>
        <v>0.58467400000000003</v>
      </c>
      <c r="AD103" s="293">
        <f t="shared" si="48"/>
        <v>0.44832</v>
      </c>
      <c r="AE103" s="294">
        <f t="shared" si="49"/>
        <v>0.44832</v>
      </c>
      <c r="AF103" s="295">
        <f t="shared" si="60"/>
        <v>0.03</v>
      </c>
      <c r="AG103" s="296">
        <f t="shared" si="61"/>
        <v>0.47831999999999997</v>
      </c>
      <c r="AH103" s="1">
        <v>0</v>
      </c>
      <c r="AI103" s="1">
        <v>0</v>
      </c>
      <c r="AJ103" s="254">
        <f t="shared" si="50"/>
        <v>0</v>
      </c>
      <c r="AK103" s="9">
        <f t="shared" si="51"/>
        <v>0</v>
      </c>
      <c r="AL103" s="9">
        <f t="shared" si="52"/>
        <v>50345875</v>
      </c>
      <c r="AM103" s="9">
        <f t="shared" si="53"/>
        <v>50345875</v>
      </c>
      <c r="AN103" s="9">
        <f t="shared" si="62"/>
        <v>50345875</v>
      </c>
      <c r="AO103" s="291">
        <v>34440424</v>
      </c>
      <c r="AP103" s="9">
        <f t="shared" si="63"/>
        <v>15905451</v>
      </c>
      <c r="AQ103" s="297" t="str">
        <f t="shared" si="64"/>
        <v>Yes</v>
      </c>
      <c r="AR103" s="291">
        <v>36555957</v>
      </c>
      <c r="AS103" s="291">
        <f t="shared" si="54"/>
        <v>1695521.0766</v>
      </c>
      <c r="AT103" s="291">
        <f t="shared" si="55"/>
        <v>38251478.0766</v>
      </c>
      <c r="AU103" s="291">
        <f t="shared" si="56"/>
        <v>38251478.0766</v>
      </c>
      <c r="AV103" s="291"/>
      <c r="AW103" s="291">
        <f t="shared" si="65"/>
        <v>39946999.153200001</v>
      </c>
      <c r="AX103" s="291">
        <f t="shared" si="66"/>
        <v>41642520.229800001</v>
      </c>
      <c r="AY103" s="291">
        <f t="shared" si="66"/>
        <v>43338041.306400001</v>
      </c>
      <c r="AZ103" s="291">
        <f t="shared" si="66"/>
        <v>45033562.383000001</v>
      </c>
      <c r="BA103" s="291">
        <f t="shared" si="66"/>
        <v>46729083.459600002</v>
      </c>
      <c r="BB103" s="291">
        <f t="shared" si="66"/>
        <v>48424604.536200002</v>
      </c>
      <c r="BC103" s="291">
        <f t="shared" si="67"/>
        <v>50345875</v>
      </c>
      <c r="BD103" s="298"/>
      <c r="BE103" s="291">
        <f t="shared" si="39"/>
        <v>39946999.153200001</v>
      </c>
      <c r="BF103" s="291">
        <f t="shared" si="39"/>
        <v>41642520.229800001</v>
      </c>
      <c r="BG103" s="291">
        <f t="shared" si="38"/>
        <v>43338041.306400001</v>
      </c>
      <c r="BH103" s="291">
        <f t="shared" si="38"/>
        <v>45033562.383000001</v>
      </c>
      <c r="BI103" s="291">
        <f t="shared" si="38"/>
        <v>46729083.459600002</v>
      </c>
      <c r="BJ103" s="291">
        <f t="shared" si="38"/>
        <v>48424604.536200002</v>
      </c>
      <c r="BK103" s="291">
        <f t="shared" si="38"/>
        <v>50345875</v>
      </c>
      <c r="BL103" s="298"/>
      <c r="BM103" s="298"/>
      <c r="BN103" s="298"/>
      <c r="BO103" s="298"/>
    </row>
    <row r="104" spans="1:67" x14ac:dyDescent="0.15">
      <c r="A104" s="10" t="s">
        <v>4</v>
      </c>
      <c r="B104" s="10"/>
      <c r="C104" s="276"/>
      <c r="D104" s="276" t="str">
        <f t="shared" si="57"/>
        <v>No</v>
      </c>
      <c r="E104" s="276"/>
      <c r="F104" s="276"/>
      <c r="G104" s="8">
        <v>8</v>
      </c>
      <c r="H104" s="1">
        <v>38</v>
      </c>
      <c r="I104" s="10">
        <v>78</v>
      </c>
      <c r="J104" s="7" t="s">
        <v>90</v>
      </c>
      <c r="K104" s="287"/>
      <c r="L104" s="1">
        <v>1679.67</v>
      </c>
      <c r="M104" s="300"/>
      <c r="N104" s="289"/>
      <c r="O104" s="1">
        <v>483</v>
      </c>
      <c r="P104" s="290">
        <f t="shared" si="40"/>
        <v>0.28755648430941788</v>
      </c>
      <c r="Q104" s="290">
        <f t="shared" si="41"/>
        <v>0</v>
      </c>
      <c r="R104" s="291">
        <f t="shared" si="42"/>
        <v>0</v>
      </c>
      <c r="S104" s="291">
        <f t="shared" si="58"/>
        <v>0</v>
      </c>
      <c r="T104" s="1">
        <v>57</v>
      </c>
      <c r="U104" s="1">
        <f t="shared" si="59"/>
        <v>8.5499999999999989</v>
      </c>
      <c r="V104" s="292">
        <f t="shared" si="43"/>
        <v>144.9</v>
      </c>
      <c r="W104" s="254">
        <f t="shared" si="44"/>
        <v>1833.1200000000001</v>
      </c>
      <c r="X104" s="1">
        <v>1586317025.6700001</v>
      </c>
      <c r="Y104" s="1">
        <v>13695</v>
      </c>
      <c r="Z104" s="264">
        <f t="shared" si="45"/>
        <v>115831.84</v>
      </c>
      <c r="AA104" s="293">
        <f t="shared" si="46"/>
        <v>0.62041599999999997</v>
      </c>
      <c r="AB104" s="1">
        <v>58819</v>
      </c>
      <c r="AC104" s="293">
        <f t="shared" si="47"/>
        <v>0.51080499999999995</v>
      </c>
      <c r="AD104" s="293">
        <f t="shared" si="48"/>
        <v>0.41246699999999997</v>
      </c>
      <c r="AE104" s="294">
        <f t="shared" si="49"/>
        <v>0.41246699999999997</v>
      </c>
      <c r="AF104" s="295">
        <f t="shared" si="60"/>
        <v>0</v>
      </c>
      <c r="AG104" s="296">
        <f t="shared" si="61"/>
        <v>0.41246699999999997</v>
      </c>
      <c r="AH104" s="1">
        <v>532</v>
      </c>
      <c r="AI104" s="1">
        <v>4</v>
      </c>
      <c r="AJ104" s="254">
        <f t="shared" si="50"/>
        <v>30.77</v>
      </c>
      <c r="AK104" s="9">
        <f t="shared" si="51"/>
        <v>16370</v>
      </c>
      <c r="AL104" s="9">
        <f t="shared" si="52"/>
        <v>8714070</v>
      </c>
      <c r="AM104" s="9">
        <f t="shared" si="53"/>
        <v>8730440</v>
      </c>
      <c r="AN104" s="9">
        <f t="shared" si="62"/>
        <v>8730440</v>
      </c>
      <c r="AO104" s="291">
        <v>9947410</v>
      </c>
      <c r="AP104" s="9">
        <f t="shared" si="63"/>
        <v>1216970</v>
      </c>
      <c r="AQ104" s="297" t="str">
        <f t="shared" si="64"/>
        <v>No</v>
      </c>
      <c r="AR104" s="291">
        <v>9561096</v>
      </c>
      <c r="AS104" s="291">
        <f t="shared" si="54"/>
        <v>101373.601</v>
      </c>
      <c r="AT104" s="291">
        <f t="shared" si="55"/>
        <v>9459722.3990000002</v>
      </c>
      <c r="AU104" s="291">
        <f t="shared" si="56"/>
        <v>9459722.3990000002</v>
      </c>
      <c r="AV104" s="291"/>
      <c r="AW104" s="291">
        <f t="shared" si="65"/>
        <v>9358348.7980000004</v>
      </c>
      <c r="AX104" s="291">
        <f t="shared" si="66"/>
        <v>9256975.1970000006</v>
      </c>
      <c r="AY104" s="291">
        <f t="shared" si="66"/>
        <v>9155601.5960000008</v>
      </c>
      <c r="AZ104" s="291">
        <f t="shared" si="66"/>
        <v>9054227.995000001</v>
      </c>
      <c r="BA104" s="291">
        <f t="shared" si="66"/>
        <v>8952854.3940000013</v>
      </c>
      <c r="BB104" s="291">
        <f t="shared" si="66"/>
        <v>8851480.7930000015</v>
      </c>
      <c r="BC104" s="291">
        <f t="shared" si="67"/>
        <v>8730440</v>
      </c>
      <c r="BD104" s="298"/>
      <c r="BE104" s="291">
        <f t="shared" si="39"/>
        <v>9358348.7980000004</v>
      </c>
      <c r="BF104" s="291">
        <f t="shared" si="39"/>
        <v>9256975.1970000006</v>
      </c>
      <c r="BG104" s="291">
        <f t="shared" si="38"/>
        <v>9155601.5960000008</v>
      </c>
      <c r="BH104" s="291">
        <f t="shared" si="38"/>
        <v>9054227.995000001</v>
      </c>
      <c r="BI104" s="291">
        <f t="shared" si="38"/>
        <v>8952854.3940000013</v>
      </c>
      <c r="BJ104" s="291">
        <f t="shared" si="38"/>
        <v>8851480.7930000015</v>
      </c>
      <c r="BK104" s="291">
        <f t="shared" si="38"/>
        <v>8730440</v>
      </c>
      <c r="BL104" s="298"/>
      <c r="BM104" s="298"/>
      <c r="BN104" s="298"/>
      <c r="BO104" s="298"/>
    </row>
    <row r="105" spans="1:67" x14ac:dyDescent="0.15">
      <c r="A105" s="10" t="s">
        <v>4</v>
      </c>
      <c r="B105" s="10"/>
      <c r="C105" s="276"/>
      <c r="D105" s="276" t="str">
        <f t="shared" si="57"/>
        <v>No</v>
      </c>
      <c r="E105" s="276"/>
      <c r="F105" s="276"/>
      <c r="G105" s="8">
        <v>4</v>
      </c>
      <c r="H105" s="1">
        <v>68</v>
      </c>
      <c r="I105" s="10">
        <v>79</v>
      </c>
      <c r="J105" s="7" t="s">
        <v>91</v>
      </c>
      <c r="K105" s="287"/>
      <c r="L105" s="1">
        <v>987.5</v>
      </c>
      <c r="M105" s="288"/>
      <c r="N105" s="289"/>
      <c r="O105" s="1">
        <v>154</v>
      </c>
      <c r="P105" s="290">
        <f t="shared" si="40"/>
        <v>0.1559493670886076</v>
      </c>
      <c r="Q105" s="290">
        <f t="shared" si="41"/>
        <v>0</v>
      </c>
      <c r="R105" s="291">
        <f t="shared" si="42"/>
        <v>0</v>
      </c>
      <c r="S105" s="291">
        <f t="shared" si="58"/>
        <v>0</v>
      </c>
      <c r="T105" s="1">
        <v>9</v>
      </c>
      <c r="U105" s="1">
        <f t="shared" si="59"/>
        <v>1.3499999999999999</v>
      </c>
      <c r="V105" s="292">
        <f t="shared" si="43"/>
        <v>46.2</v>
      </c>
      <c r="W105" s="254">
        <f t="shared" si="44"/>
        <v>1035.05</v>
      </c>
      <c r="X105" s="1">
        <v>852243455.66999996</v>
      </c>
      <c r="Y105" s="1">
        <v>6397</v>
      </c>
      <c r="Z105" s="264">
        <f t="shared" si="45"/>
        <v>133225.49</v>
      </c>
      <c r="AA105" s="293">
        <f t="shared" si="46"/>
        <v>0.71357999999999999</v>
      </c>
      <c r="AB105" s="1">
        <v>110250</v>
      </c>
      <c r="AC105" s="293">
        <f t="shared" si="47"/>
        <v>0.95745000000000002</v>
      </c>
      <c r="AD105" s="293">
        <f t="shared" si="48"/>
        <v>0.213259</v>
      </c>
      <c r="AE105" s="294">
        <f t="shared" si="49"/>
        <v>0.213259</v>
      </c>
      <c r="AF105" s="295">
        <f t="shared" si="60"/>
        <v>0</v>
      </c>
      <c r="AG105" s="296">
        <f t="shared" si="61"/>
        <v>0.213259</v>
      </c>
      <c r="AH105" s="1">
        <v>514</v>
      </c>
      <c r="AI105" s="1">
        <v>6</v>
      </c>
      <c r="AJ105" s="254">
        <f t="shared" si="50"/>
        <v>46.15</v>
      </c>
      <c r="AK105" s="9">
        <f t="shared" si="51"/>
        <v>23721</v>
      </c>
      <c r="AL105" s="9">
        <f t="shared" si="52"/>
        <v>2543956</v>
      </c>
      <c r="AM105" s="9">
        <f t="shared" si="53"/>
        <v>2567677</v>
      </c>
      <c r="AN105" s="9">
        <f t="shared" si="62"/>
        <v>2567677</v>
      </c>
      <c r="AO105" s="291">
        <v>3154015</v>
      </c>
      <c r="AP105" s="9">
        <f t="shared" si="63"/>
        <v>586338</v>
      </c>
      <c r="AQ105" s="297" t="str">
        <f t="shared" si="64"/>
        <v>No</v>
      </c>
      <c r="AR105" s="291">
        <v>2951181</v>
      </c>
      <c r="AS105" s="291">
        <f t="shared" si="54"/>
        <v>48841.955399999999</v>
      </c>
      <c r="AT105" s="291">
        <f t="shared" si="55"/>
        <v>2902339.0446000001</v>
      </c>
      <c r="AU105" s="291">
        <f t="shared" si="56"/>
        <v>2902339.0446000001</v>
      </c>
      <c r="AV105" s="291"/>
      <c r="AW105" s="291">
        <f t="shared" si="65"/>
        <v>2853497.0892000003</v>
      </c>
      <c r="AX105" s="291">
        <f t="shared" si="66"/>
        <v>2804655.1338000004</v>
      </c>
      <c r="AY105" s="291">
        <f t="shared" si="66"/>
        <v>2755813.1784000006</v>
      </c>
      <c r="AZ105" s="291">
        <f t="shared" si="66"/>
        <v>2706971.2230000007</v>
      </c>
      <c r="BA105" s="291">
        <f t="shared" si="66"/>
        <v>2658129.2676000008</v>
      </c>
      <c r="BB105" s="291">
        <f t="shared" si="66"/>
        <v>2609287.312200001</v>
      </c>
      <c r="BC105" s="291">
        <f t="shared" si="67"/>
        <v>2567677</v>
      </c>
      <c r="BD105" s="298"/>
      <c r="BE105" s="291">
        <f t="shared" si="39"/>
        <v>2853497.0892000003</v>
      </c>
      <c r="BF105" s="291">
        <f t="shared" si="39"/>
        <v>2804655.1338000004</v>
      </c>
      <c r="BG105" s="291">
        <f t="shared" si="38"/>
        <v>2755813.1784000006</v>
      </c>
      <c r="BH105" s="291">
        <f t="shared" si="38"/>
        <v>2706971.2230000007</v>
      </c>
      <c r="BI105" s="291">
        <f t="shared" si="38"/>
        <v>2658129.2676000008</v>
      </c>
      <c r="BJ105" s="291">
        <f t="shared" si="38"/>
        <v>2609287.312200001</v>
      </c>
      <c r="BK105" s="291">
        <f t="shared" si="38"/>
        <v>2567677</v>
      </c>
      <c r="BL105" s="298"/>
      <c r="BM105" s="298"/>
      <c r="BN105" s="298"/>
      <c r="BO105" s="298"/>
    </row>
    <row r="106" spans="1:67" x14ac:dyDescent="0.15">
      <c r="A106" s="10" t="s">
        <v>6</v>
      </c>
      <c r="B106" s="10">
        <v>1</v>
      </c>
      <c r="C106" s="276">
        <v>1</v>
      </c>
      <c r="D106" s="276" t="str">
        <f t="shared" si="57"/>
        <v>Yes</v>
      </c>
      <c r="E106" s="276">
        <v>0</v>
      </c>
      <c r="F106" s="276">
        <v>1</v>
      </c>
      <c r="G106" s="8">
        <v>10</v>
      </c>
      <c r="H106" s="1">
        <v>10</v>
      </c>
      <c r="I106" s="10">
        <v>80</v>
      </c>
      <c r="J106" s="7" t="s">
        <v>92</v>
      </c>
      <c r="K106" s="287"/>
      <c r="L106" s="1">
        <v>8950.7900000000009</v>
      </c>
      <c r="M106" s="300"/>
      <c r="N106" s="289"/>
      <c r="O106" s="1">
        <v>6802</v>
      </c>
      <c r="P106" s="290">
        <f t="shared" si="40"/>
        <v>0.75993292212195784</v>
      </c>
      <c r="Q106" s="290">
        <f t="shared" si="41"/>
        <v>9.9329221219578434E-3</v>
      </c>
      <c r="R106" s="291">
        <f t="shared" si="42"/>
        <v>88.907499999999061</v>
      </c>
      <c r="S106" s="291">
        <f t="shared" si="58"/>
        <v>4.4453749999999532</v>
      </c>
      <c r="T106" s="1">
        <v>1447</v>
      </c>
      <c r="U106" s="1">
        <f t="shared" si="59"/>
        <v>217.04999999999998</v>
      </c>
      <c r="V106" s="292">
        <f t="shared" si="43"/>
        <v>2040.6</v>
      </c>
      <c r="W106" s="254">
        <f t="shared" si="44"/>
        <v>11212.885375</v>
      </c>
      <c r="X106" s="1">
        <v>4581030517.6700001</v>
      </c>
      <c r="Y106" s="1">
        <v>59927</v>
      </c>
      <c r="Z106" s="264">
        <f t="shared" si="45"/>
        <v>76443.509999999995</v>
      </c>
      <c r="AA106" s="293">
        <f t="shared" si="46"/>
        <v>0.409445</v>
      </c>
      <c r="AB106" s="1">
        <v>57350</v>
      </c>
      <c r="AC106" s="293">
        <f t="shared" si="47"/>
        <v>0.49804799999999999</v>
      </c>
      <c r="AD106" s="293">
        <f t="shared" si="48"/>
        <v>0.56397399999999998</v>
      </c>
      <c r="AE106" s="294">
        <f t="shared" si="49"/>
        <v>0.56397399999999998</v>
      </c>
      <c r="AF106" s="295">
        <f t="shared" si="60"/>
        <v>0.05</v>
      </c>
      <c r="AG106" s="296">
        <f t="shared" si="61"/>
        <v>0.61397400000000002</v>
      </c>
      <c r="AH106" s="1">
        <v>0</v>
      </c>
      <c r="AI106" s="1">
        <v>0</v>
      </c>
      <c r="AJ106" s="254">
        <f t="shared" si="50"/>
        <v>0</v>
      </c>
      <c r="AK106" s="9">
        <f t="shared" si="51"/>
        <v>0</v>
      </c>
      <c r="AL106" s="9">
        <f t="shared" si="52"/>
        <v>79342941</v>
      </c>
      <c r="AM106" s="9">
        <f t="shared" si="53"/>
        <v>79342941</v>
      </c>
      <c r="AN106" s="9">
        <f t="shared" si="62"/>
        <v>79342941</v>
      </c>
      <c r="AO106" s="291">
        <v>60258395</v>
      </c>
      <c r="AP106" s="9">
        <f t="shared" si="63"/>
        <v>19084546</v>
      </c>
      <c r="AQ106" s="297" t="str">
        <f t="shared" si="64"/>
        <v>Yes</v>
      </c>
      <c r="AR106" s="291">
        <v>62740126</v>
      </c>
      <c r="AS106" s="291">
        <f t="shared" si="54"/>
        <v>2034412.6036</v>
      </c>
      <c r="AT106" s="291">
        <f t="shared" si="55"/>
        <v>64774538.603600003</v>
      </c>
      <c r="AU106" s="291">
        <f t="shared" si="56"/>
        <v>64774538.603600003</v>
      </c>
      <c r="AV106" s="291"/>
      <c r="AW106" s="291">
        <f t="shared" si="65"/>
        <v>66808951.207200006</v>
      </c>
      <c r="AX106" s="291">
        <f t="shared" si="66"/>
        <v>68843363.810800001</v>
      </c>
      <c r="AY106" s="291">
        <f t="shared" si="66"/>
        <v>70877776.414399996</v>
      </c>
      <c r="AZ106" s="291">
        <f t="shared" si="66"/>
        <v>72912189.017999992</v>
      </c>
      <c r="BA106" s="291">
        <f t="shared" si="66"/>
        <v>74946601.621599987</v>
      </c>
      <c r="BB106" s="291">
        <f t="shared" si="66"/>
        <v>76981014.225199983</v>
      </c>
      <c r="BC106" s="291">
        <f t="shared" si="67"/>
        <v>79342941</v>
      </c>
      <c r="BD106" s="298"/>
      <c r="BE106" s="291">
        <f t="shared" si="39"/>
        <v>66808951.207200006</v>
      </c>
      <c r="BF106" s="291">
        <f t="shared" si="39"/>
        <v>68843363.810800001</v>
      </c>
      <c r="BG106" s="291">
        <f t="shared" si="38"/>
        <v>70877776.414399996</v>
      </c>
      <c r="BH106" s="291">
        <f t="shared" si="38"/>
        <v>72912189.017999992</v>
      </c>
      <c r="BI106" s="291">
        <f t="shared" si="38"/>
        <v>74946601.621599987</v>
      </c>
      <c r="BJ106" s="291">
        <f t="shared" si="38"/>
        <v>76981014.225199983</v>
      </c>
      <c r="BK106" s="291">
        <f t="shared" si="38"/>
        <v>79342941</v>
      </c>
      <c r="BL106" s="298"/>
      <c r="BM106" s="298"/>
      <c r="BN106" s="298"/>
      <c r="BO106" s="298"/>
    </row>
    <row r="107" spans="1:67" x14ac:dyDescent="0.15">
      <c r="A107" s="10" t="s">
        <v>10</v>
      </c>
      <c r="B107" s="10"/>
      <c r="C107" s="276"/>
      <c r="D107" s="276" t="str">
        <f t="shared" si="57"/>
        <v>No</v>
      </c>
      <c r="E107" s="276"/>
      <c r="F107" s="276"/>
      <c r="G107" s="8">
        <v>3</v>
      </c>
      <c r="H107" s="1">
        <v>113</v>
      </c>
      <c r="I107" s="10">
        <v>81</v>
      </c>
      <c r="J107" s="7" t="s">
        <v>93</v>
      </c>
      <c r="K107" s="287"/>
      <c r="L107" s="1">
        <v>1273.73</v>
      </c>
      <c r="M107" s="288"/>
      <c r="N107" s="289"/>
      <c r="O107" s="1">
        <v>190</v>
      </c>
      <c r="P107" s="290">
        <f t="shared" si="40"/>
        <v>0.14916819106089987</v>
      </c>
      <c r="Q107" s="290">
        <f t="shared" si="41"/>
        <v>0</v>
      </c>
      <c r="R107" s="291">
        <f t="shared" si="42"/>
        <v>0</v>
      </c>
      <c r="S107" s="291">
        <f t="shared" si="58"/>
        <v>0</v>
      </c>
      <c r="T107" s="1">
        <v>24</v>
      </c>
      <c r="U107" s="1">
        <f t="shared" si="59"/>
        <v>3.5999999999999996</v>
      </c>
      <c r="V107" s="292">
        <f t="shared" si="43"/>
        <v>57</v>
      </c>
      <c r="W107" s="254">
        <f t="shared" si="44"/>
        <v>1334.33</v>
      </c>
      <c r="X107" s="1">
        <v>1365581099</v>
      </c>
      <c r="Y107" s="1">
        <v>7725</v>
      </c>
      <c r="Z107" s="264">
        <f t="shared" si="45"/>
        <v>176774.25</v>
      </c>
      <c r="AA107" s="293">
        <f t="shared" si="46"/>
        <v>0.94683499999999998</v>
      </c>
      <c r="AB107" s="1">
        <v>105036</v>
      </c>
      <c r="AC107" s="293">
        <f t="shared" si="47"/>
        <v>0.91217000000000004</v>
      </c>
      <c r="AD107" s="293">
        <f t="shared" si="48"/>
        <v>6.3564999999999997E-2</v>
      </c>
      <c r="AE107" s="294">
        <f t="shared" si="49"/>
        <v>6.3564999999999997E-2</v>
      </c>
      <c r="AF107" s="295">
        <f t="shared" si="60"/>
        <v>0</v>
      </c>
      <c r="AG107" s="296">
        <f t="shared" si="61"/>
        <v>6.3564999999999997E-2</v>
      </c>
      <c r="AH107" s="1">
        <v>1274</v>
      </c>
      <c r="AI107" s="1">
        <v>13</v>
      </c>
      <c r="AJ107" s="254">
        <f t="shared" si="50"/>
        <v>100</v>
      </c>
      <c r="AK107" s="9">
        <f t="shared" si="51"/>
        <v>127400</v>
      </c>
      <c r="AL107" s="9">
        <f t="shared" si="52"/>
        <v>977512</v>
      </c>
      <c r="AM107" s="9">
        <f t="shared" si="53"/>
        <v>1104912</v>
      </c>
      <c r="AN107" s="9">
        <f t="shared" si="62"/>
        <v>1104912</v>
      </c>
      <c r="AO107" s="291">
        <v>855086</v>
      </c>
      <c r="AP107" s="9">
        <f t="shared" si="63"/>
        <v>249826</v>
      </c>
      <c r="AQ107" s="297" t="str">
        <f t="shared" si="64"/>
        <v>Yes</v>
      </c>
      <c r="AR107" s="291">
        <v>821127</v>
      </c>
      <c r="AS107" s="291">
        <f t="shared" si="54"/>
        <v>26631.4516</v>
      </c>
      <c r="AT107" s="291">
        <f t="shared" si="55"/>
        <v>847758.45160000003</v>
      </c>
      <c r="AU107" s="291">
        <f t="shared" si="56"/>
        <v>847758.45160000003</v>
      </c>
      <c r="AV107" s="291"/>
      <c r="AW107" s="291">
        <f t="shared" si="65"/>
        <v>874389.90320000006</v>
      </c>
      <c r="AX107" s="291">
        <f t="shared" si="66"/>
        <v>901021.35480000009</v>
      </c>
      <c r="AY107" s="291">
        <f t="shared" si="66"/>
        <v>927652.80640000012</v>
      </c>
      <c r="AZ107" s="291">
        <f t="shared" si="66"/>
        <v>954284.25800000015</v>
      </c>
      <c r="BA107" s="291">
        <f t="shared" si="66"/>
        <v>980915.70960000018</v>
      </c>
      <c r="BB107" s="291">
        <f t="shared" si="66"/>
        <v>1007547.1612000002</v>
      </c>
      <c r="BC107" s="291">
        <f t="shared" si="67"/>
        <v>1104912</v>
      </c>
      <c r="BD107" s="298"/>
      <c r="BE107" s="291">
        <f t="shared" si="39"/>
        <v>874389.90320000006</v>
      </c>
      <c r="BF107" s="291">
        <f t="shared" si="39"/>
        <v>901021.35480000009</v>
      </c>
      <c r="BG107" s="291">
        <f t="shared" si="38"/>
        <v>927652.80640000012</v>
      </c>
      <c r="BH107" s="291">
        <f t="shared" si="38"/>
        <v>954284.25800000015</v>
      </c>
      <c r="BI107" s="291">
        <f t="shared" si="38"/>
        <v>980915.70960000018</v>
      </c>
      <c r="BJ107" s="291">
        <f t="shared" si="38"/>
        <v>1007547.1612000002</v>
      </c>
      <c r="BK107" s="291">
        <f t="shared" si="38"/>
        <v>1104912</v>
      </c>
      <c r="BL107" s="298"/>
      <c r="BM107" s="298"/>
      <c r="BN107" s="298"/>
      <c r="BO107" s="298"/>
    </row>
    <row r="108" spans="1:67" x14ac:dyDescent="0.15">
      <c r="A108" s="10" t="s">
        <v>4</v>
      </c>
      <c r="B108" s="10"/>
      <c r="C108" s="276"/>
      <c r="D108" s="276" t="str">
        <f t="shared" si="57"/>
        <v>No</v>
      </c>
      <c r="E108" s="276"/>
      <c r="F108" s="276"/>
      <c r="G108" s="8">
        <v>6</v>
      </c>
      <c r="H108" s="1">
        <v>64</v>
      </c>
      <c r="I108" s="10">
        <v>82</v>
      </c>
      <c r="J108" s="7" t="s">
        <v>94</v>
      </c>
      <c r="K108" s="287"/>
      <c r="L108" s="1">
        <v>519.24</v>
      </c>
      <c r="M108" s="288"/>
      <c r="N108" s="289"/>
      <c r="O108" s="1">
        <v>95</v>
      </c>
      <c r="P108" s="290">
        <f t="shared" si="40"/>
        <v>0.18295971034589015</v>
      </c>
      <c r="Q108" s="290">
        <f t="shared" si="41"/>
        <v>0</v>
      </c>
      <c r="R108" s="291">
        <f t="shared" si="42"/>
        <v>0</v>
      </c>
      <c r="S108" s="291">
        <f t="shared" si="58"/>
        <v>0</v>
      </c>
      <c r="T108" s="1">
        <v>4</v>
      </c>
      <c r="U108" s="1">
        <f t="shared" si="59"/>
        <v>0.6</v>
      </c>
      <c r="V108" s="292">
        <f t="shared" si="43"/>
        <v>28.5</v>
      </c>
      <c r="W108" s="254">
        <f t="shared" si="44"/>
        <v>548.34</v>
      </c>
      <c r="X108" s="1">
        <v>602447552</v>
      </c>
      <c r="Y108" s="1">
        <v>4393</v>
      </c>
      <c r="Z108" s="264">
        <f t="shared" si="45"/>
        <v>137138.07</v>
      </c>
      <c r="AA108" s="293">
        <f t="shared" si="46"/>
        <v>0.73453599999999997</v>
      </c>
      <c r="AB108" s="1">
        <v>103844</v>
      </c>
      <c r="AC108" s="293">
        <f t="shared" si="47"/>
        <v>0.90181800000000001</v>
      </c>
      <c r="AD108" s="293">
        <f t="shared" si="48"/>
        <v>0.215279</v>
      </c>
      <c r="AE108" s="294">
        <f t="shared" si="49"/>
        <v>0.215279</v>
      </c>
      <c r="AF108" s="295">
        <f t="shared" si="60"/>
        <v>0</v>
      </c>
      <c r="AG108" s="296">
        <f t="shared" si="61"/>
        <v>0.215279</v>
      </c>
      <c r="AH108" s="1">
        <v>516</v>
      </c>
      <c r="AI108" s="1">
        <v>13</v>
      </c>
      <c r="AJ108" s="254">
        <f t="shared" si="50"/>
        <v>100</v>
      </c>
      <c r="AK108" s="9">
        <f t="shared" si="51"/>
        <v>51600</v>
      </c>
      <c r="AL108" s="9">
        <f t="shared" si="52"/>
        <v>1360481</v>
      </c>
      <c r="AM108" s="9">
        <f t="shared" si="53"/>
        <v>1412081</v>
      </c>
      <c r="AN108" s="9">
        <f t="shared" si="62"/>
        <v>1412081</v>
      </c>
      <c r="AO108" s="291">
        <v>2099315</v>
      </c>
      <c r="AP108" s="9">
        <f t="shared" si="63"/>
        <v>687234</v>
      </c>
      <c r="AQ108" s="297" t="str">
        <f t="shared" si="64"/>
        <v>No</v>
      </c>
      <c r="AR108" s="291">
        <v>1894751</v>
      </c>
      <c r="AS108" s="291">
        <f t="shared" si="54"/>
        <v>57246.592199999999</v>
      </c>
      <c r="AT108" s="291">
        <f t="shared" si="55"/>
        <v>1837504.4077999999</v>
      </c>
      <c r="AU108" s="291">
        <f t="shared" si="56"/>
        <v>1837504.4077999999</v>
      </c>
      <c r="AV108" s="291"/>
      <c r="AW108" s="291">
        <f t="shared" si="65"/>
        <v>1780257.8155999999</v>
      </c>
      <c r="AX108" s="291">
        <f t="shared" ref="AX108:BB123" si="68">IF($AQ108="Yes",AW108+$AS108,AW108-$AS108)</f>
        <v>1723011.2233999998</v>
      </c>
      <c r="AY108" s="291">
        <f t="shared" si="68"/>
        <v>1665764.6311999997</v>
      </c>
      <c r="AZ108" s="291">
        <f t="shared" si="68"/>
        <v>1608518.0389999996</v>
      </c>
      <c r="BA108" s="291">
        <f t="shared" si="68"/>
        <v>1551271.4467999996</v>
      </c>
      <c r="BB108" s="291">
        <f t="shared" si="68"/>
        <v>1494024.8545999995</v>
      </c>
      <c r="BC108" s="291">
        <f t="shared" si="67"/>
        <v>1412081</v>
      </c>
      <c r="BD108" s="298"/>
      <c r="BE108" s="291">
        <f t="shared" si="39"/>
        <v>1780257.8155999999</v>
      </c>
      <c r="BF108" s="291">
        <f t="shared" si="39"/>
        <v>1723011.2233999998</v>
      </c>
      <c r="BG108" s="291">
        <f t="shared" si="38"/>
        <v>1665764.6311999997</v>
      </c>
      <c r="BH108" s="291">
        <f t="shared" si="38"/>
        <v>1608518.0389999996</v>
      </c>
      <c r="BI108" s="291">
        <f t="shared" si="38"/>
        <v>1551271.4467999996</v>
      </c>
      <c r="BJ108" s="291">
        <f t="shared" si="38"/>
        <v>1494024.8545999995</v>
      </c>
      <c r="BK108" s="291">
        <f t="shared" si="38"/>
        <v>1412081</v>
      </c>
      <c r="BL108" s="298"/>
      <c r="BM108" s="298"/>
      <c r="BN108" s="298"/>
      <c r="BO108" s="298"/>
    </row>
    <row r="109" spans="1:67" x14ac:dyDescent="0.15">
      <c r="A109" s="10" t="s">
        <v>19</v>
      </c>
      <c r="B109" s="10"/>
      <c r="C109" s="276">
        <v>1</v>
      </c>
      <c r="D109" s="276" t="str">
        <f t="shared" si="57"/>
        <v>Yes</v>
      </c>
      <c r="E109" s="276">
        <v>1</v>
      </c>
      <c r="F109" s="276"/>
      <c r="G109" s="8">
        <v>9</v>
      </c>
      <c r="H109" s="1">
        <v>30</v>
      </c>
      <c r="I109" s="10">
        <v>83</v>
      </c>
      <c r="J109" s="7" t="s">
        <v>95</v>
      </c>
      <c r="K109" s="287"/>
      <c r="L109" s="1">
        <v>4823.67</v>
      </c>
      <c r="M109" s="300"/>
      <c r="N109" s="289"/>
      <c r="O109" s="1">
        <v>2406</v>
      </c>
      <c r="P109" s="290">
        <f t="shared" si="40"/>
        <v>0.49879034013520823</v>
      </c>
      <c r="Q109" s="290">
        <f t="shared" si="41"/>
        <v>0</v>
      </c>
      <c r="R109" s="291">
        <f t="shared" si="42"/>
        <v>0</v>
      </c>
      <c r="S109" s="291">
        <f t="shared" si="58"/>
        <v>0</v>
      </c>
      <c r="T109" s="1">
        <v>189</v>
      </c>
      <c r="U109" s="1">
        <f t="shared" si="59"/>
        <v>28.349999999999998</v>
      </c>
      <c r="V109" s="292">
        <f t="shared" si="43"/>
        <v>721.8</v>
      </c>
      <c r="W109" s="254">
        <f t="shared" si="44"/>
        <v>5573.8200000000006</v>
      </c>
      <c r="X109" s="1">
        <v>4973102213.6700001</v>
      </c>
      <c r="Y109" s="1">
        <v>46478</v>
      </c>
      <c r="Z109" s="264">
        <f t="shared" si="45"/>
        <v>106999.06</v>
      </c>
      <c r="AA109" s="293">
        <f t="shared" si="46"/>
        <v>0.573106</v>
      </c>
      <c r="AB109" s="1">
        <v>63914</v>
      </c>
      <c r="AC109" s="293">
        <f t="shared" si="47"/>
        <v>0.55505199999999999</v>
      </c>
      <c r="AD109" s="293">
        <f t="shared" si="48"/>
        <v>0.43231000000000003</v>
      </c>
      <c r="AE109" s="294">
        <f t="shared" si="49"/>
        <v>0.43231000000000003</v>
      </c>
      <c r="AF109" s="295">
        <f t="shared" si="60"/>
        <v>0</v>
      </c>
      <c r="AG109" s="296">
        <f t="shared" si="61"/>
        <v>0.43231000000000003</v>
      </c>
      <c r="AH109" s="1">
        <v>0</v>
      </c>
      <c r="AI109" s="1">
        <v>0</v>
      </c>
      <c r="AJ109" s="254">
        <f t="shared" si="50"/>
        <v>0</v>
      </c>
      <c r="AK109" s="9">
        <f t="shared" si="51"/>
        <v>0</v>
      </c>
      <c r="AL109" s="9">
        <f t="shared" si="52"/>
        <v>27770849</v>
      </c>
      <c r="AM109" s="9">
        <f t="shared" si="53"/>
        <v>27770849</v>
      </c>
      <c r="AN109" s="9">
        <f t="shared" si="62"/>
        <v>27770849</v>
      </c>
      <c r="AO109" s="291">
        <v>19515825</v>
      </c>
      <c r="AP109" s="9">
        <f t="shared" si="63"/>
        <v>8255024</v>
      </c>
      <c r="AQ109" s="297" t="str">
        <f t="shared" si="64"/>
        <v>Yes</v>
      </c>
      <c r="AR109" s="291">
        <v>20671979</v>
      </c>
      <c r="AS109" s="291">
        <f t="shared" si="54"/>
        <v>879985.55839999998</v>
      </c>
      <c r="AT109" s="291">
        <f t="shared" si="55"/>
        <v>21551964.558400001</v>
      </c>
      <c r="AU109" s="291">
        <f t="shared" si="56"/>
        <v>21551964.558400001</v>
      </c>
      <c r="AV109" s="291"/>
      <c r="AW109" s="291">
        <f t="shared" si="65"/>
        <v>22431950.116800003</v>
      </c>
      <c r="AX109" s="291">
        <f t="shared" si="68"/>
        <v>23311935.675200004</v>
      </c>
      <c r="AY109" s="291">
        <f t="shared" si="68"/>
        <v>24191921.233600006</v>
      </c>
      <c r="AZ109" s="291">
        <f t="shared" si="68"/>
        <v>25071906.792000007</v>
      </c>
      <c r="BA109" s="291">
        <f t="shared" si="68"/>
        <v>25951892.350400008</v>
      </c>
      <c r="BB109" s="291">
        <f t="shared" si="68"/>
        <v>26831877.90880001</v>
      </c>
      <c r="BC109" s="291">
        <f t="shared" si="67"/>
        <v>27770849</v>
      </c>
      <c r="BD109" s="298"/>
      <c r="BE109" s="291">
        <f t="shared" si="39"/>
        <v>22431950.116800003</v>
      </c>
      <c r="BF109" s="291">
        <f t="shared" si="39"/>
        <v>23311935.675200004</v>
      </c>
      <c r="BG109" s="291">
        <f t="shared" si="38"/>
        <v>24191921.233600006</v>
      </c>
      <c r="BH109" s="291">
        <f t="shared" si="38"/>
        <v>25071906.792000007</v>
      </c>
      <c r="BI109" s="291">
        <f t="shared" si="38"/>
        <v>25951892.350400008</v>
      </c>
      <c r="BJ109" s="291">
        <f t="shared" si="38"/>
        <v>26831877.90880001</v>
      </c>
      <c r="BK109" s="291">
        <f t="shared" si="38"/>
        <v>27770849</v>
      </c>
      <c r="BL109" s="298"/>
      <c r="BM109" s="298"/>
      <c r="BN109" s="298"/>
      <c r="BO109" s="298"/>
    </row>
    <row r="110" spans="1:67" x14ac:dyDescent="0.15">
      <c r="A110" s="10" t="s">
        <v>14</v>
      </c>
      <c r="B110" s="10"/>
      <c r="C110" s="276"/>
      <c r="D110" s="276" t="str">
        <f t="shared" si="57"/>
        <v>No</v>
      </c>
      <c r="E110" s="276"/>
      <c r="F110" s="276"/>
      <c r="G110" s="8">
        <v>6</v>
      </c>
      <c r="H110" s="1">
        <v>98</v>
      </c>
      <c r="I110" s="10">
        <v>84</v>
      </c>
      <c r="J110" s="7" t="s">
        <v>96</v>
      </c>
      <c r="K110" s="287"/>
      <c r="L110" s="1">
        <v>5616.78</v>
      </c>
      <c r="M110" s="300"/>
      <c r="N110" s="289"/>
      <c r="O110" s="1">
        <v>1624</v>
      </c>
      <c r="P110" s="290">
        <f t="shared" si="40"/>
        <v>0.2891336317249385</v>
      </c>
      <c r="Q110" s="290">
        <f t="shared" si="41"/>
        <v>0</v>
      </c>
      <c r="R110" s="291">
        <f t="shared" si="42"/>
        <v>0</v>
      </c>
      <c r="S110" s="291">
        <f t="shared" si="58"/>
        <v>0</v>
      </c>
      <c r="T110" s="1">
        <v>158</v>
      </c>
      <c r="U110" s="1">
        <f t="shared" si="59"/>
        <v>23.7</v>
      </c>
      <c r="V110" s="292">
        <f t="shared" si="43"/>
        <v>487.2</v>
      </c>
      <c r="W110" s="254">
        <f t="shared" si="44"/>
        <v>6127.6799999999994</v>
      </c>
      <c r="X110" s="1">
        <v>9556361258</v>
      </c>
      <c r="Y110" s="1">
        <v>54508</v>
      </c>
      <c r="Z110" s="264">
        <f t="shared" si="45"/>
        <v>175320.34</v>
      </c>
      <c r="AA110" s="293">
        <f t="shared" si="46"/>
        <v>0.93904799999999999</v>
      </c>
      <c r="AB110" s="1">
        <v>86382</v>
      </c>
      <c r="AC110" s="293">
        <f t="shared" si="47"/>
        <v>0.75017199999999995</v>
      </c>
      <c r="AD110" s="293">
        <f t="shared" si="48"/>
        <v>0.117615</v>
      </c>
      <c r="AE110" s="294">
        <f t="shared" si="49"/>
        <v>0.117615</v>
      </c>
      <c r="AF110" s="295">
        <f t="shared" si="60"/>
        <v>0</v>
      </c>
      <c r="AG110" s="296">
        <f t="shared" si="61"/>
        <v>0.117615</v>
      </c>
      <c r="AH110" s="1">
        <v>0</v>
      </c>
      <c r="AI110" s="1">
        <v>0</v>
      </c>
      <c r="AJ110" s="254">
        <f t="shared" si="50"/>
        <v>0</v>
      </c>
      <c r="AK110" s="9">
        <f t="shared" si="51"/>
        <v>0</v>
      </c>
      <c r="AL110" s="9">
        <f t="shared" si="52"/>
        <v>8306149</v>
      </c>
      <c r="AM110" s="9">
        <f t="shared" si="53"/>
        <v>8306149</v>
      </c>
      <c r="AN110" s="9">
        <f t="shared" si="62"/>
        <v>8306149</v>
      </c>
      <c r="AO110" s="291">
        <v>10849101</v>
      </c>
      <c r="AP110" s="9">
        <f t="shared" si="63"/>
        <v>2542952</v>
      </c>
      <c r="AQ110" s="297" t="str">
        <f t="shared" si="64"/>
        <v>No</v>
      </c>
      <c r="AR110" s="291">
        <v>9885063</v>
      </c>
      <c r="AS110" s="291">
        <f t="shared" si="54"/>
        <v>211827.90160000001</v>
      </c>
      <c r="AT110" s="291">
        <f t="shared" si="55"/>
        <v>9673235.0984000005</v>
      </c>
      <c r="AU110" s="291">
        <f t="shared" si="56"/>
        <v>9673235.0984000005</v>
      </c>
      <c r="AV110" s="291"/>
      <c r="AW110" s="291">
        <f t="shared" si="65"/>
        <v>9461407.196800001</v>
      </c>
      <c r="AX110" s="291">
        <f t="shared" si="68"/>
        <v>9249579.2952000014</v>
      </c>
      <c r="AY110" s="291">
        <f t="shared" si="68"/>
        <v>9037751.3936000019</v>
      </c>
      <c r="AZ110" s="291">
        <f t="shared" si="68"/>
        <v>8825923.4920000024</v>
      </c>
      <c r="BA110" s="291">
        <f t="shared" si="68"/>
        <v>8614095.5904000029</v>
      </c>
      <c r="BB110" s="291">
        <f t="shared" si="68"/>
        <v>8402267.6888000034</v>
      </c>
      <c r="BC110" s="291">
        <f t="shared" si="67"/>
        <v>8306149</v>
      </c>
      <c r="BD110" s="298"/>
      <c r="BE110" s="291">
        <f t="shared" si="39"/>
        <v>9461407.196800001</v>
      </c>
      <c r="BF110" s="291">
        <f t="shared" si="39"/>
        <v>9249579.2952000014</v>
      </c>
      <c r="BG110" s="291">
        <f t="shared" si="38"/>
        <v>9037751.3936000019</v>
      </c>
      <c r="BH110" s="291">
        <f t="shared" si="38"/>
        <v>8825923.4920000024</v>
      </c>
      <c r="BI110" s="291">
        <f t="shared" si="38"/>
        <v>8614095.5904000029</v>
      </c>
      <c r="BJ110" s="291">
        <f t="shared" si="38"/>
        <v>8402267.6888000034</v>
      </c>
      <c r="BK110" s="291">
        <f t="shared" si="38"/>
        <v>8306149</v>
      </c>
      <c r="BL110" s="298"/>
      <c r="BM110" s="298"/>
      <c r="BN110" s="298"/>
      <c r="BO110" s="298"/>
    </row>
    <row r="111" spans="1:67" x14ac:dyDescent="0.15">
      <c r="A111" s="10" t="s">
        <v>10</v>
      </c>
      <c r="B111" s="10"/>
      <c r="C111" s="276"/>
      <c r="D111" s="276" t="str">
        <f t="shared" si="57"/>
        <v>No</v>
      </c>
      <c r="E111" s="276"/>
      <c r="F111" s="276"/>
      <c r="G111" s="8">
        <v>3</v>
      </c>
      <c r="H111" s="1">
        <v>77</v>
      </c>
      <c r="I111" s="10">
        <v>85</v>
      </c>
      <c r="J111" s="7" t="s">
        <v>97</v>
      </c>
      <c r="K111" s="287"/>
      <c r="L111" s="1">
        <v>3195.31</v>
      </c>
      <c r="M111" s="288"/>
      <c r="N111" s="289"/>
      <c r="O111" s="1">
        <v>405</v>
      </c>
      <c r="P111" s="290">
        <f t="shared" si="40"/>
        <v>0.12674826542651574</v>
      </c>
      <c r="Q111" s="290">
        <f t="shared" si="41"/>
        <v>0</v>
      </c>
      <c r="R111" s="291">
        <f t="shared" si="42"/>
        <v>0</v>
      </c>
      <c r="S111" s="291">
        <f t="shared" si="58"/>
        <v>0</v>
      </c>
      <c r="T111" s="1">
        <v>34</v>
      </c>
      <c r="U111" s="1">
        <f t="shared" si="59"/>
        <v>5.0999999999999996</v>
      </c>
      <c r="V111" s="292">
        <f t="shared" si="43"/>
        <v>121.5</v>
      </c>
      <c r="W111" s="254">
        <f t="shared" si="44"/>
        <v>3321.91</v>
      </c>
      <c r="X111" s="1">
        <v>3155315831.6700001</v>
      </c>
      <c r="Y111" s="1">
        <v>19635</v>
      </c>
      <c r="Z111" s="264">
        <f t="shared" si="45"/>
        <v>160698.54</v>
      </c>
      <c r="AA111" s="293">
        <f t="shared" si="46"/>
        <v>0.86073100000000002</v>
      </c>
      <c r="AB111" s="1">
        <v>109631</v>
      </c>
      <c r="AC111" s="293">
        <f t="shared" si="47"/>
        <v>0.952075</v>
      </c>
      <c r="AD111" s="293">
        <f t="shared" si="48"/>
        <v>0.11186599999999999</v>
      </c>
      <c r="AE111" s="294">
        <f t="shared" si="49"/>
        <v>0.11186599999999999</v>
      </c>
      <c r="AF111" s="295">
        <f t="shared" si="60"/>
        <v>0</v>
      </c>
      <c r="AG111" s="296">
        <f t="shared" si="61"/>
        <v>0.11186599999999999</v>
      </c>
      <c r="AH111" s="1">
        <v>0</v>
      </c>
      <c r="AI111" s="1">
        <v>0</v>
      </c>
      <c r="AJ111" s="254">
        <f t="shared" si="50"/>
        <v>0</v>
      </c>
      <c r="AK111" s="9">
        <f t="shared" si="51"/>
        <v>0</v>
      </c>
      <c r="AL111" s="9">
        <f t="shared" si="52"/>
        <v>4282791</v>
      </c>
      <c r="AM111" s="9">
        <f t="shared" si="53"/>
        <v>4282791</v>
      </c>
      <c r="AN111" s="9">
        <f t="shared" si="62"/>
        <v>4282791</v>
      </c>
      <c r="AO111" s="291">
        <v>6394518</v>
      </c>
      <c r="AP111" s="9">
        <f t="shared" si="63"/>
        <v>2111727</v>
      </c>
      <c r="AQ111" s="297" t="str">
        <f t="shared" si="64"/>
        <v>No</v>
      </c>
      <c r="AR111" s="291">
        <v>5448842</v>
      </c>
      <c r="AS111" s="291">
        <f t="shared" si="54"/>
        <v>175906.8591</v>
      </c>
      <c r="AT111" s="291">
        <f t="shared" si="55"/>
        <v>5272935.1409</v>
      </c>
      <c r="AU111" s="291">
        <f t="shared" si="56"/>
        <v>5272935.1409</v>
      </c>
      <c r="AV111" s="291"/>
      <c r="AW111" s="291">
        <f t="shared" si="65"/>
        <v>5097028.2818</v>
      </c>
      <c r="AX111" s="291">
        <f t="shared" si="68"/>
        <v>4921121.4227</v>
      </c>
      <c r="AY111" s="291">
        <f t="shared" si="68"/>
        <v>4745214.5636</v>
      </c>
      <c r="AZ111" s="291">
        <f t="shared" si="68"/>
        <v>4569307.7045</v>
      </c>
      <c r="BA111" s="291">
        <f t="shared" si="68"/>
        <v>4393400.8454</v>
      </c>
      <c r="BB111" s="291">
        <f t="shared" si="68"/>
        <v>4217493.9863</v>
      </c>
      <c r="BC111" s="291">
        <f t="shared" si="67"/>
        <v>4282791</v>
      </c>
      <c r="BD111" s="298"/>
      <c r="BE111" s="291">
        <f t="shared" si="39"/>
        <v>5097028.2818</v>
      </c>
      <c r="BF111" s="291">
        <f t="shared" si="39"/>
        <v>4921121.4227</v>
      </c>
      <c r="BG111" s="291">
        <f t="shared" si="38"/>
        <v>4745214.5636</v>
      </c>
      <c r="BH111" s="291">
        <f t="shared" si="38"/>
        <v>4569307.7045</v>
      </c>
      <c r="BI111" s="291">
        <f t="shared" si="38"/>
        <v>4393400.8454</v>
      </c>
      <c r="BJ111" s="291">
        <f t="shared" si="38"/>
        <v>4217493.9863</v>
      </c>
      <c r="BK111" s="291">
        <f t="shared" si="38"/>
        <v>4282791</v>
      </c>
      <c r="BL111" s="298"/>
      <c r="BM111" s="298"/>
      <c r="BN111" s="298"/>
      <c r="BO111" s="298"/>
    </row>
    <row r="112" spans="1:67" x14ac:dyDescent="0.15">
      <c r="A112" s="10" t="s">
        <v>32</v>
      </c>
      <c r="B112" s="10"/>
      <c r="C112" s="276"/>
      <c r="D112" s="276" t="str">
        <f t="shared" si="57"/>
        <v>No</v>
      </c>
      <c r="E112" s="276"/>
      <c r="F112" s="276"/>
      <c r="G112" s="8">
        <v>8</v>
      </c>
      <c r="H112" s="1">
        <v>39</v>
      </c>
      <c r="I112" s="10">
        <v>86</v>
      </c>
      <c r="J112" s="7" t="s">
        <v>98</v>
      </c>
      <c r="K112" s="287"/>
      <c r="L112" s="1">
        <v>2258.2800000000002</v>
      </c>
      <c r="M112" s="300"/>
      <c r="N112" s="289"/>
      <c r="O112" s="1">
        <v>1021</v>
      </c>
      <c r="P112" s="290">
        <f t="shared" si="40"/>
        <v>0.4521139982641656</v>
      </c>
      <c r="Q112" s="290">
        <f t="shared" si="41"/>
        <v>0</v>
      </c>
      <c r="R112" s="291">
        <f t="shared" si="42"/>
        <v>0</v>
      </c>
      <c r="S112" s="291">
        <f t="shared" si="58"/>
        <v>0</v>
      </c>
      <c r="T112" s="1">
        <v>104</v>
      </c>
      <c r="U112" s="1">
        <f t="shared" si="59"/>
        <v>15.6</v>
      </c>
      <c r="V112" s="292">
        <f t="shared" si="43"/>
        <v>306.3</v>
      </c>
      <c r="W112" s="254">
        <f t="shared" si="44"/>
        <v>2580.1800000000003</v>
      </c>
      <c r="X112" s="1">
        <v>1836077640.6700001</v>
      </c>
      <c r="Y112" s="1">
        <v>19149</v>
      </c>
      <c r="Z112" s="264">
        <f t="shared" si="45"/>
        <v>95883.73</v>
      </c>
      <c r="AA112" s="293">
        <f t="shared" si="46"/>
        <v>0.513571</v>
      </c>
      <c r="AB112" s="1">
        <v>72639</v>
      </c>
      <c r="AC112" s="293">
        <f t="shared" si="47"/>
        <v>0.63082300000000002</v>
      </c>
      <c r="AD112" s="293">
        <f t="shared" si="48"/>
        <v>0.45125300000000002</v>
      </c>
      <c r="AE112" s="294">
        <f t="shared" si="49"/>
        <v>0.45125300000000002</v>
      </c>
      <c r="AF112" s="295">
        <f t="shared" si="60"/>
        <v>0</v>
      </c>
      <c r="AG112" s="296">
        <f t="shared" si="61"/>
        <v>0.45125300000000002</v>
      </c>
      <c r="AH112" s="1">
        <v>0</v>
      </c>
      <c r="AI112" s="1">
        <v>0</v>
      </c>
      <c r="AJ112" s="254">
        <f t="shared" si="50"/>
        <v>0</v>
      </c>
      <c r="AK112" s="9">
        <f t="shared" si="51"/>
        <v>0</v>
      </c>
      <c r="AL112" s="9">
        <f t="shared" si="52"/>
        <v>13418718</v>
      </c>
      <c r="AM112" s="9">
        <f t="shared" si="53"/>
        <v>13418718</v>
      </c>
      <c r="AN112" s="9">
        <f t="shared" si="62"/>
        <v>13418718</v>
      </c>
      <c r="AO112" s="291">
        <v>12589621</v>
      </c>
      <c r="AP112" s="9">
        <f t="shared" si="63"/>
        <v>829097</v>
      </c>
      <c r="AQ112" s="297" t="str">
        <f t="shared" si="64"/>
        <v>Yes</v>
      </c>
      <c r="AR112" s="291">
        <v>12690954</v>
      </c>
      <c r="AS112" s="291">
        <f t="shared" si="54"/>
        <v>88381.7402</v>
      </c>
      <c r="AT112" s="291">
        <f t="shared" si="55"/>
        <v>12779335.7402</v>
      </c>
      <c r="AU112" s="291">
        <f t="shared" si="56"/>
        <v>12779335.7402</v>
      </c>
      <c r="AV112" s="291"/>
      <c r="AW112" s="291">
        <f t="shared" si="65"/>
        <v>12867717.4804</v>
      </c>
      <c r="AX112" s="291">
        <f t="shared" si="68"/>
        <v>12956099.2206</v>
      </c>
      <c r="AY112" s="291">
        <f t="shared" si="68"/>
        <v>13044480.9608</v>
      </c>
      <c r="AZ112" s="291">
        <f t="shared" si="68"/>
        <v>13132862.700999999</v>
      </c>
      <c r="BA112" s="291">
        <f t="shared" si="68"/>
        <v>13221244.441199999</v>
      </c>
      <c r="BB112" s="291">
        <f t="shared" si="68"/>
        <v>13309626.181399999</v>
      </c>
      <c r="BC112" s="291">
        <f t="shared" si="67"/>
        <v>13418718</v>
      </c>
      <c r="BD112" s="298"/>
      <c r="BE112" s="291">
        <f t="shared" si="39"/>
        <v>12867717.4804</v>
      </c>
      <c r="BF112" s="291">
        <f t="shared" si="39"/>
        <v>12956099.2206</v>
      </c>
      <c r="BG112" s="291">
        <f t="shared" si="38"/>
        <v>13044480.9608</v>
      </c>
      <c r="BH112" s="291">
        <f t="shared" si="38"/>
        <v>13132862.700999999</v>
      </c>
      <c r="BI112" s="291">
        <f t="shared" si="38"/>
        <v>13221244.441199999</v>
      </c>
      <c r="BJ112" s="291">
        <f t="shared" si="38"/>
        <v>13309626.181399999</v>
      </c>
      <c r="BK112" s="291">
        <f t="shared" si="38"/>
        <v>13418718</v>
      </c>
      <c r="BL112" s="298"/>
      <c r="BM112" s="298"/>
      <c r="BN112" s="298"/>
      <c r="BO112" s="298"/>
    </row>
    <row r="113" spans="1:67" x14ac:dyDescent="0.15">
      <c r="A113" s="10" t="s">
        <v>8</v>
      </c>
      <c r="B113" s="10"/>
      <c r="C113" s="276"/>
      <c r="D113" s="276" t="str">
        <f t="shared" si="57"/>
        <v>No</v>
      </c>
      <c r="E113" s="276"/>
      <c r="F113" s="276"/>
      <c r="G113" s="8">
        <v>3</v>
      </c>
      <c r="H113" s="1">
        <v>130</v>
      </c>
      <c r="I113" s="10">
        <v>87</v>
      </c>
      <c r="J113" s="7" t="s">
        <v>99</v>
      </c>
      <c r="K113" s="287"/>
      <c r="L113" s="1">
        <v>228.67</v>
      </c>
      <c r="M113" s="288"/>
      <c r="N113" s="289"/>
      <c r="O113" s="1">
        <v>57</v>
      </c>
      <c r="P113" s="290">
        <f t="shared" si="40"/>
        <v>0.24926750338916343</v>
      </c>
      <c r="Q113" s="290">
        <f t="shared" si="41"/>
        <v>0</v>
      </c>
      <c r="R113" s="291">
        <f t="shared" si="42"/>
        <v>0</v>
      </c>
      <c r="S113" s="291">
        <f t="shared" si="58"/>
        <v>0</v>
      </c>
      <c r="T113" s="1">
        <v>6</v>
      </c>
      <c r="U113" s="1">
        <f t="shared" si="59"/>
        <v>0.89999999999999991</v>
      </c>
      <c r="V113" s="292">
        <f t="shared" si="43"/>
        <v>17.100000000000001</v>
      </c>
      <c r="W113" s="254">
        <f t="shared" si="44"/>
        <v>246.67</v>
      </c>
      <c r="X113" s="1">
        <v>454737409.67000002</v>
      </c>
      <c r="Y113" s="1">
        <v>2277</v>
      </c>
      <c r="Z113" s="264">
        <f t="shared" si="45"/>
        <v>199709.01</v>
      </c>
      <c r="AA113" s="293">
        <f t="shared" si="46"/>
        <v>1.0696779999999999</v>
      </c>
      <c r="AB113" s="1">
        <v>89107</v>
      </c>
      <c r="AC113" s="293">
        <f t="shared" si="47"/>
        <v>0.773837</v>
      </c>
      <c r="AD113" s="293">
        <f t="shared" si="48"/>
        <v>1.9074000000000001E-2</v>
      </c>
      <c r="AE113" s="294">
        <f t="shared" si="49"/>
        <v>1.9074000000000001E-2</v>
      </c>
      <c r="AF113" s="295">
        <f t="shared" si="60"/>
        <v>0</v>
      </c>
      <c r="AG113" s="296">
        <f t="shared" si="61"/>
        <v>1.9074000000000001E-2</v>
      </c>
      <c r="AH113" s="1">
        <v>232</v>
      </c>
      <c r="AI113" s="1">
        <v>13</v>
      </c>
      <c r="AJ113" s="254">
        <f t="shared" si="50"/>
        <v>100</v>
      </c>
      <c r="AK113" s="9">
        <f t="shared" si="51"/>
        <v>23200</v>
      </c>
      <c r="AL113" s="9">
        <f t="shared" si="52"/>
        <v>54225</v>
      </c>
      <c r="AM113" s="9">
        <f t="shared" si="53"/>
        <v>77425</v>
      </c>
      <c r="AN113" s="9">
        <f t="shared" si="62"/>
        <v>77425</v>
      </c>
      <c r="AO113" s="291">
        <v>102178</v>
      </c>
      <c r="AP113" s="9">
        <f t="shared" si="63"/>
        <v>24753</v>
      </c>
      <c r="AQ113" s="297" t="str">
        <f t="shared" si="64"/>
        <v>No</v>
      </c>
      <c r="AR113" s="291">
        <v>111991</v>
      </c>
      <c r="AS113" s="291">
        <f t="shared" si="54"/>
        <v>2061.9249</v>
      </c>
      <c r="AT113" s="291">
        <f t="shared" si="55"/>
        <v>109929.0751</v>
      </c>
      <c r="AU113" s="291">
        <f t="shared" si="56"/>
        <v>109929.0751</v>
      </c>
      <c r="AV113" s="291"/>
      <c r="AW113" s="291">
        <f t="shared" si="65"/>
        <v>107867.1502</v>
      </c>
      <c r="AX113" s="291">
        <f t="shared" si="68"/>
        <v>105805.22530000001</v>
      </c>
      <c r="AY113" s="291">
        <f t="shared" si="68"/>
        <v>103743.30040000001</v>
      </c>
      <c r="AZ113" s="291">
        <f t="shared" si="68"/>
        <v>101681.37550000001</v>
      </c>
      <c r="BA113" s="291">
        <f t="shared" si="68"/>
        <v>99619.450600000011</v>
      </c>
      <c r="BB113" s="291">
        <f t="shared" si="68"/>
        <v>97557.525700000013</v>
      </c>
      <c r="BC113" s="291">
        <f t="shared" si="67"/>
        <v>77425</v>
      </c>
      <c r="BD113" s="298"/>
      <c r="BE113" s="291">
        <f t="shared" si="39"/>
        <v>107867.1502</v>
      </c>
      <c r="BF113" s="291">
        <f t="shared" si="39"/>
        <v>105805.22530000001</v>
      </c>
      <c r="BG113" s="291">
        <f t="shared" si="38"/>
        <v>103743.30040000001</v>
      </c>
      <c r="BH113" s="291">
        <f t="shared" si="38"/>
        <v>101681.37550000001</v>
      </c>
      <c r="BI113" s="291">
        <f t="shared" si="38"/>
        <v>99619.450600000011</v>
      </c>
      <c r="BJ113" s="291">
        <f t="shared" si="38"/>
        <v>97557.525700000013</v>
      </c>
      <c r="BK113" s="291">
        <f t="shared" si="38"/>
        <v>77425</v>
      </c>
      <c r="BL113" s="298"/>
      <c r="BM113" s="298"/>
      <c r="BN113" s="298"/>
      <c r="BO113" s="298"/>
    </row>
    <row r="114" spans="1:67" x14ac:dyDescent="0.15">
      <c r="A114" s="10" t="s">
        <v>19</v>
      </c>
      <c r="B114" s="10"/>
      <c r="C114" s="276">
        <v>1</v>
      </c>
      <c r="D114" s="276" t="str">
        <f t="shared" si="57"/>
        <v>Yes</v>
      </c>
      <c r="E114" s="276">
        <v>1</v>
      </c>
      <c r="F114" s="276"/>
      <c r="G114" s="8">
        <v>10</v>
      </c>
      <c r="H114" s="1">
        <v>13</v>
      </c>
      <c r="I114" s="10">
        <v>88</v>
      </c>
      <c r="J114" s="7" t="s">
        <v>100</v>
      </c>
      <c r="K114" s="287"/>
      <c r="L114" s="1">
        <v>4617.78</v>
      </c>
      <c r="M114" s="300"/>
      <c r="N114" s="289"/>
      <c r="O114" s="1">
        <v>2854</v>
      </c>
      <c r="P114" s="290">
        <f t="shared" si="40"/>
        <v>0.61804590084412858</v>
      </c>
      <c r="Q114" s="290">
        <f t="shared" si="41"/>
        <v>0</v>
      </c>
      <c r="R114" s="291">
        <f t="shared" si="42"/>
        <v>0</v>
      </c>
      <c r="S114" s="291">
        <f t="shared" si="58"/>
        <v>0</v>
      </c>
      <c r="T114" s="1">
        <v>323</v>
      </c>
      <c r="U114" s="1">
        <f t="shared" si="59"/>
        <v>48.449999999999996</v>
      </c>
      <c r="V114" s="292">
        <f t="shared" si="43"/>
        <v>856.2</v>
      </c>
      <c r="W114" s="254">
        <f t="shared" si="44"/>
        <v>5522.4299999999994</v>
      </c>
      <c r="X114" s="1">
        <v>2345925994.3299999</v>
      </c>
      <c r="Y114" s="1">
        <v>31461</v>
      </c>
      <c r="Z114" s="264">
        <f t="shared" si="45"/>
        <v>74566.16</v>
      </c>
      <c r="AA114" s="293">
        <f t="shared" si="46"/>
        <v>0.39939000000000002</v>
      </c>
      <c r="AB114" s="1">
        <v>63452</v>
      </c>
      <c r="AC114" s="293">
        <f t="shared" si="47"/>
        <v>0.55103999999999997</v>
      </c>
      <c r="AD114" s="293">
        <f t="shared" si="48"/>
        <v>0.55511500000000003</v>
      </c>
      <c r="AE114" s="294">
        <f t="shared" si="49"/>
        <v>0.55511500000000003</v>
      </c>
      <c r="AF114" s="295">
        <f t="shared" si="60"/>
        <v>0.04</v>
      </c>
      <c r="AG114" s="296">
        <f t="shared" si="61"/>
        <v>0.59511500000000006</v>
      </c>
      <c r="AH114" s="1">
        <v>0</v>
      </c>
      <c r="AI114" s="1">
        <v>0</v>
      </c>
      <c r="AJ114" s="254">
        <f t="shared" si="50"/>
        <v>0</v>
      </c>
      <c r="AK114" s="9">
        <f t="shared" si="51"/>
        <v>0</v>
      </c>
      <c r="AL114" s="9">
        <f t="shared" si="52"/>
        <v>37876693</v>
      </c>
      <c r="AM114" s="9">
        <f t="shared" si="53"/>
        <v>37876693</v>
      </c>
      <c r="AN114" s="9">
        <f t="shared" si="62"/>
        <v>37876693</v>
      </c>
      <c r="AO114" s="291">
        <v>30280380</v>
      </c>
      <c r="AP114" s="9">
        <f t="shared" si="63"/>
        <v>7596313</v>
      </c>
      <c r="AQ114" s="297" t="str">
        <f t="shared" si="64"/>
        <v>Yes</v>
      </c>
      <c r="AR114" s="291">
        <v>31227536</v>
      </c>
      <c r="AS114" s="291">
        <f t="shared" si="54"/>
        <v>809766.96580000001</v>
      </c>
      <c r="AT114" s="291">
        <f t="shared" si="55"/>
        <v>32037302.965799998</v>
      </c>
      <c r="AU114" s="291">
        <f t="shared" si="56"/>
        <v>32037302.965799998</v>
      </c>
      <c r="AV114" s="291"/>
      <c r="AW114" s="291">
        <f t="shared" si="65"/>
        <v>32847069.931599997</v>
      </c>
      <c r="AX114" s="291">
        <f t="shared" si="68"/>
        <v>33656836.897399999</v>
      </c>
      <c r="AY114" s="291">
        <f t="shared" si="68"/>
        <v>34466603.863200001</v>
      </c>
      <c r="AZ114" s="291">
        <f t="shared" si="68"/>
        <v>35276370.829000004</v>
      </c>
      <c r="BA114" s="291">
        <f t="shared" si="68"/>
        <v>36086137.794800006</v>
      </c>
      <c r="BB114" s="291">
        <f t="shared" si="68"/>
        <v>36895904.760600008</v>
      </c>
      <c r="BC114" s="291">
        <f t="shared" si="67"/>
        <v>37876693</v>
      </c>
      <c r="BD114" s="298"/>
      <c r="BE114" s="291">
        <f t="shared" si="39"/>
        <v>32847069.931599997</v>
      </c>
      <c r="BF114" s="291">
        <f t="shared" si="39"/>
        <v>33656836.897399999</v>
      </c>
      <c r="BG114" s="291">
        <f t="shared" si="38"/>
        <v>34466603.863200001</v>
      </c>
      <c r="BH114" s="291">
        <f t="shared" si="38"/>
        <v>35276370.829000004</v>
      </c>
      <c r="BI114" s="291">
        <f t="shared" si="38"/>
        <v>36086137.794800006</v>
      </c>
      <c r="BJ114" s="291">
        <f t="shared" si="38"/>
        <v>36895904.760600008</v>
      </c>
      <c r="BK114" s="291">
        <f t="shared" si="38"/>
        <v>37876693</v>
      </c>
      <c r="BL114" s="298"/>
      <c r="BM114" s="298"/>
      <c r="BN114" s="298"/>
      <c r="BO114" s="298"/>
    </row>
    <row r="115" spans="1:67" x14ac:dyDescent="0.15">
      <c r="A115" s="10" t="s">
        <v>24</v>
      </c>
      <c r="B115" s="10">
        <v>1</v>
      </c>
      <c r="C115" s="276">
        <v>1</v>
      </c>
      <c r="D115" s="276" t="str">
        <f t="shared" si="57"/>
        <v>Yes</v>
      </c>
      <c r="E115" s="276">
        <v>0</v>
      </c>
      <c r="F115" s="276">
        <v>1</v>
      </c>
      <c r="G115" s="8">
        <v>10</v>
      </c>
      <c r="H115" s="1">
        <v>3</v>
      </c>
      <c r="I115" s="10">
        <v>89</v>
      </c>
      <c r="J115" s="7" t="s">
        <v>101</v>
      </c>
      <c r="K115" s="287"/>
      <c r="L115" s="1">
        <v>11391.81</v>
      </c>
      <c r="M115" s="300"/>
      <c r="N115" s="289"/>
      <c r="O115" s="1">
        <v>8350</v>
      </c>
      <c r="P115" s="290">
        <f t="shared" si="40"/>
        <v>0.73298273057573826</v>
      </c>
      <c r="Q115" s="290">
        <f t="shared" si="41"/>
        <v>0</v>
      </c>
      <c r="R115" s="291">
        <f t="shared" si="42"/>
        <v>0</v>
      </c>
      <c r="S115" s="291">
        <f t="shared" si="58"/>
        <v>0</v>
      </c>
      <c r="T115" s="1">
        <v>1841</v>
      </c>
      <c r="U115" s="1">
        <f t="shared" si="59"/>
        <v>276.14999999999998</v>
      </c>
      <c r="V115" s="292">
        <f t="shared" si="43"/>
        <v>2505</v>
      </c>
      <c r="W115" s="254">
        <f t="shared" si="44"/>
        <v>14172.96</v>
      </c>
      <c r="X115" s="1">
        <v>3755352890.3299999</v>
      </c>
      <c r="Y115" s="1">
        <v>72710</v>
      </c>
      <c r="Z115" s="264">
        <f t="shared" si="45"/>
        <v>51648.37</v>
      </c>
      <c r="AA115" s="293">
        <f t="shared" si="46"/>
        <v>0.276638</v>
      </c>
      <c r="AB115" s="1">
        <v>43611</v>
      </c>
      <c r="AC115" s="293">
        <f t="shared" si="47"/>
        <v>0.37873299999999999</v>
      </c>
      <c r="AD115" s="293">
        <f t="shared" si="48"/>
        <v>0.69273399999999996</v>
      </c>
      <c r="AE115" s="294">
        <f t="shared" si="49"/>
        <v>0.69273399999999996</v>
      </c>
      <c r="AF115" s="295">
        <f t="shared" si="60"/>
        <v>0.06</v>
      </c>
      <c r="AG115" s="296">
        <f t="shared" si="61"/>
        <v>0.75273400000000001</v>
      </c>
      <c r="AH115" s="1">
        <v>0</v>
      </c>
      <c r="AI115" s="1">
        <v>0</v>
      </c>
      <c r="AJ115" s="254">
        <f t="shared" si="50"/>
        <v>0</v>
      </c>
      <c r="AK115" s="9">
        <f t="shared" si="51"/>
        <v>0</v>
      </c>
      <c r="AL115" s="9">
        <f t="shared" si="52"/>
        <v>122954104</v>
      </c>
      <c r="AM115" s="9">
        <f t="shared" si="53"/>
        <v>122954104</v>
      </c>
      <c r="AN115" s="9">
        <f t="shared" si="62"/>
        <v>122954104</v>
      </c>
      <c r="AO115" s="291">
        <v>86195269</v>
      </c>
      <c r="AP115" s="9">
        <f t="shared" si="63"/>
        <v>36758835</v>
      </c>
      <c r="AQ115" s="297" t="str">
        <f t="shared" si="64"/>
        <v>Yes</v>
      </c>
      <c r="AR115" s="291">
        <v>91857909</v>
      </c>
      <c r="AS115" s="291">
        <f t="shared" si="54"/>
        <v>3918491.8110000002</v>
      </c>
      <c r="AT115" s="291">
        <f t="shared" si="55"/>
        <v>95776400.811000004</v>
      </c>
      <c r="AU115" s="291">
        <f t="shared" si="56"/>
        <v>95776400.811000004</v>
      </c>
      <c r="AV115" s="291"/>
      <c r="AW115" s="291">
        <f t="shared" si="65"/>
        <v>99694892.622000009</v>
      </c>
      <c r="AX115" s="291">
        <f t="shared" si="68"/>
        <v>103613384.43300001</v>
      </c>
      <c r="AY115" s="291">
        <f t="shared" si="68"/>
        <v>107531876.24400002</v>
      </c>
      <c r="AZ115" s="291">
        <f t="shared" si="68"/>
        <v>111450368.05500002</v>
      </c>
      <c r="BA115" s="291">
        <f t="shared" si="68"/>
        <v>115368859.86600003</v>
      </c>
      <c r="BB115" s="291">
        <f t="shared" si="68"/>
        <v>119287351.67700003</v>
      </c>
      <c r="BC115" s="291">
        <f t="shared" si="67"/>
        <v>122954104</v>
      </c>
      <c r="BD115" s="298"/>
      <c r="BE115" s="291">
        <f t="shared" si="39"/>
        <v>99694892.622000009</v>
      </c>
      <c r="BF115" s="291">
        <f t="shared" si="39"/>
        <v>103613384.43300001</v>
      </c>
      <c r="BG115" s="291">
        <f t="shared" si="38"/>
        <v>107531876.24400002</v>
      </c>
      <c r="BH115" s="291">
        <f t="shared" si="38"/>
        <v>111450368.05500002</v>
      </c>
      <c r="BI115" s="291">
        <f t="shared" si="38"/>
        <v>115368859.86600003</v>
      </c>
      <c r="BJ115" s="291">
        <f t="shared" si="38"/>
        <v>119287351.67700003</v>
      </c>
      <c r="BK115" s="291">
        <f t="shared" si="38"/>
        <v>122954104</v>
      </c>
      <c r="BL115" s="298"/>
      <c r="BM115" s="298"/>
      <c r="BN115" s="298"/>
      <c r="BO115" s="298"/>
    </row>
    <row r="116" spans="1:67" x14ac:dyDescent="0.15">
      <c r="A116" s="10" t="s">
        <v>46</v>
      </c>
      <c r="B116" s="10"/>
      <c r="C116" s="276"/>
      <c r="D116" s="276" t="str">
        <f t="shared" si="57"/>
        <v>No</v>
      </c>
      <c r="E116" s="276"/>
      <c r="F116" s="276"/>
      <c r="G116" s="8">
        <v>1</v>
      </c>
      <c r="H116" s="1">
        <v>169</v>
      </c>
      <c r="I116" s="10">
        <v>90</v>
      </c>
      <c r="J116" s="7" t="s">
        <v>102</v>
      </c>
      <c r="K116" s="287"/>
      <c r="L116" s="1">
        <v>4241.28</v>
      </c>
      <c r="M116" s="288"/>
      <c r="N116" s="289"/>
      <c r="O116" s="1">
        <v>7</v>
      </c>
      <c r="P116" s="290">
        <f t="shared" si="40"/>
        <v>1.6504451486343747E-3</v>
      </c>
      <c r="Q116" s="290">
        <f t="shared" si="41"/>
        <v>0</v>
      </c>
      <c r="R116" s="291">
        <f t="shared" si="42"/>
        <v>0</v>
      </c>
      <c r="S116" s="291">
        <f t="shared" si="58"/>
        <v>0</v>
      </c>
      <c r="T116" s="1">
        <v>48</v>
      </c>
      <c r="U116" s="1">
        <f t="shared" si="59"/>
        <v>7.1999999999999993</v>
      </c>
      <c r="V116" s="292">
        <f t="shared" si="43"/>
        <v>2.1</v>
      </c>
      <c r="W116" s="254">
        <f t="shared" si="44"/>
        <v>4250.58</v>
      </c>
      <c r="X116" s="1">
        <v>11831417599.33</v>
      </c>
      <c r="Y116" s="1">
        <v>20376</v>
      </c>
      <c r="Z116" s="264">
        <f t="shared" si="45"/>
        <v>580654.56999999995</v>
      </c>
      <c r="AA116" s="293">
        <f t="shared" si="46"/>
        <v>3.1100910000000002</v>
      </c>
      <c r="AB116" s="1">
        <v>174677</v>
      </c>
      <c r="AC116" s="293">
        <f t="shared" si="47"/>
        <v>1.5169570000000001</v>
      </c>
      <c r="AD116" s="293">
        <f t="shared" si="48"/>
        <v>-1.6321509999999999</v>
      </c>
      <c r="AE116" s="294">
        <f t="shared" si="49"/>
        <v>0.01</v>
      </c>
      <c r="AF116" s="295">
        <f t="shared" si="60"/>
        <v>0</v>
      </c>
      <c r="AG116" s="296">
        <f t="shared" si="61"/>
        <v>0.01</v>
      </c>
      <c r="AH116" s="1">
        <v>0</v>
      </c>
      <c r="AI116" s="1">
        <v>0</v>
      </c>
      <c r="AJ116" s="254">
        <f t="shared" si="50"/>
        <v>0</v>
      </c>
      <c r="AK116" s="9">
        <f t="shared" si="51"/>
        <v>0</v>
      </c>
      <c r="AL116" s="9">
        <f t="shared" si="52"/>
        <v>489879</v>
      </c>
      <c r="AM116" s="9">
        <f t="shared" si="53"/>
        <v>489879</v>
      </c>
      <c r="AN116" s="9">
        <f t="shared" si="62"/>
        <v>489879</v>
      </c>
      <c r="AO116" s="291">
        <v>339590</v>
      </c>
      <c r="AP116" s="9">
        <f t="shared" si="63"/>
        <v>150289</v>
      </c>
      <c r="AQ116" s="297" t="str">
        <f t="shared" si="64"/>
        <v>Yes</v>
      </c>
      <c r="AR116" s="291">
        <v>361345</v>
      </c>
      <c r="AS116" s="291">
        <f t="shared" si="54"/>
        <v>16020.8074</v>
      </c>
      <c r="AT116" s="291">
        <f t="shared" si="55"/>
        <v>377365.80739999999</v>
      </c>
      <c r="AU116" s="291">
        <f t="shared" si="56"/>
        <v>377365.80739999999</v>
      </c>
      <c r="AV116" s="291"/>
      <c r="AW116" s="291">
        <f t="shared" si="65"/>
        <v>393386.61479999998</v>
      </c>
      <c r="AX116" s="291">
        <f t="shared" si="68"/>
        <v>409407.42219999997</v>
      </c>
      <c r="AY116" s="291">
        <f t="shared" si="68"/>
        <v>425428.22959999996</v>
      </c>
      <c r="AZ116" s="291">
        <f t="shared" si="68"/>
        <v>441449.03699999995</v>
      </c>
      <c r="BA116" s="291">
        <f t="shared" si="68"/>
        <v>457469.84439999994</v>
      </c>
      <c r="BB116" s="291">
        <f t="shared" si="68"/>
        <v>473490.65179999993</v>
      </c>
      <c r="BC116" s="291">
        <f t="shared" si="67"/>
        <v>489879</v>
      </c>
      <c r="BD116" s="298"/>
      <c r="BE116" s="291">
        <f t="shared" si="39"/>
        <v>393386.61479999998</v>
      </c>
      <c r="BF116" s="291">
        <f t="shared" si="39"/>
        <v>409407.42219999997</v>
      </c>
      <c r="BG116" s="291">
        <f t="shared" si="38"/>
        <v>425428.22959999996</v>
      </c>
      <c r="BH116" s="291">
        <f t="shared" si="38"/>
        <v>441449.03699999995</v>
      </c>
      <c r="BI116" s="291">
        <f t="shared" si="38"/>
        <v>457469.84439999994</v>
      </c>
      <c r="BJ116" s="291">
        <f t="shared" si="38"/>
        <v>473490.65179999993</v>
      </c>
      <c r="BK116" s="291">
        <f t="shared" si="38"/>
        <v>489879</v>
      </c>
      <c r="BL116" s="298"/>
      <c r="BM116" s="298"/>
      <c r="BN116" s="298"/>
      <c r="BO116" s="298"/>
    </row>
    <row r="117" spans="1:67" x14ac:dyDescent="0.15">
      <c r="A117" s="10" t="s">
        <v>10</v>
      </c>
      <c r="B117" s="10"/>
      <c r="C117" s="276"/>
      <c r="D117" s="276" t="str">
        <f t="shared" si="57"/>
        <v>No</v>
      </c>
      <c r="E117" s="276"/>
      <c r="F117" s="276"/>
      <c r="G117" s="8">
        <v>3</v>
      </c>
      <c r="H117" s="1">
        <v>125</v>
      </c>
      <c r="I117" s="10">
        <v>91</v>
      </c>
      <c r="J117" s="7" t="s">
        <v>103</v>
      </c>
      <c r="K117" s="287"/>
      <c r="L117" s="1">
        <v>2116</v>
      </c>
      <c r="M117" s="288"/>
      <c r="N117" s="289"/>
      <c r="O117" s="1">
        <v>292</v>
      </c>
      <c r="P117" s="290">
        <f t="shared" si="40"/>
        <v>0.13799621928166353</v>
      </c>
      <c r="Q117" s="290">
        <f t="shared" si="41"/>
        <v>0</v>
      </c>
      <c r="R117" s="291">
        <f t="shared" si="42"/>
        <v>0</v>
      </c>
      <c r="S117" s="291">
        <f t="shared" si="58"/>
        <v>0</v>
      </c>
      <c r="T117" s="1">
        <v>82</v>
      </c>
      <c r="U117" s="1">
        <f t="shared" si="59"/>
        <v>12.299999999999999</v>
      </c>
      <c r="V117" s="292">
        <f t="shared" si="43"/>
        <v>87.6</v>
      </c>
      <c r="W117" s="254">
        <f t="shared" si="44"/>
        <v>2215.9</v>
      </c>
      <c r="X117" s="1">
        <v>2440359443.6700001</v>
      </c>
      <c r="Y117" s="1">
        <v>14017</v>
      </c>
      <c r="Z117" s="264">
        <f t="shared" si="45"/>
        <v>174099.98</v>
      </c>
      <c r="AA117" s="293">
        <f t="shared" si="46"/>
        <v>0.93251099999999998</v>
      </c>
      <c r="AB117" s="1">
        <v>104402</v>
      </c>
      <c r="AC117" s="293">
        <f t="shared" si="47"/>
        <v>0.90666400000000003</v>
      </c>
      <c r="AD117" s="293">
        <f t="shared" si="48"/>
        <v>7.5243000000000004E-2</v>
      </c>
      <c r="AE117" s="294">
        <f t="shared" si="49"/>
        <v>7.5243000000000004E-2</v>
      </c>
      <c r="AF117" s="295">
        <f t="shared" si="60"/>
        <v>0</v>
      </c>
      <c r="AG117" s="296">
        <f t="shared" si="61"/>
        <v>7.5243000000000004E-2</v>
      </c>
      <c r="AH117" s="1">
        <v>0</v>
      </c>
      <c r="AI117" s="1">
        <v>0</v>
      </c>
      <c r="AJ117" s="254">
        <f t="shared" si="50"/>
        <v>0</v>
      </c>
      <c r="AK117" s="9">
        <f t="shared" si="51"/>
        <v>0</v>
      </c>
      <c r="AL117" s="9">
        <f t="shared" si="52"/>
        <v>1921574</v>
      </c>
      <c r="AM117" s="9">
        <f t="shared" si="53"/>
        <v>1921574</v>
      </c>
      <c r="AN117" s="9">
        <f t="shared" si="62"/>
        <v>1921574</v>
      </c>
      <c r="AO117" s="291">
        <v>4338569</v>
      </c>
      <c r="AP117" s="9">
        <f t="shared" si="63"/>
        <v>2416995</v>
      </c>
      <c r="AQ117" s="297" t="str">
        <f t="shared" si="64"/>
        <v>No</v>
      </c>
      <c r="AR117" s="291">
        <v>3682456</v>
      </c>
      <c r="AS117" s="291">
        <f t="shared" si="54"/>
        <v>201335.68349999998</v>
      </c>
      <c r="AT117" s="291">
        <f t="shared" si="55"/>
        <v>3481120.3165000002</v>
      </c>
      <c r="AU117" s="291">
        <f t="shared" si="56"/>
        <v>3481120.3165000002</v>
      </c>
      <c r="AV117" s="291"/>
      <c r="AW117" s="291">
        <f t="shared" si="65"/>
        <v>3279784.6330000004</v>
      </c>
      <c r="AX117" s="291">
        <f t="shared" si="68"/>
        <v>3078448.9495000006</v>
      </c>
      <c r="AY117" s="291">
        <f t="shared" si="68"/>
        <v>2877113.2660000008</v>
      </c>
      <c r="AZ117" s="291">
        <f t="shared" si="68"/>
        <v>2675777.5825000009</v>
      </c>
      <c r="BA117" s="291">
        <f t="shared" si="68"/>
        <v>2474441.8990000011</v>
      </c>
      <c r="BB117" s="291">
        <f t="shared" si="68"/>
        <v>2273106.2155000013</v>
      </c>
      <c r="BC117" s="291">
        <f t="shared" si="67"/>
        <v>1921574</v>
      </c>
      <c r="BD117" s="298"/>
      <c r="BE117" s="291">
        <f t="shared" si="39"/>
        <v>3279784.6330000004</v>
      </c>
      <c r="BF117" s="291">
        <f t="shared" si="39"/>
        <v>3078448.9495000006</v>
      </c>
      <c r="BG117" s="291">
        <f t="shared" si="38"/>
        <v>2877113.2660000008</v>
      </c>
      <c r="BH117" s="291">
        <f t="shared" si="38"/>
        <v>2675777.5825000009</v>
      </c>
      <c r="BI117" s="291">
        <f t="shared" si="38"/>
        <v>2474441.8990000011</v>
      </c>
      <c r="BJ117" s="291">
        <f t="shared" si="38"/>
        <v>2273106.2155000013</v>
      </c>
      <c r="BK117" s="291">
        <f t="shared" si="38"/>
        <v>1921574</v>
      </c>
      <c r="BL117" s="298"/>
      <c r="BM117" s="298"/>
      <c r="BN117" s="298"/>
      <c r="BO117" s="298"/>
    </row>
    <row r="118" spans="1:67" x14ac:dyDescent="0.15">
      <c r="A118" s="10" t="s">
        <v>4</v>
      </c>
      <c r="B118" s="10"/>
      <c r="C118" s="276"/>
      <c r="D118" s="276" t="str">
        <f t="shared" si="57"/>
        <v>No</v>
      </c>
      <c r="E118" s="276"/>
      <c r="F118" s="276"/>
      <c r="G118" s="8">
        <v>5</v>
      </c>
      <c r="H118" s="1">
        <v>75</v>
      </c>
      <c r="I118" s="10">
        <v>92</v>
      </c>
      <c r="J118" s="7" t="s">
        <v>104</v>
      </c>
      <c r="K118" s="287"/>
      <c r="L118" s="1">
        <v>935</v>
      </c>
      <c r="M118" s="288"/>
      <c r="N118" s="289"/>
      <c r="O118" s="1">
        <v>157</v>
      </c>
      <c r="P118" s="290">
        <f t="shared" si="40"/>
        <v>0.16791443850267379</v>
      </c>
      <c r="Q118" s="290">
        <f t="shared" si="41"/>
        <v>0</v>
      </c>
      <c r="R118" s="291">
        <f t="shared" si="42"/>
        <v>0</v>
      </c>
      <c r="S118" s="291">
        <f t="shared" si="58"/>
        <v>0</v>
      </c>
      <c r="T118" s="1">
        <v>6</v>
      </c>
      <c r="U118" s="1">
        <f t="shared" si="59"/>
        <v>0.89999999999999991</v>
      </c>
      <c r="V118" s="292">
        <f t="shared" si="43"/>
        <v>47.1</v>
      </c>
      <c r="W118" s="254">
        <f t="shared" si="44"/>
        <v>983</v>
      </c>
      <c r="X118" s="1">
        <v>955296925.66999996</v>
      </c>
      <c r="Y118" s="1">
        <v>6718</v>
      </c>
      <c r="Z118" s="264">
        <f t="shared" si="45"/>
        <v>142199.6</v>
      </c>
      <c r="AA118" s="293">
        <f t="shared" si="46"/>
        <v>0.76164699999999996</v>
      </c>
      <c r="AB118" s="1">
        <v>96291</v>
      </c>
      <c r="AC118" s="293">
        <f t="shared" si="47"/>
        <v>0.836225</v>
      </c>
      <c r="AD118" s="293">
        <f t="shared" si="48"/>
        <v>0.21598000000000001</v>
      </c>
      <c r="AE118" s="294">
        <f t="shared" si="49"/>
        <v>0.21598000000000001</v>
      </c>
      <c r="AF118" s="295">
        <f t="shared" si="60"/>
        <v>0</v>
      </c>
      <c r="AG118" s="296">
        <f t="shared" si="61"/>
        <v>0.21598000000000001</v>
      </c>
      <c r="AH118" s="1">
        <v>484</v>
      </c>
      <c r="AI118" s="1">
        <v>6</v>
      </c>
      <c r="AJ118" s="254">
        <f t="shared" si="50"/>
        <v>46.15</v>
      </c>
      <c r="AK118" s="9">
        <f t="shared" si="51"/>
        <v>22337</v>
      </c>
      <c r="AL118" s="9">
        <f t="shared" si="52"/>
        <v>2446854</v>
      </c>
      <c r="AM118" s="9">
        <f t="shared" si="53"/>
        <v>2469191</v>
      </c>
      <c r="AN118" s="9">
        <f t="shared" si="62"/>
        <v>2469191</v>
      </c>
      <c r="AO118" s="291">
        <v>3113169</v>
      </c>
      <c r="AP118" s="9">
        <f t="shared" si="63"/>
        <v>643978</v>
      </c>
      <c r="AQ118" s="297" t="str">
        <f t="shared" si="64"/>
        <v>No</v>
      </c>
      <c r="AR118" s="291">
        <v>2966653</v>
      </c>
      <c r="AS118" s="291">
        <f t="shared" si="54"/>
        <v>53643.367400000003</v>
      </c>
      <c r="AT118" s="291">
        <f t="shared" si="55"/>
        <v>2913009.6326000001</v>
      </c>
      <c r="AU118" s="291">
        <f t="shared" si="56"/>
        <v>2913009.6326000001</v>
      </c>
      <c r="AV118" s="291"/>
      <c r="AW118" s="291">
        <f t="shared" si="65"/>
        <v>2859366.2652000003</v>
      </c>
      <c r="AX118" s="291">
        <f t="shared" si="68"/>
        <v>2805722.8978000004</v>
      </c>
      <c r="AY118" s="291">
        <f t="shared" si="68"/>
        <v>2752079.5304000005</v>
      </c>
      <c r="AZ118" s="291">
        <f t="shared" si="68"/>
        <v>2698436.1630000006</v>
      </c>
      <c r="BA118" s="291">
        <f t="shared" si="68"/>
        <v>2644792.7956000008</v>
      </c>
      <c r="BB118" s="291">
        <f t="shared" si="68"/>
        <v>2591149.4282000009</v>
      </c>
      <c r="BC118" s="291">
        <f t="shared" si="67"/>
        <v>2469191</v>
      </c>
      <c r="BD118" s="298"/>
      <c r="BE118" s="291">
        <f t="shared" si="39"/>
        <v>2859366.2652000003</v>
      </c>
      <c r="BF118" s="291">
        <f t="shared" si="39"/>
        <v>2805722.8978000004</v>
      </c>
      <c r="BG118" s="291">
        <f t="shared" si="38"/>
        <v>2752079.5304000005</v>
      </c>
      <c r="BH118" s="291">
        <f t="shared" si="38"/>
        <v>2698436.1630000006</v>
      </c>
      <c r="BI118" s="291">
        <f t="shared" si="38"/>
        <v>2644792.7956000008</v>
      </c>
      <c r="BJ118" s="291">
        <f t="shared" si="38"/>
        <v>2591149.4282000009</v>
      </c>
      <c r="BK118" s="291">
        <f t="shared" si="38"/>
        <v>2469191</v>
      </c>
      <c r="BL118" s="298"/>
      <c r="BM118" s="298"/>
      <c r="BN118" s="298"/>
      <c r="BO118" s="298"/>
    </row>
    <row r="119" spans="1:67" x14ac:dyDescent="0.15">
      <c r="A119" s="10" t="s">
        <v>24</v>
      </c>
      <c r="B119" s="10">
        <v>1</v>
      </c>
      <c r="C119" s="276">
        <v>1</v>
      </c>
      <c r="D119" s="276" t="str">
        <f t="shared" si="57"/>
        <v>Yes</v>
      </c>
      <c r="E119" s="276">
        <v>0</v>
      </c>
      <c r="F119" s="276">
        <v>1</v>
      </c>
      <c r="G119" s="8">
        <v>10</v>
      </c>
      <c r="H119" s="1">
        <v>5</v>
      </c>
      <c r="I119" s="10">
        <v>93</v>
      </c>
      <c r="J119" s="7" t="s">
        <v>105</v>
      </c>
      <c r="K119" s="287"/>
      <c r="L119" s="1">
        <v>18507.46</v>
      </c>
      <c r="M119" s="300"/>
      <c r="N119" s="289"/>
      <c r="O119" s="1">
        <v>12860</v>
      </c>
      <c r="P119" s="290">
        <f t="shared" si="40"/>
        <v>0.69485493957571709</v>
      </c>
      <c r="Q119" s="290">
        <f t="shared" si="41"/>
        <v>0</v>
      </c>
      <c r="R119" s="291">
        <f t="shared" si="42"/>
        <v>0</v>
      </c>
      <c r="S119" s="291">
        <f t="shared" si="58"/>
        <v>0</v>
      </c>
      <c r="T119" s="1">
        <v>3499</v>
      </c>
      <c r="U119" s="1">
        <f t="shared" si="59"/>
        <v>524.85</v>
      </c>
      <c r="V119" s="292">
        <f t="shared" si="43"/>
        <v>3858</v>
      </c>
      <c r="W119" s="254">
        <f t="shared" si="44"/>
        <v>22890.309999999998</v>
      </c>
      <c r="X119" s="1">
        <v>10088485997.33</v>
      </c>
      <c r="Y119" s="1">
        <v>131014</v>
      </c>
      <c r="Z119" s="264">
        <f t="shared" si="45"/>
        <v>77003.11</v>
      </c>
      <c r="AA119" s="293">
        <f t="shared" si="46"/>
        <v>0.412443</v>
      </c>
      <c r="AB119" s="1">
        <v>39191</v>
      </c>
      <c r="AC119" s="293">
        <f t="shared" si="47"/>
        <v>0.34034900000000001</v>
      </c>
      <c r="AD119" s="293">
        <f t="shared" si="48"/>
        <v>0.60918499999999998</v>
      </c>
      <c r="AE119" s="294">
        <f t="shared" si="49"/>
        <v>0.60918499999999998</v>
      </c>
      <c r="AF119" s="295">
        <f t="shared" si="60"/>
        <v>0.06</v>
      </c>
      <c r="AG119" s="296">
        <f t="shared" si="61"/>
        <v>0.66918499999999992</v>
      </c>
      <c r="AH119" s="1">
        <v>0</v>
      </c>
      <c r="AI119" s="1">
        <v>0</v>
      </c>
      <c r="AJ119" s="254">
        <f t="shared" si="50"/>
        <v>0</v>
      </c>
      <c r="AK119" s="9">
        <f t="shared" si="51"/>
        <v>0</v>
      </c>
      <c r="AL119" s="9">
        <f t="shared" si="52"/>
        <v>176538245</v>
      </c>
      <c r="AM119" s="9">
        <f t="shared" si="53"/>
        <v>176538245</v>
      </c>
      <c r="AN119" s="9">
        <f t="shared" si="62"/>
        <v>176538245</v>
      </c>
      <c r="AO119" s="291">
        <v>154301977</v>
      </c>
      <c r="AP119" s="9">
        <f t="shared" si="63"/>
        <v>22236268</v>
      </c>
      <c r="AQ119" s="297" t="str">
        <f t="shared" si="64"/>
        <v>Yes</v>
      </c>
      <c r="AR119" s="291">
        <v>158100479</v>
      </c>
      <c r="AS119" s="291">
        <f t="shared" si="54"/>
        <v>2370386.1688000001</v>
      </c>
      <c r="AT119" s="291">
        <f t="shared" si="55"/>
        <v>160470865.1688</v>
      </c>
      <c r="AU119" s="291">
        <f t="shared" si="56"/>
        <v>160470865.1688</v>
      </c>
      <c r="AV119" s="291"/>
      <c r="AW119" s="291">
        <f t="shared" si="65"/>
        <v>162841251.33759999</v>
      </c>
      <c r="AX119" s="291">
        <f t="shared" si="68"/>
        <v>165211637.50639999</v>
      </c>
      <c r="AY119" s="291">
        <f t="shared" si="68"/>
        <v>167582023.67519999</v>
      </c>
      <c r="AZ119" s="291">
        <f t="shared" si="68"/>
        <v>169952409.84399998</v>
      </c>
      <c r="BA119" s="291">
        <f t="shared" si="68"/>
        <v>172322796.01279998</v>
      </c>
      <c r="BB119" s="291">
        <f t="shared" si="68"/>
        <v>174693182.18159997</v>
      </c>
      <c r="BC119" s="291">
        <f t="shared" si="67"/>
        <v>176538245</v>
      </c>
      <c r="BD119" s="298"/>
      <c r="BE119" s="291">
        <f t="shared" si="39"/>
        <v>162841251.33759999</v>
      </c>
      <c r="BF119" s="291">
        <f t="shared" si="39"/>
        <v>165211637.50639999</v>
      </c>
      <c r="BG119" s="291">
        <f t="shared" si="38"/>
        <v>167582023.67519999</v>
      </c>
      <c r="BH119" s="291">
        <f t="shared" si="38"/>
        <v>169952409.84399998</v>
      </c>
      <c r="BI119" s="291">
        <f t="shared" si="38"/>
        <v>172322796.01279998</v>
      </c>
      <c r="BJ119" s="291">
        <f t="shared" si="38"/>
        <v>174693182.18159997</v>
      </c>
      <c r="BK119" s="291">
        <f t="shared" si="38"/>
        <v>176538245</v>
      </c>
      <c r="BL119" s="298"/>
      <c r="BM119" s="298"/>
      <c r="BN119" s="298"/>
      <c r="BO119" s="298"/>
    </row>
    <row r="120" spans="1:67" x14ac:dyDescent="0.15">
      <c r="A120" s="10" t="s">
        <v>14</v>
      </c>
      <c r="B120" s="10"/>
      <c r="C120" s="276"/>
      <c r="D120" s="276" t="str">
        <f t="shared" si="57"/>
        <v>No</v>
      </c>
      <c r="E120" s="276"/>
      <c r="F120" s="276"/>
      <c r="G120" s="8">
        <v>7</v>
      </c>
      <c r="H120" s="1">
        <v>47</v>
      </c>
      <c r="I120" s="10">
        <v>94</v>
      </c>
      <c r="J120" s="7" t="s">
        <v>106</v>
      </c>
      <c r="K120" s="287"/>
      <c r="L120" s="1">
        <v>4156.46</v>
      </c>
      <c r="M120" s="288"/>
      <c r="N120" s="289"/>
      <c r="O120" s="1">
        <v>1313</v>
      </c>
      <c r="P120" s="290">
        <f t="shared" si="40"/>
        <v>0.3158938134855141</v>
      </c>
      <c r="Q120" s="290">
        <f t="shared" si="41"/>
        <v>0</v>
      </c>
      <c r="R120" s="291">
        <f t="shared" si="42"/>
        <v>0</v>
      </c>
      <c r="S120" s="291">
        <f t="shared" si="58"/>
        <v>0</v>
      </c>
      <c r="T120" s="1">
        <v>248</v>
      </c>
      <c r="U120" s="1">
        <f t="shared" si="59"/>
        <v>37.199999999999996</v>
      </c>
      <c r="V120" s="292">
        <f t="shared" si="43"/>
        <v>393.9</v>
      </c>
      <c r="W120" s="254">
        <f t="shared" si="44"/>
        <v>4587.5599999999995</v>
      </c>
      <c r="X120" s="1">
        <v>3957604737.3299999</v>
      </c>
      <c r="Y120" s="1">
        <v>30404</v>
      </c>
      <c r="Z120" s="264">
        <f t="shared" si="45"/>
        <v>130167.24</v>
      </c>
      <c r="AA120" s="293">
        <f t="shared" si="46"/>
        <v>0.69719900000000001</v>
      </c>
      <c r="AB120" s="1">
        <v>79181</v>
      </c>
      <c r="AC120" s="293">
        <f t="shared" si="47"/>
        <v>0.68763600000000002</v>
      </c>
      <c r="AD120" s="293">
        <f t="shared" si="48"/>
        <v>0.30567</v>
      </c>
      <c r="AE120" s="294">
        <f t="shared" si="49"/>
        <v>0.30567</v>
      </c>
      <c r="AF120" s="295">
        <f t="shared" si="60"/>
        <v>0</v>
      </c>
      <c r="AG120" s="296">
        <f t="shared" si="61"/>
        <v>0.30567</v>
      </c>
      <c r="AH120" s="1">
        <v>0</v>
      </c>
      <c r="AI120" s="1">
        <v>0</v>
      </c>
      <c r="AJ120" s="254">
        <f t="shared" si="50"/>
        <v>0</v>
      </c>
      <c r="AK120" s="9">
        <f t="shared" si="51"/>
        <v>0</v>
      </c>
      <c r="AL120" s="9">
        <f t="shared" si="52"/>
        <v>16161271</v>
      </c>
      <c r="AM120" s="9">
        <f t="shared" si="53"/>
        <v>16161271</v>
      </c>
      <c r="AN120" s="9">
        <f t="shared" si="62"/>
        <v>16161271</v>
      </c>
      <c r="AO120" s="291">
        <v>12983806</v>
      </c>
      <c r="AP120" s="9">
        <f t="shared" si="63"/>
        <v>3177465</v>
      </c>
      <c r="AQ120" s="297" t="str">
        <f t="shared" si="64"/>
        <v>Yes</v>
      </c>
      <c r="AR120" s="291">
        <v>13434233</v>
      </c>
      <c r="AS120" s="291">
        <f t="shared" si="54"/>
        <v>338717.76900000003</v>
      </c>
      <c r="AT120" s="291">
        <f t="shared" si="55"/>
        <v>13772950.768999999</v>
      </c>
      <c r="AU120" s="291">
        <f t="shared" si="56"/>
        <v>13772950.768999999</v>
      </c>
      <c r="AV120" s="291"/>
      <c r="AW120" s="291">
        <f t="shared" si="65"/>
        <v>14111668.537999999</v>
      </c>
      <c r="AX120" s="291">
        <f t="shared" si="68"/>
        <v>14450386.306999998</v>
      </c>
      <c r="AY120" s="291">
        <f t="shared" si="68"/>
        <v>14789104.075999998</v>
      </c>
      <c r="AZ120" s="291">
        <f t="shared" si="68"/>
        <v>15127821.844999997</v>
      </c>
      <c r="BA120" s="291">
        <f t="shared" si="68"/>
        <v>15466539.613999996</v>
      </c>
      <c r="BB120" s="291">
        <f t="shared" si="68"/>
        <v>15805257.382999996</v>
      </c>
      <c r="BC120" s="291">
        <f t="shared" si="67"/>
        <v>16161271</v>
      </c>
      <c r="BD120" s="298"/>
      <c r="BE120" s="291">
        <f t="shared" si="39"/>
        <v>14111668.537999999</v>
      </c>
      <c r="BF120" s="291">
        <f t="shared" si="39"/>
        <v>14450386.306999998</v>
      </c>
      <c r="BG120" s="291">
        <f t="shared" si="38"/>
        <v>14789104.075999998</v>
      </c>
      <c r="BH120" s="291">
        <f t="shared" si="38"/>
        <v>15127821.844999997</v>
      </c>
      <c r="BI120" s="291">
        <f t="shared" si="38"/>
        <v>15466539.613999996</v>
      </c>
      <c r="BJ120" s="291">
        <f t="shared" si="38"/>
        <v>15805257.382999996</v>
      </c>
      <c r="BK120" s="291">
        <f t="shared" si="38"/>
        <v>16161271</v>
      </c>
      <c r="BL120" s="298"/>
      <c r="BM120" s="298"/>
      <c r="BN120" s="298"/>
      <c r="BO120" s="298"/>
    </row>
    <row r="121" spans="1:67" x14ac:dyDescent="0.15">
      <c r="A121" s="10" t="s">
        <v>24</v>
      </c>
      <c r="B121" s="10">
        <v>1</v>
      </c>
      <c r="C121" s="276">
        <v>1</v>
      </c>
      <c r="D121" s="276" t="str">
        <f t="shared" si="57"/>
        <v>Yes</v>
      </c>
      <c r="E121" s="276">
        <v>0</v>
      </c>
      <c r="F121" s="276">
        <v>1</v>
      </c>
      <c r="G121" s="8">
        <v>10</v>
      </c>
      <c r="H121" s="1">
        <v>7</v>
      </c>
      <c r="I121" s="10">
        <v>95</v>
      </c>
      <c r="J121" s="7" t="s">
        <v>107</v>
      </c>
      <c r="K121" s="287"/>
      <c r="L121" s="1">
        <v>3511.61</v>
      </c>
      <c r="M121" s="300"/>
      <c r="N121" s="289"/>
      <c r="O121" s="1">
        <v>2976</v>
      </c>
      <c r="P121" s="290">
        <f t="shared" si="40"/>
        <v>0.84747452023430847</v>
      </c>
      <c r="Q121" s="290">
        <f t="shared" si="41"/>
        <v>9.747452023430847E-2</v>
      </c>
      <c r="R121" s="291">
        <f t="shared" si="42"/>
        <v>342.29249999999996</v>
      </c>
      <c r="S121" s="291">
        <f t="shared" si="58"/>
        <v>17.114625</v>
      </c>
      <c r="T121" s="1">
        <v>811</v>
      </c>
      <c r="U121" s="1">
        <f t="shared" si="59"/>
        <v>121.64999999999999</v>
      </c>
      <c r="V121" s="292">
        <f t="shared" si="43"/>
        <v>892.8</v>
      </c>
      <c r="W121" s="254">
        <f t="shared" si="44"/>
        <v>4543.1746249999997</v>
      </c>
      <c r="X121" s="1">
        <v>1903885616.3299999</v>
      </c>
      <c r="Y121" s="1">
        <v>27072</v>
      </c>
      <c r="Z121" s="264">
        <f t="shared" si="45"/>
        <v>70326.740000000005</v>
      </c>
      <c r="AA121" s="293">
        <f t="shared" si="46"/>
        <v>0.37668299999999999</v>
      </c>
      <c r="AB121" s="1">
        <v>37331</v>
      </c>
      <c r="AC121" s="293">
        <f t="shared" si="47"/>
        <v>0.32419599999999998</v>
      </c>
      <c r="AD121" s="293">
        <f t="shared" si="48"/>
        <v>0.63906300000000005</v>
      </c>
      <c r="AE121" s="294">
        <f t="shared" si="49"/>
        <v>0.63906300000000005</v>
      </c>
      <c r="AF121" s="295">
        <f t="shared" si="60"/>
        <v>0.05</v>
      </c>
      <c r="AG121" s="296">
        <f t="shared" si="61"/>
        <v>0.68906300000000009</v>
      </c>
      <c r="AH121" s="1">
        <v>0</v>
      </c>
      <c r="AI121" s="1">
        <v>0</v>
      </c>
      <c r="AJ121" s="254">
        <f t="shared" si="50"/>
        <v>0</v>
      </c>
      <c r="AK121" s="9">
        <f t="shared" si="51"/>
        <v>0</v>
      </c>
      <c r="AL121" s="9">
        <f t="shared" si="52"/>
        <v>36079399</v>
      </c>
      <c r="AM121" s="9">
        <f t="shared" si="53"/>
        <v>36079399</v>
      </c>
      <c r="AN121" s="9">
        <f t="shared" si="62"/>
        <v>36079399</v>
      </c>
      <c r="AO121" s="291">
        <v>25806077</v>
      </c>
      <c r="AP121" s="9">
        <f t="shared" si="63"/>
        <v>10273322</v>
      </c>
      <c r="AQ121" s="297" t="str">
        <f t="shared" si="64"/>
        <v>Yes</v>
      </c>
      <c r="AR121" s="291">
        <v>27533842</v>
      </c>
      <c r="AS121" s="291">
        <f t="shared" si="54"/>
        <v>1095136.1251999999</v>
      </c>
      <c r="AT121" s="291">
        <f t="shared" si="55"/>
        <v>28628978.1252</v>
      </c>
      <c r="AU121" s="291">
        <f t="shared" si="56"/>
        <v>28628978.1252</v>
      </c>
      <c r="AV121" s="291"/>
      <c r="AW121" s="291">
        <f t="shared" si="65"/>
        <v>29724114.250399999</v>
      </c>
      <c r="AX121" s="291">
        <f t="shared" si="68"/>
        <v>30819250.375599999</v>
      </c>
      <c r="AY121" s="291">
        <f t="shared" si="68"/>
        <v>31914386.500799999</v>
      </c>
      <c r="AZ121" s="291">
        <f t="shared" si="68"/>
        <v>33009522.625999998</v>
      </c>
      <c r="BA121" s="291">
        <f t="shared" si="68"/>
        <v>34104658.751199998</v>
      </c>
      <c r="BB121" s="291">
        <f t="shared" si="68"/>
        <v>35199794.876400001</v>
      </c>
      <c r="BC121" s="291">
        <f t="shared" si="67"/>
        <v>36079399</v>
      </c>
      <c r="BD121" s="298"/>
      <c r="BE121" s="291">
        <f t="shared" si="39"/>
        <v>29724114.250399999</v>
      </c>
      <c r="BF121" s="291">
        <f t="shared" si="39"/>
        <v>30819250.375599999</v>
      </c>
      <c r="BG121" s="291">
        <f t="shared" si="38"/>
        <v>31914386.500799999</v>
      </c>
      <c r="BH121" s="291">
        <f t="shared" si="38"/>
        <v>33009522.625999998</v>
      </c>
      <c r="BI121" s="291">
        <f t="shared" si="38"/>
        <v>34104658.751199998</v>
      </c>
      <c r="BJ121" s="291">
        <f t="shared" si="38"/>
        <v>35199794.876400001</v>
      </c>
      <c r="BK121" s="291">
        <f t="shared" si="38"/>
        <v>36079399</v>
      </c>
      <c r="BL121" s="298"/>
      <c r="BM121" s="298"/>
      <c r="BN121" s="298"/>
      <c r="BO121" s="298"/>
    </row>
    <row r="122" spans="1:67" x14ac:dyDescent="0.15">
      <c r="A122" s="10" t="s">
        <v>14</v>
      </c>
      <c r="B122" s="10"/>
      <c r="C122" s="276"/>
      <c r="D122" s="276" t="str">
        <f t="shared" si="57"/>
        <v>No</v>
      </c>
      <c r="E122" s="276"/>
      <c r="F122" s="276"/>
      <c r="G122" s="8">
        <v>5</v>
      </c>
      <c r="H122" s="1">
        <v>79</v>
      </c>
      <c r="I122" s="10">
        <v>96</v>
      </c>
      <c r="J122" s="7" t="s">
        <v>108</v>
      </c>
      <c r="K122" s="287"/>
      <c r="L122" s="1">
        <v>3901.44</v>
      </c>
      <c r="M122" s="288"/>
      <c r="N122" s="289"/>
      <c r="O122" s="1">
        <v>1370</v>
      </c>
      <c r="P122" s="290">
        <f t="shared" si="40"/>
        <v>0.35115239501312334</v>
      </c>
      <c r="Q122" s="290">
        <f t="shared" si="41"/>
        <v>0</v>
      </c>
      <c r="R122" s="291">
        <f t="shared" si="42"/>
        <v>0</v>
      </c>
      <c r="S122" s="291">
        <f t="shared" si="58"/>
        <v>0</v>
      </c>
      <c r="T122" s="1">
        <v>192</v>
      </c>
      <c r="U122" s="1">
        <f t="shared" si="59"/>
        <v>28.799999999999997</v>
      </c>
      <c r="V122" s="292">
        <f t="shared" si="43"/>
        <v>411</v>
      </c>
      <c r="W122" s="254">
        <f t="shared" si="44"/>
        <v>4341.2400000000007</v>
      </c>
      <c r="X122" s="1">
        <v>4209643316.3299999</v>
      </c>
      <c r="Y122" s="1">
        <v>27099</v>
      </c>
      <c r="Z122" s="264">
        <f t="shared" si="45"/>
        <v>155343.12</v>
      </c>
      <c r="AA122" s="293">
        <f t="shared" si="46"/>
        <v>0.83204599999999995</v>
      </c>
      <c r="AB122" s="1">
        <v>83676</v>
      </c>
      <c r="AC122" s="293">
        <f t="shared" si="47"/>
        <v>0.72667199999999998</v>
      </c>
      <c r="AD122" s="293">
        <f t="shared" si="48"/>
        <v>0.19956599999999999</v>
      </c>
      <c r="AE122" s="294">
        <f t="shared" si="49"/>
        <v>0.19956599999999999</v>
      </c>
      <c r="AF122" s="295">
        <f t="shared" si="60"/>
        <v>0</v>
      </c>
      <c r="AG122" s="296">
        <f t="shared" si="61"/>
        <v>0.19956599999999999</v>
      </c>
      <c r="AH122" s="1">
        <v>0</v>
      </c>
      <c r="AI122" s="1">
        <v>0</v>
      </c>
      <c r="AJ122" s="254">
        <f t="shared" si="50"/>
        <v>0</v>
      </c>
      <c r="AK122" s="9">
        <f t="shared" si="51"/>
        <v>0</v>
      </c>
      <c r="AL122" s="9">
        <f t="shared" si="52"/>
        <v>9984844</v>
      </c>
      <c r="AM122" s="9">
        <f t="shared" si="53"/>
        <v>9984844</v>
      </c>
      <c r="AN122" s="9">
        <f t="shared" si="62"/>
        <v>9984844</v>
      </c>
      <c r="AO122" s="291">
        <v>11832806</v>
      </c>
      <c r="AP122" s="9">
        <f t="shared" si="63"/>
        <v>1847962</v>
      </c>
      <c r="AQ122" s="297" t="str">
        <f t="shared" si="64"/>
        <v>No</v>
      </c>
      <c r="AR122" s="291">
        <v>11278123</v>
      </c>
      <c r="AS122" s="291">
        <f t="shared" si="54"/>
        <v>153935.2346</v>
      </c>
      <c r="AT122" s="291">
        <f t="shared" si="55"/>
        <v>11124187.7654</v>
      </c>
      <c r="AU122" s="291">
        <f t="shared" si="56"/>
        <v>11124187.7654</v>
      </c>
      <c r="AV122" s="291"/>
      <c r="AW122" s="291">
        <f t="shared" si="65"/>
        <v>10970252.5308</v>
      </c>
      <c r="AX122" s="291">
        <f t="shared" si="68"/>
        <v>10816317.2962</v>
      </c>
      <c r="AY122" s="291">
        <f t="shared" si="68"/>
        <v>10662382.0616</v>
      </c>
      <c r="AZ122" s="291">
        <f t="shared" si="68"/>
        <v>10508446.827</v>
      </c>
      <c r="BA122" s="291">
        <f t="shared" si="68"/>
        <v>10354511.592399999</v>
      </c>
      <c r="BB122" s="291">
        <f t="shared" si="68"/>
        <v>10200576.357799999</v>
      </c>
      <c r="BC122" s="291">
        <f t="shared" si="67"/>
        <v>9984844</v>
      </c>
      <c r="BD122" s="298"/>
      <c r="BE122" s="291">
        <f t="shared" si="39"/>
        <v>10970252.5308</v>
      </c>
      <c r="BF122" s="291">
        <f t="shared" si="39"/>
        <v>10816317.2962</v>
      </c>
      <c r="BG122" s="291">
        <f t="shared" si="38"/>
        <v>10662382.0616</v>
      </c>
      <c r="BH122" s="291">
        <f t="shared" si="38"/>
        <v>10508446.827</v>
      </c>
      <c r="BI122" s="291">
        <f t="shared" si="38"/>
        <v>10354511.592399999</v>
      </c>
      <c r="BJ122" s="291">
        <f t="shared" si="38"/>
        <v>10200576.357799999</v>
      </c>
      <c r="BK122" s="291">
        <f t="shared" si="38"/>
        <v>9984844</v>
      </c>
      <c r="BL122" s="298"/>
      <c r="BM122" s="298"/>
      <c r="BN122" s="298"/>
      <c r="BO122" s="298"/>
    </row>
    <row r="123" spans="1:67" x14ac:dyDescent="0.15">
      <c r="A123" s="10" t="s">
        <v>10</v>
      </c>
      <c r="B123" s="10"/>
      <c r="C123" s="276"/>
      <c r="D123" s="276" t="str">
        <f t="shared" si="57"/>
        <v>No</v>
      </c>
      <c r="E123" s="276"/>
      <c r="F123" s="276"/>
      <c r="G123" s="8">
        <v>3</v>
      </c>
      <c r="H123" s="1">
        <v>107</v>
      </c>
      <c r="I123" s="10">
        <v>97</v>
      </c>
      <c r="J123" s="7" t="s">
        <v>109</v>
      </c>
      <c r="K123" s="287"/>
      <c r="L123" s="1">
        <v>4204.5</v>
      </c>
      <c r="M123" s="288"/>
      <c r="N123" s="289"/>
      <c r="O123" s="1">
        <v>586</v>
      </c>
      <c r="P123" s="290">
        <f t="shared" si="40"/>
        <v>0.13937447972410513</v>
      </c>
      <c r="Q123" s="290">
        <f t="shared" si="41"/>
        <v>0</v>
      </c>
      <c r="R123" s="291">
        <f t="shared" si="42"/>
        <v>0</v>
      </c>
      <c r="S123" s="291">
        <f t="shared" si="58"/>
        <v>0</v>
      </c>
      <c r="T123" s="1">
        <v>17</v>
      </c>
      <c r="U123" s="1">
        <f t="shared" si="59"/>
        <v>2.5499999999999998</v>
      </c>
      <c r="V123" s="292">
        <f t="shared" si="43"/>
        <v>175.8</v>
      </c>
      <c r="W123" s="254">
        <f t="shared" si="44"/>
        <v>4382.8500000000004</v>
      </c>
      <c r="X123" s="1">
        <v>4535773595.3299999</v>
      </c>
      <c r="Y123" s="1">
        <v>27965</v>
      </c>
      <c r="Z123" s="264">
        <f t="shared" si="45"/>
        <v>162194.66</v>
      </c>
      <c r="AA123" s="293">
        <f t="shared" si="46"/>
        <v>0.86874399999999996</v>
      </c>
      <c r="AB123" s="1">
        <v>115137</v>
      </c>
      <c r="AC123" s="293">
        <f t="shared" si="47"/>
        <v>0.99989099999999997</v>
      </c>
      <c r="AD123" s="293">
        <f t="shared" si="48"/>
        <v>9.1911999999999994E-2</v>
      </c>
      <c r="AE123" s="294">
        <f t="shared" si="49"/>
        <v>9.1911999999999994E-2</v>
      </c>
      <c r="AF123" s="295">
        <f t="shared" si="60"/>
        <v>0</v>
      </c>
      <c r="AG123" s="296">
        <f t="shared" si="61"/>
        <v>9.1911999999999994E-2</v>
      </c>
      <c r="AH123" s="1">
        <v>0</v>
      </c>
      <c r="AI123" s="1">
        <v>0</v>
      </c>
      <c r="AJ123" s="254">
        <f t="shared" si="50"/>
        <v>0</v>
      </c>
      <c r="AK123" s="9">
        <f t="shared" si="51"/>
        <v>0</v>
      </c>
      <c r="AL123" s="9">
        <f t="shared" si="52"/>
        <v>4642691</v>
      </c>
      <c r="AM123" s="9">
        <f t="shared" si="53"/>
        <v>4642691</v>
      </c>
      <c r="AN123" s="9">
        <f t="shared" si="62"/>
        <v>4642691</v>
      </c>
      <c r="AO123" s="291">
        <v>4893944</v>
      </c>
      <c r="AP123" s="9">
        <f t="shared" si="63"/>
        <v>251253</v>
      </c>
      <c r="AQ123" s="297" t="str">
        <f t="shared" si="64"/>
        <v>No</v>
      </c>
      <c r="AR123" s="291">
        <v>4516620</v>
      </c>
      <c r="AS123" s="291">
        <f t="shared" si="54"/>
        <v>20929.374899999999</v>
      </c>
      <c r="AT123" s="291">
        <f t="shared" si="55"/>
        <v>4495690.6250999998</v>
      </c>
      <c r="AU123" s="291">
        <f t="shared" si="56"/>
        <v>4495690.6250999998</v>
      </c>
      <c r="AV123" s="291"/>
      <c r="AW123" s="291">
        <f t="shared" si="65"/>
        <v>4474761.2501999997</v>
      </c>
      <c r="AX123" s="291">
        <f t="shared" si="68"/>
        <v>4453831.8752999995</v>
      </c>
      <c r="AY123" s="291">
        <f t="shared" si="68"/>
        <v>4432902.5003999993</v>
      </c>
      <c r="AZ123" s="291">
        <f t="shared" si="68"/>
        <v>4411973.1254999992</v>
      </c>
      <c r="BA123" s="291">
        <f t="shared" si="68"/>
        <v>4391043.750599999</v>
      </c>
      <c r="BB123" s="291">
        <f t="shared" si="68"/>
        <v>4370114.3756999988</v>
      </c>
      <c r="BC123" s="291">
        <f t="shared" si="67"/>
        <v>4642691</v>
      </c>
      <c r="BD123" s="298"/>
      <c r="BE123" s="291">
        <f t="shared" si="39"/>
        <v>4474761.2501999997</v>
      </c>
      <c r="BF123" s="291">
        <f t="shared" si="39"/>
        <v>4453831.8752999995</v>
      </c>
      <c r="BG123" s="291">
        <f t="shared" si="38"/>
        <v>4432902.5003999993</v>
      </c>
      <c r="BH123" s="291">
        <f t="shared" si="38"/>
        <v>4411973.1254999992</v>
      </c>
      <c r="BI123" s="291">
        <f t="shared" si="38"/>
        <v>4391043.750599999</v>
      </c>
      <c r="BJ123" s="291">
        <f t="shared" si="38"/>
        <v>4370114.3756999988</v>
      </c>
      <c r="BK123" s="291">
        <f t="shared" si="38"/>
        <v>4642691</v>
      </c>
      <c r="BL123" s="298"/>
      <c r="BM123" s="298"/>
      <c r="BN123" s="298"/>
      <c r="BO123" s="298"/>
    </row>
    <row r="124" spans="1:67" x14ac:dyDescent="0.15">
      <c r="A124" s="10" t="s">
        <v>8</v>
      </c>
      <c r="B124" s="10"/>
      <c r="C124" s="276"/>
      <c r="D124" s="276" t="str">
        <f t="shared" si="57"/>
        <v>No</v>
      </c>
      <c r="E124" s="276"/>
      <c r="F124" s="276"/>
      <c r="G124" s="8">
        <v>2</v>
      </c>
      <c r="H124" s="1">
        <v>137</v>
      </c>
      <c r="I124" s="10">
        <v>98</v>
      </c>
      <c r="J124" s="7" t="s">
        <v>110</v>
      </c>
      <c r="K124" s="287"/>
      <c r="L124" s="1">
        <v>155.02000000000001</v>
      </c>
      <c r="M124" s="288"/>
      <c r="N124" s="289"/>
      <c r="O124" s="1">
        <v>52</v>
      </c>
      <c r="P124" s="290">
        <f t="shared" si="40"/>
        <v>0.33544058831118562</v>
      </c>
      <c r="Q124" s="290">
        <f t="shared" si="41"/>
        <v>0</v>
      </c>
      <c r="R124" s="291">
        <f t="shared" si="42"/>
        <v>0</v>
      </c>
      <c r="S124" s="291">
        <f t="shared" si="58"/>
        <v>0</v>
      </c>
      <c r="T124" s="1">
        <v>3</v>
      </c>
      <c r="U124" s="1">
        <f t="shared" si="59"/>
        <v>0.44999999999999996</v>
      </c>
      <c r="V124" s="292">
        <f t="shared" si="43"/>
        <v>15.6</v>
      </c>
      <c r="W124" s="254">
        <f t="shared" si="44"/>
        <v>171.07</v>
      </c>
      <c r="X124" s="1">
        <v>382538065.67000002</v>
      </c>
      <c r="Y124" s="1">
        <v>1642</v>
      </c>
      <c r="Z124" s="264">
        <f t="shared" si="45"/>
        <v>232970.81</v>
      </c>
      <c r="AA124" s="293">
        <f t="shared" si="46"/>
        <v>1.2478340000000001</v>
      </c>
      <c r="AB124" s="1">
        <v>74844</v>
      </c>
      <c r="AC124" s="293">
        <f t="shared" si="47"/>
        <v>0.64997199999999999</v>
      </c>
      <c r="AD124" s="293">
        <f t="shared" si="48"/>
        <v>-6.8474999999999994E-2</v>
      </c>
      <c r="AE124" s="294">
        <f t="shared" si="49"/>
        <v>0.01</v>
      </c>
      <c r="AF124" s="295">
        <f t="shared" si="60"/>
        <v>0</v>
      </c>
      <c r="AG124" s="296">
        <f t="shared" si="61"/>
        <v>0.01</v>
      </c>
      <c r="AH124" s="1">
        <v>78</v>
      </c>
      <c r="AI124" s="1">
        <v>6</v>
      </c>
      <c r="AJ124" s="254">
        <f t="shared" si="50"/>
        <v>46.15</v>
      </c>
      <c r="AK124" s="9">
        <f t="shared" si="51"/>
        <v>3600</v>
      </c>
      <c r="AL124" s="9">
        <f t="shared" si="52"/>
        <v>19716</v>
      </c>
      <c r="AM124" s="9">
        <f t="shared" si="53"/>
        <v>23316</v>
      </c>
      <c r="AN124" s="9">
        <f t="shared" si="62"/>
        <v>23316</v>
      </c>
      <c r="AO124" s="291">
        <v>25815</v>
      </c>
      <c r="AP124" s="9">
        <f t="shared" si="63"/>
        <v>2499</v>
      </c>
      <c r="AQ124" s="297" t="str">
        <f t="shared" si="64"/>
        <v>No</v>
      </c>
      <c r="AR124" s="291">
        <v>26148</v>
      </c>
      <c r="AS124" s="291">
        <f t="shared" si="54"/>
        <v>208.16669999999999</v>
      </c>
      <c r="AT124" s="291">
        <f t="shared" si="55"/>
        <v>25939.833299999998</v>
      </c>
      <c r="AU124" s="291">
        <f t="shared" si="56"/>
        <v>25939.833299999998</v>
      </c>
      <c r="AV124" s="291"/>
      <c r="AW124" s="291">
        <f t="shared" si="65"/>
        <v>25731.666599999997</v>
      </c>
      <c r="AX124" s="291">
        <f t="shared" ref="AX124:BB139" si="69">IF($AQ124="Yes",AW124+$AS124,AW124-$AS124)</f>
        <v>25523.499899999995</v>
      </c>
      <c r="AY124" s="291">
        <f t="shared" si="69"/>
        <v>25315.333199999994</v>
      </c>
      <c r="AZ124" s="291">
        <f t="shared" si="69"/>
        <v>25107.166499999992</v>
      </c>
      <c r="BA124" s="291">
        <f t="shared" si="69"/>
        <v>24898.999799999991</v>
      </c>
      <c r="BB124" s="291">
        <f t="shared" si="69"/>
        <v>24690.833099999989</v>
      </c>
      <c r="BC124" s="291">
        <f t="shared" si="67"/>
        <v>23316</v>
      </c>
      <c r="BD124" s="298"/>
      <c r="BE124" s="291">
        <f t="shared" si="39"/>
        <v>25731.666599999997</v>
      </c>
      <c r="BF124" s="291">
        <f t="shared" si="39"/>
        <v>25523.499899999995</v>
      </c>
      <c r="BG124" s="291">
        <f t="shared" si="38"/>
        <v>25315.333199999994</v>
      </c>
      <c r="BH124" s="291">
        <f t="shared" si="38"/>
        <v>25107.166499999992</v>
      </c>
      <c r="BI124" s="291">
        <f t="shared" si="38"/>
        <v>24898.999799999991</v>
      </c>
      <c r="BJ124" s="291">
        <f t="shared" si="38"/>
        <v>24690.833099999989</v>
      </c>
      <c r="BK124" s="291">
        <f t="shared" si="38"/>
        <v>23316</v>
      </c>
      <c r="BL124" s="298"/>
      <c r="BM124" s="298"/>
      <c r="BN124" s="298"/>
      <c r="BO124" s="298"/>
    </row>
    <row r="125" spans="1:67" x14ac:dyDescent="0.15">
      <c r="A125" s="10" t="s">
        <v>8</v>
      </c>
      <c r="B125" s="10"/>
      <c r="C125" s="276"/>
      <c r="D125" s="276" t="str">
        <f t="shared" si="57"/>
        <v>No</v>
      </c>
      <c r="E125" s="276"/>
      <c r="F125" s="276"/>
      <c r="G125" s="8">
        <v>6</v>
      </c>
      <c r="H125" s="1">
        <v>66</v>
      </c>
      <c r="I125" s="10">
        <v>99</v>
      </c>
      <c r="J125" s="7" t="s">
        <v>111</v>
      </c>
      <c r="K125" s="287"/>
      <c r="L125" s="1">
        <v>1758.42</v>
      </c>
      <c r="M125" s="288"/>
      <c r="N125" s="289"/>
      <c r="O125" s="1">
        <v>402</v>
      </c>
      <c r="P125" s="290">
        <f t="shared" si="40"/>
        <v>0.22861432422288189</v>
      </c>
      <c r="Q125" s="290">
        <f t="shared" si="41"/>
        <v>0</v>
      </c>
      <c r="R125" s="291">
        <f t="shared" si="42"/>
        <v>0</v>
      </c>
      <c r="S125" s="291">
        <f t="shared" si="58"/>
        <v>0</v>
      </c>
      <c r="T125" s="1">
        <v>15</v>
      </c>
      <c r="U125" s="1">
        <f t="shared" si="59"/>
        <v>2.25</v>
      </c>
      <c r="V125" s="292">
        <f t="shared" si="43"/>
        <v>120.6</v>
      </c>
      <c r="W125" s="254">
        <f t="shared" si="44"/>
        <v>1881.27</v>
      </c>
      <c r="X125" s="1">
        <v>1809172863.3299999</v>
      </c>
      <c r="Y125" s="1">
        <v>14208</v>
      </c>
      <c r="Z125" s="264">
        <f t="shared" si="45"/>
        <v>127334.8</v>
      </c>
      <c r="AA125" s="293">
        <f t="shared" si="46"/>
        <v>0.68202799999999997</v>
      </c>
      <c r="AB125" s="1">
        <v>83637</v>
      </c>
      <c r="AC125" s="293">
        <f t="shared" si="47"/>
        <v>0.72633300000000001</v>
      </c>
      <c r="AD125" s="293">
        <f t="shared" si="48"/>
        <v>0.30468099999999998</v>
      </c>
      <c r="AE125" s="294">
        <f t="shared" si="49"/>
        <v>0.30468099999999998</v>
      </c>
      <c r="AF125" s="295">
        <f t="shared" si="60"/>
        <v>0</v>
      </c>
      <c r="AG125" s="296">
        <f t="shared" si="61"/>
        <v>0.30468099999999998</v>
      </c>
      <c r="AH125" s="1">
        <v>0</v>
      </c>
      <c r="AI125" s="1">
        <v>0</v>
      </c>
      <c r="AJ125" s="254">
        <f t="shared" si="50"/>
        <v>0</v>
      </c>
      <c r="AK125" s="9">
        <f t="shared" si="51"/>
        <v>0</v>
      </c>
      <c r="AL125" s="9">
        <f t="shared" si="52"/>
        <v>6605983</v>
      </c>
      <c r="AM125" s="9">
        <f t="shared" si="53"/>
        <v>6605983</v>
      </c>
      <c r="AN125" s="9">
        <f t="shared" si="62"/>
        <v>6605983</v>
      </c>
      <c r="AO125" s="291">
        <v>8076776</v>
      </c>
      <c r="AP125" s="9">
        <f t="shared" si="63"/>
        <v>1470793</v>
      </c>
      <c r="AQ125" s="297" t="str">
        <f t="shared" si="64"/>
        <v>No</v>
      </c>
      <c r="AR125" s="291">
        <v>7453844</v>
      </c>
      <c r="AS125" s="291">
        <f t="shared" si="54"/>
        <v>122517.0569</v>
      </c>
      <c r="AT125" s="291">
        <f t="shared" si="55"/>
        <v>7331326.9430999998</v>
      </c>
      <c r="AU125" s="291">
        <f t="shared" si="56"/>
        <v>7331326.9430999998</v>
      </c>
      <c r="AV125" s="291"/>
      <c r="AW125" s="291">
        <f t="shared" si="65"/>
        <v>7208809.8861999996</v>
      </c>
      <c r="AX125" s="291">
        <f t="shared" si="69"/>
        <v>7086292.8292999994</v>
      </c>
      <c r="AY125" s="291">
        <f t="shared" si="69"/>
        <v>6963775.7723999992</v>
      </c>
      <c r="AZ125" s="291">
        <f t="shared" si="69"/>
        <v>6841258.715499999</v>
      </c>
      <c r="BA125" s="291">
        <f t="shared" si="69"/>
        <v>6718741.6585999988</v>
      </c>
      <c r="BB125" s="291">
        <f t="shared" si="69"/>
        <v>6596224.6016999986</v>
      </c>
      <c r="BC125" s="291">
        <f t="shared" si="67"/>
        <v>6605983</v>
      </c>
      <c r="BD125" s="298"/>
      <c r="BE125" s="291">
        <f t="shared" si="39"/>
        <v>7208809.8861999996</v>
      </c>
      <c r="BF125" s="291">
        <f t="shared" si="39"/>
        <v>7086292.8292999994</v>
      </c>
      <c r="BG125" s="291">
        <f t="shared" si="38"/>
        <v>6963775.7723999992</v>
      </c>
      <c r="BH125" s="291">
        <f t="shared" si="38"/>
        <v>6841258.715499999</v>
      </c>
      <c r="BI125" s="291">
        <f t="shared" si="38"/>
        <v>6718741.6585999988</v>
      </c>
      <c r="BJ125" s="291">
        <f t="shared" si="38"/>
        <v>6596224.6016999986</v>
      </c>
      <c r="BK125" s="291">
        <f t="shared" si="38"/>
        <v>6605983</v>
      </c>
      <c r="BL125" s="298"/>
      <c r="BM125" s="298"/>
      <c r="BN125" s="298"/>
      <c r="BO125" s="298"/>
    </row>
    <row r="126" spans="1:67" x14ac:dyDescent="0.15">
      <c r="A126" s="10" t="s">
        <v>32</v>
      </c>
      <c r="B126" s="10"/>
      <c r="C126" s="276"/>
      <c r="D126" s="276" t="str">
        <f t="shared" si="57"/>
        <v>No</v>
      </c>
      <c r="E126" s="276"/>
      <c r="F126" s="276"/>
      <c r="G126" s="8">
        <v>8</v>
      </c>
      <c r="H126" s="1">
        <v>54</v>
      </c>
      <c r="I126" s="10">
        <v>100</v>
      </c>
      <c r="J126" s="7" t="s">
        <v>112</v>
      </c>
      <c r="K126" s="287"/>
      <c r="L126" s="1">
        <v>347.63</v>
      </c>
      <c r="M126" s="288"/>
      <c r="N126" s="289"/>
      <c r="O126" s="1">
        <v>167</v>
      </c>
      <c r="P126" s="290">
        <f t="shared" si="40"/>
        <v>0.48039582314529816</v>
      </c>
      <c r="Q126" s="290">
        <f t="shared" si="41"/>
        <v>0</v>
      </c>
      <c r="R126" s="291">
        <f t="shared" si="42"/>
        <v>0</v>
      </c>
      <c r="S126" s="291">
        <f t="shared" si="58"/>
        <v>0</v>
      </c>
      <c r="T126" s="1">
        <v>13</v>
      </c>
      <c r="U126" s="1">
        <f t="shared" si="59"/>
        <v>1.95</v>
      </c>
      <c r="V126" s="292">
        <f t="shared" si="43"/>
        <v>50.1</v>
      </c>
      <c r="W126" s="254">
        <f t="shared" si="44"/>
        <v>399.68</v>
      </c>
      <c r="X126" s="1">
        <v>444616887.32999998</v>
      </c>
      <c r="Y126" s="1">
        <v>3279</v>
      </c>
      <c r="Z126" s="264">
        <f t="shared" si="45"/>
        <v>135595.26999999999</v>
      </c>
      <c r="AA126" s="293">
        <f t="shared" si="46"/>
        <v>0.72627299999999995</v>
      </c>
      <c r="AB126" s="1">
        <v>72411</v>
      </c>
      <c r="AC126" s="293">
        <f t="shared" si="47"/>
        <v>0.62884300000000004</v>
      </c>
      <c r="AD126" s="293">
        <f t="shared" si="48"/>
        <v>0.302956</v>
      </c>
      <c r="AE126" s="294">
        <f t="shared" si="49"/>
        <v>0.302956</v>
      </c>
      <c r="AF126" s="295">
        <f t="shared" si="60"/>
        <v>0</v>
      </c>
      <c r="AG126" s="296">
        <f t="shared" si="61"/>
        <v>0.302956</v>
      </c>
      <c r="AH126" s="1">
        <v>102</v>
      </c>
      <c r="AI126" s="1">
        <v>4</v>
      </c>
      <c r="AJ126" s="254">
        <f t="shared" si="50"/>
        <v>30.77</v>
      </c>
      <c r="AK126" s="9">
        <f t="shared" si="51"/>
        <v>3139</v>
      </c>
      <c r="AL126" s="9">
        <f t="shared" si="52"/>
        <v>1395510</v>
      </c>
      <c r="AM126" s="9">
        <f t="shared" si="53"/>
        <v>1398649</v>
      </c>
      <c r="AN126" s="9">
        <f t="shared" si="62"/>
        <v>1398649</v>
      </c>
      <c r="AO126" s="291">
        <v>2044243</v>
      </c>
      <c r="AP126" s="9">
        <f t="shared" si="63"/>
        <v>645594</v>
      </c>
      <c r="AQ126" s="297" t="str">
        <f t="shared" si="64"/>
        <v>No</v>
      </c>
      <c r="AR126" s="291">
        <v>1835732</v>
      </c>
      <c r="AS126" s="291">
        <f t="shared" si="54"/>
        <v>53777.980199999998</v>
      </c>
      <c r="AT126" s="291">
        <f t="shared" si="55"/>
        <v>1781954.0197999999</v>
      </c>
      <c r="AU126" s="291">
        <f t="shared" si="56"/>
        <v>1781954.0197999999</v>
      </c>
      <c r="AV126" s="291"/>
      <c r="AW126" s="291">
        <f t="shared" si="65"/>
        <v>1728176.0395999998</v>
      </c>
      <c r="AX126" s="291">
        <f t="shared" si="69"/>
        <v>1674398.0593999997</v>
      </c>
      <c r="AY126" s="291">
        <f t="shared" si="69"/>
        <v>1620620.0791999996</v>
      </c>
      <c r="AZ126" s="291">
        <f t="shared" si="69"/>
        <v>1566842.0989999995</v>
      </c>
      <c r="BA126" s="291">
        <f t="shared" si="69"/>
        <v>1513064.1187999994</v>
      </c>
      <c r="BB126" s="291">
        <f t="shared" si="69"/>
        <v>1459286.1385999992</v>
      </c>
      <c r="BC126" s="291">
        <f t="shared" si="67"/>
        <v>1398649</v>
      </c>
      <c r="BD126" s="298"/>
      <c r="BE126" s="291">
        <f t="shared" si="39"/>
        <v>1728176.0395999998</v>
      </c>
      <c r="BF126" s="291">
        <f t="shared" si="39"/>
        <v>1674398.0593999997</v>
      </c>
      <c r="BG126" s="291">
        <f t="shared" si="38"/>
        <v>1620620.0791999996</v>
      </c>
      <c r="BH126" s="291">
        <f t="shared" si="38"/>
        <v>1566842.0989999995</v>
      </c>
      <c r="BI126" s="291">
        <f t="shared" si="38"/>
        <v>1513064.1187999994</v>
      </c>
      <c r="BJ126" s="291">
        <f t="shared" si="38"/>
        <v>1459286.1385999992</v>
      </c>
      <c r="BK126" s="291">
        <f t="shared" si="38"/>
        <v>1398649</v>
      </c>
      <c r="BL126" s="298"/>
      <c r="BM126" s="298"/>
      <c r="BN126" s="298"/>
      <c r="BO126" s="298"/>
    </row>
    <row r="127" spans="1:67" x14ac:dyDescent="0.15">
      <c r="A127" s="10" t="s">
        <v>14</v>
      </c>
      <c r="B127" s="10"/>
      <c r="C127" s="276"/>
      <c r="D127" s="276" t="str">
        <f t="shared" si="57"/>
        <v>No</v>
      </c>
      <c r="E127" s="276"/>
      <c r="F127" s="276"/>
      <c r="G127" s="8">
        <v>4</v>
      </c>
      <c r="H127" s="1">
        <v>74</v>
      </c>
      <c r="I127" s="10">
        <v>101</v>
      </c>
      <c r="J127" s="7" t="s">
        <v>113</v>
      </c>
      <c r="K127" s="287"/>
      <c r="L127" s="1">
        <v>3228.15</v>
      </c>
      <c r="M127" s="288"/>
      <c r="N127" s="289"/>
      <c r="O127" s="1">
        <v>651</v>
      </c>
      <c r="P127" s="290">
        <f t="shared" si="40"/>
        <v>0.20166349147344453</v>
      </c>
      <c r="Q127" s="290">
        <f t="shared" si="41"/>
        <v>0</v>
      </c>
      <c r="R127" s="291">
        <f t="shared" si="42"/>
        <v>0</v>
      </c>
      <c r="S127" s="291">
        <f t="shared" si="58"/>
        <v>0</v>
      </c>
      <c r="T127" s="1">
        <v>94</v>
      </c>
      <c r="U127" s="1">
        <f t="shared" si="59"/>
        <v>14.1</v>
      </c>
      <c r="V127" s="292">
        <f t="shared" si="43"/>
        <v>195.3</v>
      </c>
      <c r="W127" s="254">
        <f t="shared" si="44"/>
        <v>3437.55</v>
      </c>
      <c r="X127" s="1">
        <v>4150772021.3299999</v>
      </c>
      <c r="Y127" s="1">
        <v>23751</v>
      </c>
      <c r="Z127" s="264">
        <f t="shared" si="45"/>
        <v>174761.99</v>
      </c>
      <c r="AA127" s="293">
        <f t="shared" si="46"/>
        <v>0.93605700000000003</v>
      </c>
      <c r="AB127" s="1">
        <v>96273</v>
      </c>
      <c r="AC127" s="293">
        <f t="shared" si="47"/>
        <v>0.83606899999999995</v>
      </c>
      <c r="AD127" s="293">
        <f t="shared" si="48"/>
        <v>9.3938999999999995E-2</v>
      </c>
      <c r="AE127" s="294">
        <f t="shared" si="49"/>
        <v>9.3938999999999995E-2</v>
      </c>
      <c r="AF127" s="295">
        <f t="shared" si="60"/>
        <v>0</v>
      </c>
      <c r="AG127" s="296">
        <f t="shared" si="61"/>
        <v>9.3938999999999995E-2</v>
      </c>
      <c r="AH127" s="1">
        <v>0</v>
      </c>
      <c r="AI127" s="1">
        <v>0</v>
      </c>
      <c r="AJ127" s="254">
        <f t="shared" si="50"/>
        <v>0</v>
      </c>
      <c r="AK127" s="9">
        <f t="shared" si="51"/>
        <v>0</v>
      </c>
      <c r="AL127" s="9">
        <f t="shared" si="52"/>
        <v>3721653</v>
      </c>
      <c r="AM127" s="9">
        <f t="shared" si="53"/>
        <v>3721653</v>
      </c>
      <c r="AN127" s="9">
        <f t="shared" si="62"/>
        <v>3721653</v>
      </c>
      <c r="AO127" s="291">
        <v>3842088</v>
      </c>
      <c r="AP127" s="9">
        <f t="shared" si="63"/>
        <v>120435</v>
      </c>
      <c r="AQ127" s="297" t="str">
        <f t="shared" si="64"/>
        <v>No</v>
      </c>
      <c r="AR127" s="291">
        <v>3861392</v>
      </c>
      <c r="AS127" s="291">
        <f t="shared" si="54"/>
        <v>10032.235500000001</v>
      </c>
      <c r="AT127" s="291">
        <f t="shared" si="55"/>
        <v>3851359.7645</v>
      </c>
      <c r="AU127" s="291">
        <f t="shared" si="56"/>
        <v>3851359.7645</v>
      </c>
      <c r="AV127" s="291"/>
      <c r="AW127" s="291">
        <f t="shared" si="65"/>
        <v>3841327.5290000001</v>
      </c>
      <c r="AX127" s="291">
        <f t="shared" si="69"/>
        <v>3831295.2935000001</v>
      </c>
      <c r="AY127" s="291">
        <f t="shared" si="69"/>
        <v>3821263.0580000002</v>
      </c>
      <c r="AZ127" s="291">
        <f t="shared" si="69"/>
        <v>3811230.8225000002</v>
      </c>
      <c r="BA127" s="291">
        <f t="shared" si="69"/>
        <v>3801198.5870000003</v>
      </c>
      <c r="BB127" s="291">
        <f t="shared" si="69"/>
        <v>3791166.3515000003</v>
      </c>
      <c r="BC127" s="291">
        <f t="shared" si="67"/>
        <v>3721653</v>
      </c>
      <c r="BD127" s="298"/>
      <c r="BE127" s="291">
        <f t="shared" si="39"/>
        <v>3841327.5290000001</v>
      </c>
      <c r="BF127" s="291">
        <f t="shared" si="39"/>
        <v>3831295.2935000001</v>
      </c>
      <c r="BG127" s="291">
        <f t="shared" si="38"/>
        <v>3821263.0580000002</v>
      </c>
      <c r="BH127" s="291">
        <f t="shared" si="38"/>
        <v>3811230.8225000002</v>
      </c>
      <c r="BI127" s="291">
        <f t="shared" si="38"/>
        <v>3801198.5870000003</v>
      </c>
      <c r="BJ127" s="291">
        <f t="shared" si="38"/>
        <v>3791166.3515000003</v>
      </c>
      <c r="BK127" s="291">
        <f t="shared" si="38"/>
        <v>3721653</v>
      </c>
      <c r="BL127" s="298"/>
      <c r="BM127" s="298"/>
      <c r="BN127" s="298"/>
      <c r="BO127" s="298"/>
    </row>
    <row r="128" spans="1:67" x14ac:dyDescent="0.15">
      <c r="A128" s="10" t="s">
        <v>8</v>
      </c>
      <c r="B128" s="10"/>
      <c r="C128" s="276"/>
      <c r="D128" s="276" t="str">
        <f t="shared" si="57"/>
        <v>No</v>
      </c>
      <c r="E128" s="276"/>
      <c r="F128" s="276"/>
      <c r="G128" s="8">
        <v>4</v>
      </c>
      <c r="H128" s="1">
        <v>72</v>
      </c>
      <c r="I128" s="10">
        <v>102</v>
      </c>
      <c r="J128" s="7" t="s">
        <v>114</v>
      </c>
      <c r="K128" s="287"/>
      <c r="L128" s="1">
        <v>765.08</v>
      </c>
      <c r="M128" s="288"/>
      <c r="N128" s="289"/>
      <c r="O128" s="1">
        <v>162</v>
      </c>
      <c r="P128" s="290">
        <f t="shared" si="40"/>
        <v>0.21174256286924242</v>
      </c>
      <c r="Q128" s="290">
        <f t="shared" si="41"/>
        <v>0</v>
      </c>
      <c r="R128" s="291">
        <f t="shared" si="42"/>
        <v>0</v>
      </c>
      <c r="S128" s="291">
        <f t="shared" si="58"/>
        <v>0</v>
      </c>
      <c r="T128" s="1">
        <v>0</v>
      </c>
      <c r="U128" s="1">
        <f t="shared" si="59"/>
        <v>0</v>
      </c>
      <c r="V128" s="292">
        <f t="shared" si="43"/>
        <v>48.6</v>
      </c>
      <c r="W128" s="254">
        <f t="shared" si="44"/>
        <v>813.68000000000006</v>
      </c>
      <c r="X128" s="1">
        <v>802577545.33000004</v>
      </c>
      <c r="Y128" s="1">
        <v>5270</v>
      </c>
      <c r="Z128" s="264">
        <f t="shared" si="45"/>
        <v>152291.75</v>
      </c>
      <c r="AA128" s="293">
        <f t="shared" si="46"/>
        <v>0.81570200000000004</v>
      </c>
      <c r="AB128" s="1">
        <v>84833</v>
      </c>
      <c r="AC128" s="293">
        <f t="shared" si="47"/>
        <v>0.73672000000000004</v>
      </c>
      <c r="AD128" s="293">
        <f t="shared" si="48"/>
        <v>0.20799300000000001</v>
      </c>
      <c r="AE128" s="294">
        <f t="shared" si="49"/>
        <v>0.20799300000000001</v>
      </c>
      <c r="AF128" s="295">
        <f t="shared" si="60"/>
        <v>0</v>
      </c>
      <c r="AG128" s="296">
        <f t="shared" si="61"/>
        <v>0.20799300000000001</v>
      </c>
      <c r="AH128" s="1">
        <v>0</v>
      </c>
      <c r="AI128" s="1">
        <v>0</v>
      </c>
      <c r="AJ128" s="254">
        <f t="shared" si="50"/>
        <v>0</v>
      </c>
      <c r="AK128" s="9">
        <f t="shared" si="51"/>
        <v>0</v>
      </c>
      <c r="AL128" s="9">
        <f t="shared" si="52"/>
        <v>1950488</v>
      </c>
      <c r="AM128" s="9">
        <f t="shared" si="53"/>
        <v>1950488</v>
      </c>
      <c r="AN128" s="9">
        <f t="shared" si="62"/>
        <v>1950488</v>
      </c>
      <c r="AO128" s="291">
        <v>2834470</v>
      </c>
      <c r="AP128" s="9">
        <f t="shared" si="63"/>
        <v>883982</v>
      </c>
      <c r="AQ128" s="297" t="str">
        <f t="shared" si="64"/>
        <v>No</v>
      </c>
      <c r="AR128" s="291">
        <v>2657840</v>
      </c>
      <c r="AS128" s="291">
        <f t="shared" si="54"/>
        <v>73635.700599999996</v>
      </c>
      <c r="AT128" s="291">
        <f t="shared" si="55"/>
        <v>2584204.2993999999</v>
      </c>
      <c r="AU128" s="291">
        <f t="shared" si="56"/>
        <v>2584204.2993999999</v>
      </c>
      <c r="AV128" s="291"/>
      <c r="AW128" s="291">
        <f t="shared" si="65"/>
        <v>2510568.5987999998</v>
      </c>
      <c r="AX128" s="291">
        <f t="shared" si="69"/>
        <v>2436932.8981999997</v>
      </c>
      <c r="AY128" s="291">
        <f t="shared" si="69"/>
        <v>2363297.1975999996</v>
      </c>
      <c r="AZ128" s="291">
        <f t="shared" si="69"/>
        <v>2289661.4969999995</v>
      </c>
      <c r="BA128" s="291">
        <f t="shared" si="69"/>
        <v>2216025.7963999994</v>
      </c>
      <c r="BB128" s="291">
        <f t="shared" si="69"/>
        <v>2142390.0957999993</v>
      </c>
      <c r="BC128" s="291">
        <f t="shared" si="67"/>
        <v>1950488</v>
      </c>
      <c r="BD128" s="298"/>
      <c r="BE128" s="291">
        <f t="shared" si="39"/>
        <v>2510568.5987999998</v>
      </c>
      <c r="BF128" s="291">
        <f t="shared" si="39"/>
        <v>2436932.8981999997</v>
      </c>
      <c r="BG128" s="291">
        <f t="shared" si="39"/>
        <v>2363297.1975999996</v>
      </c>
      <c r="BH128" s="291">
        <f t="shared" si="39"/>
        <v>2289661.4969999995</v>
      </c>
      <c r="BI128" s="291">
        <f t="shared" si="39"/>
        <v>2216025.7963999994</v>
      </c>
      <c r="BJ128" s="291">
        <f t="shared" si="39"/>
        <v>2142390.0957999993</v>
      </c>
      <c r="BK128" s="291">
        <f t="shared" si="39"/>
        <v>1950488</v>
      </c>
      <c r="BL128" s="298"/>
      <c r="BM128" s="298"/>
      <c r="BN128" s="298"/>
      <c r="BO128" s="298"/>
    </row>
    <row r="129" spans="1:67" x14ac:dyDescent="0.15">
      <c r="A129" s="10" t="s">
        <v>6</v>
      </c>
      <c r="B129" s="10">
        <v>1</v>
      </c>
      <c r="C129" s="276">
        <v>1</v>
      </c>
      <c r="D129" s="276" t="str">
        <f t="shared" si="57"/>
        <v>Yes</v>
      </c>
      <c r="E129" s="276">
        <v>1</v>
      </c>
      <c r="F129" s="276"/>
      <c r="G129" s="8">
        <v>3</v>
      </c>
      <c r="H129" s="1">
        <v>119</v>
      </c>
      <c r="I129" s="10">
        <v>103</v>
      </c>
      <c r="J129" s="7" t="s">
        <v>115</v>
      </c>
      <c r="K129" s="287"/>
      <c r="L129" s="1">
        <v>12227.26</v>
      </c>
      <c r="M129" s="288"/>
      <c r="N129" s="289"/>
      <c r="O129" s="1">
        <v>7231</v>
      </c>
      <c r="P129" s="290">
        <f t="shared" si="40"/>
        <v>0.59138351519473698</v>
      </c>
      <c r="Q129" s="290">
        <f t="shared" si="41"/>
        <v>0</v>
      </c>
      <c r="R129" s="291">
        <f t="shared" si="42"/>
        <v>0</v>
      </c>
      <c r="S129" s="291">
        <f t="shared" si="58"/>
        <v>0</v>
      </c>
      <c r="T129" s="1">
        <v>2050</v>
      </c>
      <c r="U129" s="1">
        <f t="shared" si="59"/>
        <v>307.5</v>
      </c>
      <c r="V129" s="292">
        <f t="shared" si="43"/>
        <v>2169.3000000000002</v>
      </c>
      <c r="W129" s="254">
        <f t="shared" si="44"/>
        <v>14704.060000000001</v>
      </c>
      <c r="X129" s="1">
        <v>19247902945.669998</v>
      </c>
      <c r="Y129" s="1">
        <v>89005</v>
      </c>
      <c r="Z129" s="264">
        <f t="shared" si="45"/>
        <v>216256.42</v>
      </c>
      <c r="AA129" s="293">
        <f t="shared" si="46"/>
        <v>1.158309</v>
      </c>
      <c r="AB129" s="1">
        <v>81546</v>
      </c>
      <c r="AC129" s="293">
        <f t="shared" si="47"/>
        <v>0.70817399999999997</v>
      </c>
      <c r="AD129" s="293">
        <f t="shared" si="48"/>
        <v>-2.3268E-2</v>
      </c>
      <c r="AE129" s="294">
        <f t="shared" si="49"/>
        <v>0.1</v>
      </c>
      <c r="AF129" s="295">
        <f t="shared" si="60"/>
        <v>0</v>
      </c>
      <c r="AG129" s="296">
        <f t="shared" si="61"/>
        <v>0.1</v>
      </c>
      <c r="AH129" s="1">
        <v>0</v>
      </c>
      <c r="AI129" s="1">
        <v>0</v>
      </c>
      <c r="AJ129" s="254">
        <f t="shared" si="50"/>
        <v>0</v>
      </c>
      <c r="AK129" s="9">
        <f t="shared" si="51"/>
        <v>0</v>
      </c>
      <c r="AL129" s="9">
        <f t="shared" si="52"/>
        <v>16946429</v>
      </c>
      <c r="AM129" s="9">
        <f t="shared" si="53"/>
        <v>16946429</v>
      </c>
      <c r="AN129" s="9">
        <f t="shared" si="62"/>
        <v>16946429</v>
      </c>
      <c r="AO129" s="291">
        <v>11243340</v>
      </c>
      <c r="AP129" s="9">
        <f t="shared" si="63"/>
        <v>5703089</v>
      </c>
      <c r="AQ129" s="297" t="str">
        <f t="shared" si="64"/>
        <v>Yes</v>
      </c>
      <c r="AR129" s="291">
        <v>11982530</v>
      </c>
      <c r="AS129" s="291">
        <f t="shared" si="54"/>
        <v>607949.28740000003</v>
      </c>
      <c r="AT129" s="291">
        <f t="shared" si="55"/>
        <v>12590479.2874</v>
      </c>
      <c r="AU129" s="291">
        <f t="shared" si="56"/>
        <v>12590479.2874</v>
      </c>
      <c r="AV129" s="291"/>
      <c r="AW129" s="291">
        <f t="shared" si="65"/>
        <v>13198428.5748</v>
      </c>
      <c r="AX129" s="291">
        <f t="shared" si="69"/>
        <v>13806377.862199999</v>
      </c>
      <c r="AY129" s="291">
        <f t="shared" si="69"/>
        <v>14414327.149599999</v>
      </c>
      <c r="AZ129" s="291">
        <f t="shared" si="69"/>
        <v>15022276.436999999</v>
      </c>
      <c r="BA129" s="291">
        <f t="shared" si="69"/>
        <v>15630225.724399999</v>
      </c>
      <c r="BB129" s="291">
        <f t="shared" si="69"/>
        <v>16238175.011799999</v>
      </c>
      <c r="BC129" s="291">
        <f t="shared" si="67"/>
        <v>16946429</v>
      </c>
      <c r="BD129" s="298"/>
      <c r="BE129" s="291">
        <f t="shared" si="39"/>
        <v>13198428.5748</v>
      </c>
      <c r="BF129" s="291">
        <f t="shared" si="39"/>
        <v>13806377.862199999</v>
      </c>
      <c r="BG129" s="291">
        <f t="shared" si="39"/>
        <v>14414327.149599999</v>
      </c>
      <c r="BH129" s="291">
        <f t="shared" si="39"/>
        <v>15022276.436999999</v>
      </c>
      <c r="BI129" s="291">
        <f t="shared" si="39"/>
        <v>15630225.724399999</v>
      </c>
      <c r="BJ129" s="291">
        <f t="shared" si="39"/>
        <v>16238175.011799999</v>
      </c>
      <c r="BK129" s="291">
        <f t="shared" si="39"/>
        <v>16946429</v>
      </c>
      <c r="BL129" s="298"/>
      <c r="BM129" s="298"/>
      <c r="BN129" s="298"/>
      <c r="BO129" s="298"/>
    </row>
    <row r="130" spans="1:67" x14ac:dyDescent="0.15">
      <c r="A130" s="10" t="s">
        <v>6</v>
      </c>
      <c r="B130" s="10">
        <v>1</v>
      </c>
      <c r="C130" s="276">
        <v>1</v>
      </c>
      <c r="D130" s="276" t="str">
        <f t="shared" si="57"/>
        <v>Yes</v>
      </c>
      <c r="E130" s="276">
        <v>0</v>
      </c>
      <c r="F130" s="276">
        <v>1</v>
      </c>
      <c r="G130" s="8">
        <v>10</v>
      </c>
      <c r="H130" s="1">
        <v>11</v>
      </c>
      <c r="I130" s="10">
        <v>104</v>
      </c>
      <c r="J130" s="7" t="s">
        <v>116</v>
      </c>
      <c r="K130" s="287"/>
      <c r="L130" s="1">
        <v>5317.7</v>
      </c>
      <c r="M130" s="300"/>
      <c r="N130" s="289"/>
      <c r="O130" s="1">
        <v>3501</v>
      </c>
      <c r="P130" s="290">
        <f t="shared" si="40"/>
        <v>0.65836733926321533</v>
      </c>
      <c r="Q130" s="290">
        <f t="shared" si="41"/>
        <v>0</v>
      </c>
      <c r="R130" s="291">
        <f t="shared" si="42"/>
        <v>0</v>
      </c>
      <c r="S130" s="291">
        <f t="shared" si="58"/>
        <v>0</v>
      </c>
      <c r="T130" s="1">
        <v>836</v>
      </c>
      <c r="U130" s="1">
        <f t="shared" si="59"/>
        <v>125.39999999999999</v>
      </c>
      <c r="V130" s="292">
        <f t="shared" si="43"/>
        <v>1050.3</v>
      </c>
      <c r="W130" s="254">
        <f t="shared" si="44"/>
        <v>6493.4</v>
      </c>
      <c r="X130" s="1">
        <v>2740124138.3299999</v>
      </c>
      <c r="Y130" s="1">
        <v>39470</v>
      </c>
      <c r="Z130" s="264">
        <f t="shared" si="45"/>
        <v>69422.960000000006</v>
      </c>
      <c r="AA130" s="293">
        <f t="shared" si="46"/>
        <v>0.37184200000000001</v>
      </c>
      <c r="AB130" s="1">
        <v>53682</v>
      </c>
      <c r="AC130" s="293">
        <f t="shared" si="47"/>
        <v>0.466194</v>
      </c>
      <c r="AD130" s="293">
        <f t="shared" si="48"/>
        <v>0.59985200000000005</v>
      </c>
      <c r="AE130" s="294">
        <f t="shared" si="49"/>
        <v>0.59985200000000005</v>
      </c>
      <c r="AF130" s="295">
        <f t="shared" si="60"/>
        <v>0.04</v>
      </c>
      <c r="AG130" s="296">
        <f t="shared" si="61"/>
        <v>0.63985200000000009</v>
      </c>
      <c r="AH130" s="1">
        <v>0</v>
      </c>
      <c r="AI130" s="1">
        <v>0</v>
      </c>
      <c r="AJ130" s="254">
        <f t="shared" si="50"/>
        <v>0</v>
      </c>
      <c r="AK130" s="9">
        <f t="shared" si="51"/>
        <v>0</v>
      </c>
      <c r="AL130" s="9">
        <f t="shared" si="52"/>
        <v>47884243</v>
      </c>
      <c r="AM130" s="9">
        <f t="shared" si="53"/>
        <v>47884243</v>
      </c>
      <c r="AN130" s="9">
        <f t="shared" si="62"/>
        <v>47884243</v>
      </c>
      <c r="AO130" s="291">
        <v>36209664</v>
      </c>
      <c r="AP130" s="9">
        <f t="shared" si="63"/>
        <v>11674579</v>
      </c>
      <c r="AQ130" s="297" t="str">
        <f t="shared" si="64"/>
        <v>Yes</v>
      </c>
      <c r="AR130" s="291">
        <v>37983728</v>
      </c>
      <c r="AS130" s="291">
        <f t="shared" si="54"/>
        <v>1244510.1214000001</v>
      </c>
      <c r="AT130" s="291">
        <f t="shared" si="55"/>
        <v>39228238.121399999</v>
      </c>
      <c r="AU130" s="291">
        <f t="shared" si="56"/>
        <v>39228238.121399999</v>
      </c>
      <c r="AV130" s="291"/>
      <c r="AW130" s="291">
        <f t="shared" si="65"/>
        <v>40472748.242799997</v>
      </c>
      <c r="AX130" s="291">
        <f t="shared" si="69"/>
        <v>41717258.364199996</v>
      </c>
      <c r="AY130" s="291">
        <f t="shared" si="69"/>
        <v>42961768.485599995</v>
      </c>
      <c r="AZ130" s="291">
        <f t="shared" si="69"/>
        <v>44206278.606999993</v>
      </c>
      <c r="BA130" s="291">
        <f t="shared" si="69"/>
        <v>45450788.728399992</v>
      </c>
      <c r="BB130" s="291">
        <f t="shared" si="69"/>
        <v>46695298.849799991</v>
      </c>
      <c r="BC130" s="291">
        <f t="shared" si="67"/>
        <v>47884243</v>
      </c>
      <c r="BD130" s="298"/>
      <c r="BE130" s="291">
        <f t="shared" si="39"/>
        <v>40472748.242799997</v>
      </c>
      <c r="BF130" s="291">
        <f t="shared" si="39"/>
        <v>41717258.364199996</v>
      </c>
      <c r="BG130" s="291">
        <f t="shared" si="39"/>
        <v>42961768.485599995</v>
      </c>
      <c r="BH130" s="291">
        <f t="shared" si="39"/>
        <v>44206278.606999993</v>
      </c>
      <c r="BI130" s="291">
        <f t="shared" si="39"/>
        <v>45450788.728399992</v>
      </c>
      <c r="BJ130" s="291">
        <f t="shared" si="39"/>
        <v>46695298.849799991</v>
      </c>
      <c r="BK130" s="291">
        <f t="shared" si="39"/>
        <v>47884243</v>
      </c>
      <c r="BL130" s="298"/>
      <c r="BM130" s="298"/>
      <c r="BN130" s="298"/>
      <c r="BO130" s="298"/>
    </row>
    <row r="131" spans="1:67" x14ac:dyDescent="0.15">
      <c r="A131" s="10" t="s">
        <v>4</v>
      </c>
      <c r="B131" s="10"/>
      <c r="C131" s="276"/>
      <c r="D131" s="276" t="str">
        <f t="shared" si="57"/>
        <v>No</v>
      </c>
      <c r="E131" s="276"/>
      <c r="F131" s="276"/>
      <c r="G131" s="8">
        <v>2</v>
      </c>
      <c r="H131" s="1">
        <v>141</v>
      </c>
      <c r="I131" s="10">
        <v>105</v>
      </c>
      <c r="J131" s="7" t="s">
        <v>117</v>
      </c>
      <c r="K131" s="287"/>
      <c r="L131" s="1">
        <v>1050.19</v>
      </c>
      <c r="M131" s="288"/>
      <c r="N131" s="289"/>
      <c r="O131" s="1">
        <v>181</v>
      </c>
      <c r="P131" s="290">
        <f t="shared" si="40"/>
        <v>0.17234976528056828</v>
      </c>
      <c r="Q131" s="290">
        <f t="shared" si="41"/>
        <v>0</v>
      </c>
      <c r="R131" s="291">
        <f t="shared" si="42"/>
        <v>0</v>
      </c>
      <c r="S131" s="291">
        <f t="shared" si="58"/>
        <v>0</v>
      </c>
      <c r="T131" s="1">
        <v>26</v>
      </c>
      <c r="U131" s="1">
        <f t="shared" si="59"/>
        <v>3.9</v>
      </c>
      <c r="V131" s="292">
        <f t="shared" si="43"/>
        <v>54.3</v>
      </c>
      <c r="W131" s="254">
        <f t="shared" si="44"/>
        <v>1108.3900000000001</v>
      </c>
      <c r="X131" s="1">
        <v>2283828484.6700001</v>
      </c>
      <c r="Y131" s="1">
        <v>7432</v>
      </c>
      <c r="Z131" s="264">
        <f t="shared" si="45"/>
        <v>307296.62</v>
      </c>
      <c r="AA131" s="293">
        <f t="shared" si="46"/>
        <v>1.6459360000000001</v>
      </c>
      <c r="AB131" s="1">
        <v>95175</v>
      </c>
      <c r="AC131" s="293">
        <f t="shared" si="47"/>
        <v>0.82653299999999996</v>
      </c>
      <c r="AD131" s="293">
        <f t="shared" si="48"/>
        <v>-0.400115</v>
      </c>
      <c r="AE131" s="294">
        <f t="shared" si="49"/>
        <v>0.01</v>
      </c>
      <c r="AF131" s="295">
        <f t="shared" si="60"/>
        <v>0</v>
      </c>
      <c r="AG131" s="296">
        <f t="shared" si="61"/>
        <v>0.01</v>
      </c>
      <c r="AH131" s="1">
        <v>1041</v>
      </c>
      <c r="AI131" s="1">
        <v>13</v>
      </c>
      <c r="AJ131" s="254">
        <f t="shared" si="50"/>
        <v>100</v>
      </c>
      <c r="AK131" s="9">
        <f t="shared" si="51"/>
        <v>104100</v>
      </c>
      <c r="AL131" s="9">
        <f t="shared" si="52"/>
        <v>127742</v>
      </c>
      <c r="AM131" s="9">
        <f t="shared" si="53"/>
        <v>231842</v>
      </c>
      <c r="AN131" s="9">
        <f t="shared" si="62"/>
        <v>231842</v>
      </c>
      <c r="AO131" s="291">
        <v>247462</v>
      </c>
      <c r="AP131" s="9">
        <f t="shared" si="63"/>
        <v>15620</v>
      </c>
      <c r="AQ131" s="297" t="str">
        <f t="shared" si="64"/>
        <v>No</v>
      </c>
      <c r="AR131" s="291">
        <v>239884</v>
      </c>
      <c r="AS131" s="291">
        <f t="shared" si="54"/>
        <v>1301.146</v>
      </c>
      <c r="AT131" s="291">
        <f t="shared" si="55"/>
        <v>238582.85399999999</v>
      </c>
      <c r="AU131" s="291">
        <f t="shared" si="56"/>
        <v>238582.85399999999</v>
      </c>
      <c r="AV131" s="291"/>
      <c r="AW131" s="291">
        <f t="shared" si="65"/>
        <v>237281.70799999998</v>
      </c>
      <c r="AX131" s="291">
        <f t="shared" si="69"/>
        <v>235980.56199999998</v>
      </c>
      <c r="AY131" s="291">
        <f t="shared" si="69"/>
        <v>234679.41599999997</v>
      </c>
      <c r="AZ131" s="291">
        <f t="shared" si="69"/>
        <v>233378.26999999996</v>
      </c>
      <c r="BA131" s="291">
        <f t="shared" si="69"/>
        <v>232077.12399999995</v>
      </c>
      <c r="BB131" s="291">
        <f t="shared" si="69"/>
        <v>230775.97799999994</v>
      </c>
      <c r="BC131" s="291">
        <f t="shared" si="67"/>
        <v>231842</v>
      </c>
      <c r="BD131" s="298"/>
      <c r="BE131" s="291">
        <f t="shared" si="39"/>
        <v>237281.70799999998</v>
      </c>
      <c r="BF131" s="291">
        <f t="shared" si="39"/>
        <v>235980.56199999998</v>
      </c>
      <c r="BG131" s="291">
        <f t="shared" si="39"/>
        <v>234679.41599999997</v>
      </c>
      <c r="BH131" s="291">
        <f t="shared" si="39"/>
        <v>233378.26999999996</v>
      </c>
      <c r="BI131" s="291">
        <f t="shared" si="39"/>
        <v>232077.12399999995</v>
      </c>
      <c r="BJ131" s="291">
        <f t="shared" si="39"/>
        <v>230775.97799999994</v>
      </c>
      <c r="BK131" s="291">
        <f t="shared" si="39"/>
        <v>231842</v>
      </c>
      <c r="BL131" s="298"/>
      <c r="BM131" s="298"/>
      <c r="BN131" s="298"/>
      <c r="BO131" s="298"/>
    </row>
    <row r="132" spans="1:67" x14ac:dyDescent="0.15">
      <c r="A132" s="10" t="s">
        <v>14</v>
      </c>
      <c r="B132" s="10"/>
      <c r="C132" s="276"/>
      <c r="D132" s="276" t="str">
        <f t="shared" si="57"/>
        <v>No</v>
      </c>
      <c r="E132" s="276"/>
      <c r="F132" s="276"/>
      <c r="G132" s="8">
        <v>2</v>
      </c>
      <c r="H132" s="1">
        <v>150</v>
      </c>
      <c r="I132" s="10">
        <v>106</v>
      </c>
      <c r="J132" s="7" t="s">
        <v>118</v>
      </c>
      <c r="K132" s="287"/>
      <c r="L132" s="1">
        <v>1170.93</v>
      </c>
      <c r="M132" s="288"/>
      <c r="N132" s="289"/>
      <c r="O132" s="1">
        <v>330</v>
      </c>
      <c r="P132" s="290">
        <f t="shared" si="40"/>
        <v>0.28182726550690473</v>
      </c>
      <c r="Q132" s="290">
        <f t="shared" si="41"/>
        <v>0</v>
      </c>
      <c r="R132" s="291">
        <f t="shared" si="42"/>
        <v>0</v>
      </c>
      <c r="S132" s="291">
        <f t="shared" si="58"/>
        <v>0</v>
      </c>
      <c r="T132" s="1">
        <v>68</v>
      </c>
      <c r="U132" s="1">
        <f t="shared" si="59"/>
        <v>10.199999999999999</v>
      </c>
      <c r="V132" s="292">
        <f t="shared" si="43"/>
        <v>99</v>
      </c>
      <c r="W132" s="254">
        <f t="shared" si="44"/>
        <v>1280.1300000000001</v>
      </c>
      <c r="X132" s="1">
        <v>3257697104.3299999</v>
      </c>
      <c r="Y132" s="1">
        <v>10132</v>
      </c>
      <c r="Z132" s="264">
        <f t="shared" si="45"/>
        <v>321525.57</v>
      </c>
      <c r="AA132" s="293">
        <f t="shared" si="46"/>
        <v>1.7221489999999999</v>
      </c>
      <c r="AB132" s="1">
        <v>74185</v>
      </c>
      <c r="AC132" s="293">
        <f t="shared" si="47"/>
        <v>0.64424899999999996</v>
      </c>
      <c r="AD132" s="293">
        <f t="shared" si="48"/>
        <v>-0.39877899999999999</v>
      </c>
      <c r="AE132" s="294">
        <f t="shared" si="49"/>
        <v>0.01</v>
      </c>
      <c r="AF132" s="295">
        <f t="shared" si="60"/>
        <v>0</v>
      </c>
      <c r="AG132" s="296">
        <f t="shared" si="61"/>
        <v>0.01</v>
      </c>
      <c r="AH132" s="1">
        <v>0</v>
      </c>
      <c r="AI132" s="1">
        <v>0</v>
      </c>
      <c r="AJ132" s="254">
        <f t="shared" si="50"/>
        <v>0</v>
      </c>
      <c r="AK132" s="9">
        <f t="shared" si="51"/>
        <v>0</v>
      </c>
      <c r="AL132" s="9">
        <f t="shared" si="52"/>
        <v>147535</v>
      </c>
      <c r="AM132" s="9">
        <f t="shared" si="53"/>
        <v>147535</v>
      </c>
      <c r="AN132" s="9">
        <f t="shared" si="62"/>
        <v>147535</v>
      </c>
      <c r="AO132" s="291">
        <v>122907</v>
      </c>
      <c r="AP132" s="9">
        <f t="shared" si="63"/>
        <v>24628</v>
      </c>
      <c r="AQ132" s="297" t="str">
        <f t="shared" si="64"/>
        <v>Yes</v>
      </c>
      <c r="AR132" s="291">
        <v>127089</v>
      </c>
      <c r="AS132" s="291">
        <f t="shared" si="54"/>
        <v>2625.3447999999999</v>
      </c>
      <c r="AT132" s="291">
        <f t="shared" si="55"/>
        <v>129714.34480000001</v>
      </c>
      <c r="AU132" s="291">
        <f t="shared" si="56"/>
        <v>129714.34480000001</v>
      </c>
      <c r="AV132" s="291"/>
      <c r="AW132" s="291">
        <f t="shared" si="65"/>
        <v>132339.68960000001</v>
      </c>
      <c r="AX132" s="291">
        <f t="shared" si="69"/>
        <v>134965.0344</v>
      </c>
      <c r="AY132" s="291">
        <f t="shared" si="69"/>
        <v>137590.3792</v>
      </c>
      <c r="AZ132" s="291">
        <f t="shared" si="69"/>
        <v>140215.72399999999</v>
      </c>
      <c r="BA132" s="291">
        <f t="shared" si="69"/>
        <v>142841.06879999998</v>
      </c>
      <c r="BB132" s="291">
        <f t="shared" si="69"/>
        <v>145466.41359999997</v>
      </c>
      <c r="BC132" s="291">
        <f t="shared" si="67"/>
        <v>147535</v>
      </c>
      <c r="BD132" s="298"/>
      <c r="BE132" s="291">
        <f t="shared" si="39"/>
        <v>132339.68960000001</v>
      </c>
      <c r="BF132" s="291">
        <f t="shared" si="39"/>
        <v>134965.0344</v>
      </c>
      <c r="BG132" s="291">
        <f t="shared" si="39"/>
        <v>137590.3792</v>
      </c>
      <c r="BH132" s="291">
        <f t="shared" si="39"/>
        <v>140215.72399999999</v>
      </c>
      <c r="BI132" s="291">
        <f t="shared" si="39"/>
        <v>142841.06879999998</v>
      </c>
      <c r="BJ132" s="291">
        <f t="shared" si="39"/>
        <v>145466.41359999997</v>
      </c>
      <c r="BK132" s="291">
        <f t="shared" si="39"/>
        <v>147535</v>
      </c>
      <c r="BL132" s="298"/>
      <c r="BM132" s="298"/>
      <c r="BN132" s="298"/>
      <c r="BO132" s="298"/>
    </row>
    <row r="133" spans="1:67" x14ac:dyDescent="0.15">
      <c r="A133" s="10" t="s">
        <v>10</v>
      </c>
      <c r="B133" s="10"/>
      <c r="C133" s="276"/>
      <c r="D133" s="276" t="str">
        <f t="shared" si="57"/>
        <v>No</v>
      </c>
      <c r="E133" s="276"/>
      <c r="F133" s="276"/>
      <c r="G133" s="8">
        <v>3</v>
      </c>
      <c r="H133" s="1">
        <v>127</v>
      </c>
      <c r="I133" s="10">
        <v>107</v>
      </c>
      <c r="J133" s="7" t="s">
        <v>119</v>
      </c>
      <c r="K133" s="287"/>
      <c r="L133" s="1">
        <v>2341.84</v>
      </c>
      <c r="M133" s="288"/>
      <c r="N133" s="289"/>
      <c r="O133" s="1">
        <v>265</v>
      </c>
      <c r="P133" s="290">
        <f t="shared" si="40"/>
        <v>0.11315888361288559</v>
      </c>
      <c r="Q133" s="290">
        <f t="shared" si="41"/>
        <v>0</v>
      </c>
      <c r="R133" s="291">
        <f t="shared" si="42"/>
        <v>0</v>
      </c>
      <c r="S133" s="291">
        <f t="shared" si="58"/>
        <v>0</v>
      </c>
      <c r="T133" s="1">
        <v>77</v>
      </c>
      <c r="U133" s="1">
        <f t="shared" si="59"/>
        <v>11.549999999999999</v>
      </c>
      <c r="V133" s="292">
        <f t="shared" si="43"/>
        <v>79.5</v>
      </c>
      <c r="W133" s="254">
        <f t="shared" si="44"/>
        <v>2432.8900000000003</v>
      </c>
      <c r="X133" s="1">
        <v>2928306085.3299999</v>
      </c>
      <c r="Y133" s="1">
        <v>13997</v>
      </c>
      <c r="Z133" s="264">
        <f t="shared" si="45"/>
        <v>209209.55</v>
      </c>
      <c r="AA133" s="293">
        <f t="shared" si="46"/>
        <v>1.1205639999999999</v>
      </c>
      <c r="AB133" s="1">
        <v>109538</v>
      </c>
      <c r="AC133" s="293">
        <f t="shared" si="47"/>
        <v>0.95126699999999997</v>
      </c>
      <c r="AD133" s="293">
        <f t="shared" si="48"/>
        <v>-6.9775000000000004E-2</v>
      </c>
      <c r="AE133" s="294">
        <f t="shared" si="49"/>
        <v>0.01</v>
      </c>
      <c r="AF133" s="295">
        <f t="shared" si="60"/>
        <v>0</v>
      </c>
      <c r="AG133" s="296">
        <f t="shared" si="61"/>
        <v>0.01</v>
      </c>
      <c r="AH133" s="1">
        <v>1103</v>
      </c>
      <c r="AI133" s="1">
        <v>6</v>
      </c>
      <c r="AJ133" s="254">
        <f t="shared" si="50"/>
        <v>46.15</v>
      </c>
      <c r="AK133" s="9">
        <f t="shared" si="51"/>
        <v>50903</v>
      </c>
      <c r="AL133" s="9">
        <f t="shared" si="52"/>
        <v>280391</v>
      </c>
      <c r="AM133" s="9">
        <f t="shared" si="53"/>
        <v>331294</v>
      </c>
      <c r="AN133" s="9">
        <f t="shared" si="62"/>
        <v>331294</v>
      </c>
      <c r="AO133" s="291">
        <v>1509226</v>
      </c>
      <c r="AP133" s="9">
        <f t="shared" si="63"/>
        <v>1177932</v>
      </c>
      <c r="AQ133" s="297" t="str">
        <f t="shared" si="64"/>
        <v>No</v>
      </c>
      <c r="AR133" s="291">
        <v>1113620</v>
      </c>
      <c r="AS133" s="291">
        <f t="shared" si="54"/>
        <v>98121.7356</v>
      </c>
      <c r="AT133" s="291">
        <f t="shared" si="55"/>
        <v>1015498.2644</v>
      </c>
      <c r="AU133" s="291">
        <f t="shared" si="56"/>
        <v>1015498.2644</v>
      </c>
      <c r="AV133" s="291"/>
      <c r="AW133" s="291">
        <f t="shared" si="65"/>
        <v>917376.52879999997</v>
      </c>
      <c r="AX133" s="291">
        <f t="shared" si="69"/>
        <v>819254.79319999996</v>
      </c>
      <c r="AY133" s="291">
        <f t="shared" si="69"/>
        <v>721133.05759999994</v>
      </c>
      <c r="AZ133" s="291">
        <f t="shared" si="69"/>
        <v>623011.32199999993</v>
      </c>
      <c r="BA133" s="291">
        <f t="shared" si="69"/>
        <v>524889.58639999991</v>
      </c>
      <c r="BB133" s="291">
        <f t="shared" si="69"/>
        <v>426767.8507999999</v>
      </c>
      <c r="BC133" s="291">
        <f t="shared" si="67"/>
        <v>331294</v>
      </c>
      <c r="BD133" s="298"/>
      <c r="BE133" s="291">
        <f t="shared" si="39"/>
        <v>917376.52879999997</v>
      </c>
      <c r="BF133" s="291">
        <f t="shared" si="39"/>
        <v>819254.79319999996</v>
      </c>
      <c r="BG133" s="291">
        <f t="shared" si="39"/>
        <v>721133.05759999994</v>
      </c>
      <c r="BH133" s="291">
        <f t="shared" si="39"/>
        <v>623011.32199999993</v>
      </c>
      <c r="BI133" s="291">
        <f t="shared" si="39"/>
        <v>524889.58639999991</v>
      </c>
      <c r="BJ133" s="291">
        <f t="shared" si="39"/>
        <v>426767.8507999999</v>
      </c>
      <c r="BK133" s="291">
        <f t="shared" si="39"/>
        <v>331294</v>
      </c>
      <c r="BL133" s="298"/>
      <c r="BM133" s="298"/>
      <c r="BN133" s="298"/>
      <c r="BO133" s="298"/>
    </row>
    <row r="134" spans="1:67" x14ac:dyDescent="0.15">
      <c r="A134" s="10" t="s">
        <v>4</v>
      </c>
      <c r="B134" s="10"/>
      <c r="C134" s="276"/>
      <c r="D134" s="276" t="str">
        <f t="shared" si="57"/>
        <v>No</v>
      </c>
      <c r="E134" s="276"/>
      <c r="F134" s="276"/>
      <c r="G134" s="8">
        <v>3</v>
      </c>
      <c r="H134" s="1">
        <v>118</v>
      </c>
      <c r="I134" s="10">
        <v>108</v>
      </c>
      <c r="J134" s="7" t="s">
        <v>120</v>
      </c>
      <c r="K134" s="287"/>
      <c r="L134" s="1">
        <v>1784.31</v>
      </c>
      <c r="M134" s="288"/>
      <c r="N134" s="289"/>
      <c r="O134" s="1">
        <v>241</v>
      </c>
      <c r="P134" s="290">
        <f t="shared" si="40"/>
        <v>0.13506621607231928</v>
      </c>
      <c r="Q134" s="290">
        <f t="shared" si="41"/>
        <v>0</v>
      </c>
      <c r="R134" s="291">
        <f t="shared" si="42"/>
        <v>0</v>
      </c>
      <c r="S134" s="291">
        <f t="shared" si="58"/>
        <v>0</v>
      </c>
      <c r="T134" s="1">
        <v>49</v>
      </c>
      <c r="U134" s="1">
        <f t="shared" si="59"/>
        <v>7.35</v>
      </c>
      <c r="V134" s="292">
        <f t="shared" si="43"/>
        <v>72.3</v>
      </c>
      <c r="W134" s="254">
        <f t="shared" si="44"/>
        <v>1863.9599999999998</v>
      </c>
      <c r="X134" s="1">
        <v>2181839421</v>
      </c>
      <c r="Y134" s="1">
        <v>13035</v>
      </c>
      <c r="Z134" s="264">
        <f t="shared" si="45"/>
        <v>167383.15</v>
      </c>
      <c r="AA134" s="293">
        <f t="shared" si="46"/>
        <v>0.89653499999999997</v>
      </c>
      <c r="AB134" s="1">
        <v>104316</v>
      </c>
      <c r="AC134" s="293">
        <f t="shared" si="47"/>
        <v>0.90591699999999997</v>
      </c>
      <c r="AD134" s="293">
        <f t="shared" si="48"/>
        <v>0.10065</v>
      </c>
      <c r="AE134" s="294">
        <f t="shared" si="49"/>
        <v>0.10065</v>
      </c>
      <c r="AF134" s="295">
        <f t="shared" si="60"/>
        <v>0</v>
      </c>
      <c r="AG134" s="296">
        <f t="shared" si="61"/>
        <v>0.10065</v>
      </c>
      <c r="AH134" s="1">
        <v>0</v>
      </c>
      <c r="AI134" s="1">
        <v>0</v>
      </c>
      <c r="AJ134" s="254">
        <f t="shared" si="50"/>
        <v>0</v>
      </c>
      <c r="AK134" s="9">
        <f t="shared" si="51"/>
        <v>0</v>
      </c>
      <c r="AL134" s="9">
        <f t="shared" si="52"/>
        <v>2162177</v>
      </c>
      <c r="AM134" s="9">
        <f t="shared" si="53"/>
        <v>2162177</v>
      </c>
      <c r="AN134" s="9">
        <f t="shared" si="62"/>
        <v>2162177</v>
      </c>
      <c r="AO134" s="291">
        <v>4528763</v>
      </c>
      <c r="AP134" s="9">
        <f t="shared" si="63"/>
        <v>2366586</v>
      </c>
      <c r="AQ134" s="297" t="str">
        <f t="shared" si="64"/>
        <v>No</v>
      </c>
      <c r="AR134" s="291">
        <v>3874148</v>
      </c>
      <c r="AS134" s="291">
        <f t="shared" si="54"/>
        <v>197136.61379999999</v>
      </c>
      <c r="AT134" s="291">
        <f t="shared" si="55"/>
        <v>3677011.3862000001</v>
      </c>
      <c r="AU134" s="291">
        <f t="shared" si="56"/>
        <v>3677011.3862000001</v>
      </c>
      <c r="AV134" s="291"/>
      <c r="AW134" s="291">
        <f t="shared" si="65"/>
        <v>3479874.7724000001</v>
      </c>
      <c r="AX134" s="291">
        <f t="shared" si="69"/>
        <v>3282738.1586000002</v>
      </c>
      <c r="AY134" s="291">
        <f t="shared" si="69"/>
        <v>3085601.5448000003</v>
      </c>
      <c r="AZ134" s="291">
        <f t="shared" si="69"/>
        <v>2888464.9310000003</v>
      </c>
      <c r="BA134" s="291">
        <f t="shared" si="69"/>
        <v>2691328.3172000004</v>
      </c>
      <c r="BB134" s="291">
        <f t="shared" si="69"/>
        <v>2494191.7034000005</v>
      </c>
      <c r="BC134" s="291">
        <f t="shared" si="67"/>
        <v>2162177</v>
      </c>
      <c r="BD134" s="298"/>
      <c r="BE134" s="291">
        <f t="shared" si="39"/>
        <v>3479874.7724000001</v>
      </c>
      <c r="BF134" s="291">
        <f t="shared" si="39"/>
        <v>3282738.1586000002</v>
      </c>
      <c r="BG134" s="291">
        <f t="shared" si="39"/>
        <v>3085601.5448000003</v>
      </c>
      <c r="BH134" s="291">
        <f t="shared" si="39"/>
        <v>2888464.9310000003</v>
      </c>
      <c r="BI134" s="291">
        <f t="shared" si="39"/>
        <v>2691328.3172000004</v>
      </c>
      <c r="BJ134" s="291">
        <f t="shared" si="39"/>
        <v>2494191.7034000005</v>
      </c>
      <c r="BK134" s="291">
        <f t="shared" si="39"/>
        <v>2162177</v>
      </c>
      <c r="BL134" s="298"/>
      <c r="BM134" s="298"/>
      <c r="BN134" s="298"/>
      <c r="BO134" s="298"/>
    </row>
    <row r="135" spans="1:67" x14ac:dyDescent="0.15">
      <c r="A135" s="10" t="s">
        <v>19</v>
      </c>
      <c r="B135" s="10"/>
      <c r="C135" s="276"/>
      <c r="D135" s="276" t="str">
        <f t="shared" si="57"/>
        <v>No</v>
      </c>
      <c r="E135" s="276"/>
      <c r="F135" s="276"/>
      <c r="G135" s="8">
        <v>9</v>
      </c>
      <c r="H135" s="1">
        <v>18</v>
      </c>
      <c r="I135" s="10">
        <v>109</v>
      </c>
      <c r="J135" s="7" t="s">
        <v>121</v>
      </c>
      <c r="K135" s="287"/>
      <c r="L135" s="1">
        <v>2150.4</v>
      </c>
      <c r="M135" s="300"/>
      <c r="N135" s="289"/>
      <c r="O135" s="1">
        <v>1196</v>
      </c>
      <c r="P135" s="290">
        <f t="shared" si="40"/>
        <v>0.55617559523809523</v>
      </c>
      <c r="Q135" s="290">
        <f t="shared" si="41"/>
        <v>0</v>
      </c>
      <c r="R135" s="291">
        <f t="shared" si="42"/>
        <v>0</v>
      </c>
      <c r="S135" s="291">
        <f t="shared" si="58"/>
        <v>0</v>
      </c>
      <c r="T135" s="1">
        <v>35</v>
      </c>
      <c r="U135" s="1">
        <f t="shared" si="59"/>
        <v>5.25</v>
      </c>
      <c r="V135" s="292">
        <f t="shared" si="43"/>
        <v>358.8</v>
      </c>
      <c r="W135" s="254">
        <f t="shared" si="44"/>
        <v>2514.4500000000003</v>
      </c>
      <c r="X135" s="1">
        <v>1403366056</v>
      </c>
      <c r="Y135" s="1">
        <v>15093</v>
      </c>
      <c r="Z135" s="264">
        <f t="shared" si="45"/>
        <v>92981.25</v>
      </c>
      <c r="AA135" s="293">
        <f t="shared" si="46"/>
        <v>0.49802400000000002</v>
      </c>
      <c r="AB135" s="1">
        <v>67409</v>
      </c>
      <c r="AC135" s="293">
        <f t="shared" si="47"/>
        <v>0.58540400000000004</v>
      </c>
      <c r="AD135" s="293">
        <f t="shared" si="48"/>
        <v>0.47576200000000002</v>
      </c>
      <c r="AE135" s="294">
        <f t="shared" si="49"/>
        <v>0.47576200000000002</v>
      </c>
      <c r="AF135" s="295">
        <f t="shared" si="60"/>
        <v>0.03</v>
      </c>
      <c r="AG135" s="296">
        <f t="shared" si="61"/>
        <v>0.50576200000000004</v>
      </c>
      <c r="AH135" s="1">
        <v>0</v>
      </c>
      <c r="AI135" s="1">
        <v>0</v>
      </c>
      <c r="AJ135" s="254">
        <f t="shared" si="50"/>
        <v>0</v>
      </c>
      <c r="AK135" s="9">
        <f t="shared" si="51"/>
        <v>0</v>
      </c>
      <c r="AL135" s="9">
        <f t="shared" si="52"/>
        <v>14656495</v>
      </c>
      <c r="AM135" s="9">
        <f t="shared" si="53"/>
        <v>14656495</v>
      </c>
      <c r="AN135" s="9">
        <f t="shared" si="62"/>
        <v>14656495</v>
      </c>
      <c r="AO135" s="291">
        <v>15364444</v>
      </c>
      <c r="AP135" s="9">
        <f t="shared" si="63"/>
        <v>707949</v>
      </c>
      <c r="AQ135" s="297" t="str">
        <f t="shared" si="64"/>
        <v>No</v>
      </c>
      <c r="AR135" s="291">
        <v>15049019</v>
      </c>
      <c r="AS135" s="291">
        <f t="shared" si="54"/>
        <v>58972.151700000002</v>
      </c>
      <c r="AT135" s="291">
        <f t="shared" si="55"/>
        <v>14990046.848300001</v>
      </c>
      <c r="AU135" s="291">
        <f t="shared" si="56"/>
        <v>14990046.848300001</v>
      </c>
      <c r="AV135" s="291"/>
      <c r="AW135" s="291">
        <f t="shared" si="65"/>
        <v>14931074.696600001</v>
      </c>
      <c r="AX135" s="291">
        <f t="shared" si="69"/>
        <v>14872102.544900002</v>
      </c>
      <c r="AY135" s="291">
        <f t="shared" si="69"/>
        <v>14813130.393200003</v>
      </c>
      <c r="AZ135" s="291">
        <f t="shared" si="69"/>
        <v>14754158.241500003</v>
      </c>
      <c r="BA135" s="291">
        <f t="shared" si="69"/>
        <v>14695186.089800004</v>
      </c>
      <c r="BB135" s="291">
        <f t="shared" si="69"/>
        <v>14636213.938100005</v>
      </c>
      <c r="BC135" s="291">
        <f t="shared" si="67"/>
        <v>14656495</v>
      </c>
      <c r="BD135" s="298"/>
      <c r="BE135" s="291">
        <f t="shared" si="39"/>
        <v>14931074.696600001</v>
      </c>
      <c r="BF135" s="291">
        <f t="shared" si="39"/>
        <v>14872102.544900002</v>
      </c>
      <c r="BG135" s="291">
        <f t="shared" si="39"/>
        <v>14813130.393200003</v>
      </c>
      <c r="BH135" s="291">
        <f t="shared" si="39"/>
        <v>14754158.241500003</v>
      </c>
      <c r="BI135" s="291">
        <f t="shared" si="39"/>
        <v>14695186.089800004</v>
      </c>
      <c r="BJ135" s="291">
        <f t="shared" si="39"/>
        <v>14636213.938100005</v>
      </c>
      <c r="BK135" s="291">
        <f t="shared" si="39"/>
        <v>14656495</v>
      </c>
      <c r="BL135" s="298"/>
      <c r="BM135" s="298"/>
      <c r="BN135" s="298"/>
      <c r="BO135" s="298"/>
    </row>
    <row r="136" spans="1:67" x14ac:dyDescent="0.15">
      <c r="A136" s="10" t="s">
        <v>32</v>
      </c>
      <c r="B136" s="10"/>
      <c r="C136" s="276"/>
      <c r="D136" s="276" t="str">
        <f t="shared" si="57"/>
        <v>No</v>
      </c>
      <c r="E136" s="276"/>
      <c r="F136" s="276"/>
      <c r="G136" s="8">
        <v>8</v>
      </c>
      <c r="H136" s="1">
        <v>44</v>
      </c>
      <c r="I136" s="10">
        <v>110</v>
      </c>
      <c r="J136" s="7" t="s">
        <v>122</v>
      </c>
      <c r="K136" s="287"/>
      <c r="L136" s="1">
        <v>2304.65</v>
      </c>
      <c r="M136" s="300"/>
      <c r="N136" s="289"/>
      <c r="O136" s="1">
        <v>850</v>
      </c>
      <c r="P136" s="290">
        <f t="shared" si="40"/>
        <v>0.36881956045386499</v>
      </c>
      <c r="Q136" s="290">
        <f t="shared" si="41"/>
        <v>0</v>
      </c>
      <c r="R136" s="291">
        <f t="shared" si="42"/>
        <v>0</v>
      </c>
      <c r="S136" s="291">
        <f t="shared" si="58"/>
        <v>0</v>
      </c>
      <c r="T136" s="1">
        <v>155</v>
      </c>
      <c r="U136" s="1">
        <f t="shared" si="59"/>
        <v>23.25</v>
      </c>
      <c r="V136" s="292">
        <f t="shared" si="43"/>
        <v>255</v>
      </c>
      <c r="W136" s="254">
        <f t="shared" si="44"/>
        <v>2582.9</v>
      </c>
      <c r="X136" s="1">
        <v>1974807350.6700001</v>
      </c>
      <c r="Y136" s="1">
        <v>17705</v>
      </c>
      <c r="Z136" s="264">
        <f t="shared" si="45"/>
        <v>111539.53</v>
      </c>
      <c r="AA136" s="293">
        <f t="shared" si="46"/>
        <v>0.59742600000000001</v>
      </c>
      <c r="AB136" s="1">
        <v>62459</v>
      </c>
      <c r="AC136" s="293">
        <f t="shared" si="47"/>
        <v>0.54241600000000001</v>
      </c>
      <c r="AD136" s="293">
        <f t="shared" si="48"/>
        <v>0.41907699999999998</v>
      </c>
      <c r="AE136" s="294">
        <f t="shared" si="49"/>
        <v>0.41907699999999998</v>
      </c>
      <c r="AF136" s="295">
        <f t="shared" si="60"/>
        <v>0</v>
      </c>
      <c r="AG136" s="296">
        <f t="shared" si="61"/>
        <v>0.41907699999999998</v>
      </c>
      <c r="AH136" s="1">
        <v>0</v>
      </c>
      <c r="AI136" s="1">
        <v>0</v>
      </c>
      <c r="AJ136" s="254">
        <f t="shared" si="50"/>
        <v>0</v>
      </c>
      <c r="AK136" s="9">
        <f t="shared" si="51"/>
        <v>0</v>
      </c>
      <c r="AL136" s="9">
        <f t="shared" si="52"/>
        <v>12475052</v>
      </c>
      <c r="AM136" s="9">
        <f t="shared" si="53"/>
        <v>12475052</v>
      </c>
      <c r="AN136" s="9">
        <f t="shared" si="62"/>
        <v>12475052</v>
      </c>
      <c r="AO136" s="291">
        <v>10272197</v>
      </c>
      <c r="AP136" s="9">
        <f t="shared" si="63"/>
        <v>2202855</v>
      </c>
      <c r="AQ136" s="297" t="str">
        <f t="shared" si="64"/>
        <v>Yes</v>
      </c>
      <c r="AR136" s="291">
        <v>10577242</v>
      </c>
      <c r="AS136" s="291">
        <f t="shared" si="54"/>
        <v>234824.34299999999</v>
      </c>
      <c r="AT136" s="291">
        <f t="shared" si="55"/>
        <v>10812066.343</v>
      </c>
      <c r="AU136" s="291">
        <f t="shared" si="56"/>
        <v>10812066.343</v>
      </c>
      <c r="AV136" s="291"/>
      <c r="AW136" s="291">
        <f t="shared" si="65"/>
        <v>11046890.686000001</v>
      </c>
      <c r="AX136" s="291">
        <f t="shared" si="69"/>
        <v>11281715.029000001</v>
      </c>
      <c r="AY136" s="291">
        <f t="shared" si="69"/>
        <v>11516539.372000001</v>
      </c>
      <c r="AZ136" s="291">
        <f t="shared" si="69"/>
        <v>11751363.715000002</v>
      </c>
      <c r="BA136" s="291">
        <f t="shared" si="69"/>
        <v>11986188.058000002</v>
      </c>
      <c r="BB136" s="291">
        <f t="shared" si="69"/>
        <v>12221012.401000002</v>
      </c>
      <c r="BC136" s="291">
        <f t="shared" si="67"/>
        <v>12475052</v>
      </c>
      <c r="BD136" s="298"/>
      <c r="BE136" s="291">
        <f t="shared" si="39"/>
        <v>11046890.686000001</v>
      </c>
      <c r="BF136" s="291">
        <f t="shared" si="39"/>
        <v>11281715.029000001</v>
      </c>
      <c r="BG136" s="291">
        <f t="shared" si="39"/>
        <v>11516539.372000001</v>
      </c>
      <c r="BH136" s="291">
        <f t="shared" si="39"/>
        <v>11751363.715000002</v>
      </c>
      <c r="BI136" s="291">
        <f t="shared" si="39"/>
        <v>11986188.058000002</v>
      </c>
      <c r="BJ136" s="291">
        <f t="shared" si="39"/>
        <v>12221012.401000002</v>
      </c>
      <c r="BK136" s="291">
        <f t="shared" si="39"/>
        <v>12475052</v>
      </c>
      <c r="BL136" s="298"/>
      <c r="BM136" s="298"/>
      <c r="BN136" s="298"/>
      <c r="BO136" s="298"/>
    </row>
    <row r="137" spans="1:67" x14ac:dyDescent="0.15">
      <c r="A137" s="10" t="s">
        <v>32</v>
      </c>
      <c r="B137" s="10"/>
      <c r="C137" s="276"/>
      <c r="D137" s="276" t="str">
        <f t="shared" si="57"/>
        <v>No</v>
      </c>
      <c r="E137" s="276"/>
      <c r="F137" s="276"/>
      <c r="G137" s="8">
        <v>8</v>
      </c>
      <c r="H137" s="1">
        <v>19</v>
      </c>
      <c r="I137" s="10">
        <v>111</v>
      </c>
      <c r="J137" s="7" t="s">
        <v>123</v>
      </c>
      <c r="K137" s="287"/>
      <c r="L137" s="1">
        <v>1495.6</v>
      </c>
      <c r="M137" s="300"/>
      <c r="N137" s="289"/>
      <c r="O137" s="1">
        <v>628</v>
      </c>
      <c r="P137" s="290">
        <f t="shared" si="40"/>
        <v>0.41989836854774004</v>
      </c>
      <c r="Q137" s="290">
        <f t="shared" si="41"/>
        <v>0</v>
      </c>
      <c r="R137" s="291">
        <f t="shared" si="42"/>
        <v>0</v>
      </c>
      <c r="S137" s="291">
        <f t="shared" si="58"/>
        <v>0</v>
      </c>
      <c r="T137" s="1">
        <v>20</v>
      </c>
      <c r="U137" s="1">
        <f t="shared" si="59"/>
        <v>3</v>
      </c>
      <c r="V137" s="292">
        <f t="shared" si="43"/>
        <v>188.4</v>
      </c>
      <c r="W137" s="254">
        <f t="shared" si="44"/>
        <v>1687</v>
      </c>
      <c r="X137" s="1">
        <v>1105032570.3299999</v>
      </c>
      <c r="Y137" s="1">
        <v>11718</v>
      </c>
      <c r="Z137" s="264">
        <f t="shared" si="45"/>
        <v>94302.15</v>
      </c>
      <c r="AA137" s="293">
        <f t="shared" si="46"/>
        <v>0.50509899999999996</v>
      </c>
      <c r="AB137" s="1">
        <v>73430</v>
      </c>
      <c r="AC137" s="293">
        <f t="shared" si="47"/>
        <v>0.63769200000000004</v>
      </c>
      <c r="AD137" s="293">
        <f t="shared" si="48"/>
        <v>0.455123</v>
      </c>
      <c r="AE137" s="294">
        <f t="shared" si="49"/>
        <v>0.455123</v>
      </c>
      <c r="AF137" s="295">
        <f t="shared" si="60"/>
        <v>0.03</v>
      </c>
      <c r="AG137" s="296">
        <f t="shared" si="61"/>
        <v>0.48512299999999997</v>
      </c>
      <c r="AH137" s="1">
        <v>0</v>
      </c>
      <c r="AI137" s="1">
        <v>0</v>
      </c>
      <c r="AJ137" s="254">
        <f t="shared" si="50"/>
        <v>0</v>
      </c>
      <c r="AK137" s="9">
        <f t="shared" si="51"/>
        <v>0</v>
      </c>
      <c r="AL137" s="9">
        <f t="shared" si="52"/>
        <v>9432089</v>
      </c>
      <c r="AM137" s="9">
        <f t="shared" si="53"/>
        <v>9432089</v>
      </c>
      <c r="AN137" s="9">
        <f t="shared" si="62"/>
        <v>9432089</v>
      </c>
      <c r="AO137" s="291">
        <v>9761632</v>
      </c>
      <c r="AP137" s="9">
        <f t="shared" si="63"/>
        <v>329543</v>
      </c>
      <c r="AQ137" s="297" t="str">
        <f t="shared" si="64"/>
        <v>No</v>
      </c>
      <c r="AR137" s="291">
        <v>9829572</v>
      </c>
      <c r="AS137" s="291">
        <f t="shared" si="54"/>
        <v>27450.9319</v>
      </c>
      <c r="AT137" s="291">
        <f t="shared" si="55"/>
        <v>9802121.0680999998</v>
      </c>
      <c r="AU137" s="291">
        <f t="shared" si="56"/>
        <v>9802121.0680999998</v>
      </c>
      <c r="AV137" s="291"/>
      <c r="AW137" s="291">
        <f t="shared" si="65"/>
        <v>9774670.1361999996</v>
      </c>
      <c r="AX137" s="291">
        <f t="shared" si="69"/>
        <v>9747219.2042999994</v>
      </c>
      <c r="AY137" s="291">
        <f t="shared" si="69"/>
        <v>9719768.2723999992</v>
      </c>
      <c r="AZ137" s="291">
        <f t="shared" si="69"/>
        <v>9692317.340499999</v>
      </c>
      <c r="BA137" s="291">
        <f t="shared" si="69"/>
        <v>9664866.4085999988</v>
      </c>
      <c r="BB137" s="291">
        <f t="shared" si="69"/>
        <v>9637415.4766999986</v>
      </c>
      <c r="BC137" s="291">
        <f t="shared" si="67"/>
        <v>9432089</v>
      </c>
      <c r="BD137" s="298"/>
      <c r="BE137" s="291">
        <f t="shared" si="39"/>
        <v>9774670.1361999996</v>
      </c>
      <c r="BF137" s="291">
        <f t="shared" si="39"/>
        <v>9747219.2042999994</v>
      </c>
      <c r="BG137" s="291">
        <f t="shared" si="39"/>
        <v>9719768.2723999992</v>
      </c>
      <c r="BH137" s="291">
        <f t="shared" si="39"/>
        <v>9692317.340499999</v>
      </c>
      <c r="BI137" s="291">
        <f t="shared" si="39"/>
        <v>9664866.4085999988</v>
      </c>
      <c r="BJ137" s="291">
        <f t="shared" si="39"/>
        <v>9637415.4766999986</v>
      </c>
      <c r="BK137" s="291">
        <f t="shared" si="39"/>
        <v>9432089</v>
      </c>
      <c r="BL137" s="298"/>
      <c r="BM137" s="298"/>
      <c r="BN137" s="298"/>
      <c r="BO137" s="298"/>
    </row>
    <row r="138" spans="1:67" x14ac:dyDescent="0.15">
      <c r="A138" s="10" t="s">
        <v>4</v>
      </c>
      <c r="B138" s="10"/>
      <c r="C138" s="276"/>
      <c r="D138" s="276" t="str">
        <f t="shared" si="57"/>
        <v>No</v>
      </c>
      <c r="E138" s="276"/>
      <c r="F138" s="276"/>
      <c r="G138" s="8">
        <v>8</v>
      </c>
      <c r="H138" s="1">
        <v>112</v>
      </c>
      <c r="I138" s="10">
        <v>112</v>
      </c>
      <c r="J138" s="7" t="s">
        <v>124</v>
      </c>
      <c r="K138" s="287"/>
      <c r="L138" s="1">
        <v>580.24</v>
      </c>
      <c r="M138" s="288"/>
      <c r="N138" s="289"/>
      <c r="O138" s="1">
        <v>108</v>
      </c>
      <c r="P138" s="290">
        <f t="shared" si="40"/>
        <v>0.18612987729215497</v>
      </c>
      <c r="Q138" s="290">
        <f t="shared" si="41"/>
        <v>0</v>
      </c>
      <c r="R138" s="291">
        <f t="shared" si="42"/>
        <v>0</v>
      </c>
      <c r="S138" s="291">
        <f t="shared" si="58"/>
        <v>0</v>
      </c>
      <c r="T138" s="1">
        <v>0</v>
      </c>
      <c r="U138" s="1">
        <f t="shared" si="59"/>
        <v>0</v>
      </c>
      <c r="V138" s="292">
        <f t="shared" si="43"/>
        <v>32.4</v>
      </c>
      <c r="W138" s="254">
        <f t="shared" si="44"/>
        <v>612.64</v>
      </c>
      <c r="X138" s="1">
        <v>524050191.32999998</v>
      </c>
      <c r="Y138" s="1">
        <v>4167</v>
      </c>
      <c r="Z138" s="264">
        <f t="shared" si="45"/>
        <v>125761.98</v>
      </c>
      <c r="AA138" s="293">
        <f t="shared" si="46"/>
        <v>0.67360399999999998</v>
      </c>
      <c r="AB138" s="1">
        <v>84457</v>
      </c>
      <c r="AC138" s="293">
        <f t="shared" si="47"/>
        <v>0.73345499999999997</v>
      </c>
      <c r="AD138" s="293">
        <f t="shared" si="48"/>
        <v>0.30844100000000002</v>
      </c>
      <c r="AE138" s="294">
        <f t="shared" si="49"/>
        <v>0.30844100000000002</v>
      </c>
      <c r="AF138" s="295">
        <f t="shared" si="60"/>
        <v>0</v>
      </c>
      <c r="AG138" s="296">
        <f t="shared" si="61"/>
        <v>0.30844100000000002</v>
      </c>
      <c r="AH138" s="1">
        <v>0</v>
      </c>
      <c r="AI138" s="1">
        <v>0</v>
      </c>
      <c r="AJ138" s="254">
        <f t="shared" si="50"/>
        <v>0</v>
      </c>
      <c r="AK138" s="9">
        <f t="shared" si="51"/>
        <v>0</v>
      </c>
      <c r="AL138" s="9">
        <f t="shared" si="52"/>
        <v>2177802</v>
      </c>
      <c r="AM138" s="9">
        <f t="shared" si="53"/>
        <v>2177802</v>
      </c>
      <c r="AN138" s="9">
        <f t="shared" si="62"/>
        <v>2177802</v>
      </c>
      <c r="AO138" s="291">
        <v>3073015</v>
      </c>
      <c r="AP138" s="9">
        <f t="shared" si="63"/>
        <v>895213</v>
      </c>
      <c r="AQ138" s="297" t="str">
        <f t="shared" si="64"/>
        <v>No</v>
      </c>
      <c r="AR138" s="291">
        <v>2745558</v>
      </c>
      <c r="AS138" s="291">
        <f t="shared" si="54"/>
        <v>74571.242899999997</v>
      </c>
      <c r="AT138" s="291">
        <f t="shared" si="55"/>
        <v>2670986.7571</v>
      </c>
      <c r="AU138" s="291">
        <f t="shared" si="56"/>
        <v>2670986.7571</v>
      </c>
      <c r="AV138" s="291"/>
      <c r="AW138" s="291">
        <f t="shared" si="65"/>
        <v>2596415.5142000001</v>
      </c>
      <c r="AX138" s="291">
        <f t="shared" si="69"/>
        <v>2521844.2713000001</v>
      </c>
      <c r="AY138" s="291">
        <f t="shared" si="69"/>
        <v>2447273.0284000002</v>
      </c>
      <c r="AZ138" s="291">
        <f t="shared" si="69"/>
        <v>2372701.7855000002</v>
      </c>
      <c r="BA138" s="291">
        <f t="shared" si="69"/>
        <v>2298130.5426000003</v>
      </c>
      <c r="BB138" s="291">
        <f t="shared" si="69"/>
        <v>2223559.2997000003</v>
      </c>
      <c r="BC138" s="291">
        <f t="shared" si="67"/>
        <v>2177802</v>
      </c>
      <c r="BD138" s="298"/>
      <c r="BE138" s="291">
        <f t="shared" si="39"/>
        <v>2596415.5142000001</v>
      </c>
      <c r="BF138" s="291">
        <f t="shared" si="39"/>
        <v>2521844.2713000001</v>
      </c>
      <c r="BG138" s="291">
        <f t="shared" si="39"/>
        <v>2447273.0284000002</v>
      </c>
      <c r="BH138" s="291">
        <f t="shared" si="39"/>
        <v>2372701.7855000002</v>
      </c>
      <c r="BI138" s="291">
        <f t="shared" si="39"/>
        <v>2298130.5426000003</v>
      </c>
      <c r="BJ138" s="291">
        <f t="shared" si="39"/>
        <v>2223559.2997000003</v>
      </c>
      <c r="BK138" s="291">
        <f t="shared" si="39"/>
        <v>2177802</v>
      </c>
      <c r="BL138" s="298"/>
      <c r="BM138" s="298"/>
      <c r="BN138" s="298"/>
      <c r="BO138" s="298"/>
    </row>
    <row r="139" spans="1:67" x14ac:dyDescent="0.15">
      <c r="A139" s="10" t="s">
        <v>8</v>
      </c>
      <c r="B139" s="10"/>
      <c r="C139" s="276"/>
      <c r="D139" s="276" t="str">
        <f t="shared" si="57"/>
        <v>No</v>
      </c>
      <c r="E139" s="276"/>
      <c r="F139" s="276"/>
      <c r="G139" s="8">
        <v>6</v>
      </c>
      <c r="H139" s="1">
        <v>89</v>
      </c>
      <c r="I139" s="10">
        <v>113</v>
      </c>
      <c r="J139" s="7" t="s">
        <v>125</v>
      </c>
      <c r="K139" s="287"/>
      <c r="L139" s="1">
        <v>1336.4</v>
      </c>
      <c r="M139" s="288"/>
      <c r="N139" s="289"/>
      <c r="O139" s="1">
        <v>300</v>
      </c>
      <c r="P139" s="290">
        <f t="shared" si="40"/>
        <v>0.22448368751870695</v>
      </c>
      <c r="Q139" s="290">
        <f t="shared" si="41"/>
        <v>0</v>
      </c>
      <c r="R139" s="291">
        <f t="shared" si="42"/>
        <v>0</v>
      </c>
      <c r="S139" s="291">
        <f t="shared" si="58"/>
        <v>0</v>
      </c>
      <c r="T139" s="1">
        <v>31</v>
      </c>
      <c r="U139" s="1">
        <f t="shared" si="59"/>
        <v>4.6499999999999995</v>
      </c>
      <c r="V139" s="292">
        <f t="shared" si="43"/>
        <v>90</v>
      </c>
      <c r="W139" s="254">
        <f t="shared" si="44"/>
        <v>1431.0500000000002</v>
      </c>
      <c r="X139" s="1">
        <v>1208677884.3299999</v>
      </c>
      <c r="Y139" s="1">
        <v>9360</v>
      </c>
      <c r="Z139" s="264">
        <f t="shared" si="45"/>
        <v>129132.25</v>
      </c>
      <c r="AA139" s="293">
        <f t="shared" si="46"/>
        <v>0.69165600000000005</v>
      </c>
      <c r="AB139" s="1">
        <v>88433</v>
      </c>
      <c r="AC139" s="293">
        <f t="shared" si="47"/>
        <v>0.767984</v>
      </c>
      <c r="AD139" s="293">
        <f t="shared" si="48"/>
        <v>0.28544599999999998</v>
      </c>
      <c r="AE139" s="294">
        <f t="shared" si="49"/>
        <v>0.28544599999999998</v>
      </c>
      <c r="AF139" s="295">
        <f t="shared" si="60"/>
        <v>0</v>
      </c>
      <c r="AG139" s="296">
        <f t="shared" si="61"/>
        <v>0.28544599999999998</v>
      </c>
      <c r="AH139" s="1">
        <v>0</v>
      </c>
      <c r="AI139" s="1">
        <v>0</v>
      </c>
      <c r="AJ139" s="254">
        <f t="shared" si="50"/>
        <v>0</v>
      </c>
      <c r="AK139" s="9">
        <f t="shared" si="51"/>
        <v>0</v>
      </c>
      <c r="AL139" s="9">
        <f t="shared" si="52"/>
        <v>4707818</v>
      </c>
      <c r="AM139" s="9">
        <f t="shared" si="53"/>
        <v>4707818</v>
      </c>
      <c r="AN139" s="9">
        <f t="shared" si="62"/>
        <v>4707818</v>
      </c>
      <c r="AO139" s="291">
        <v>4363751</v>
      </c>
      <c r="AP139" s="9">
        <f t="shared" si="63"/>
        <v>344067</v>
      </c>
      <c r="AQ139" s="297" t="str">
        <f t="shared" si="64"/>
        <v>Yes</v>
      </c>
      <c r="AR139" s="291">
        <v>4456627</v>
      </c>
      <c r="AS139" s="291">
        <f t="shared" si="54"/>
        <v>36677.542200000004</v>
      </c>
      <c r="AT139" s="291">
        <f t="shared" si="55"/>
        <v>4493304.5422</v>
      </c>
      <c r="AU139" s="291">
        <f t="shared" si="56"/>
        <v>4493304.5422</v>
      </c>
      <c r="AV139" s="291"/>
      <c r="AW139" s="291">
        <f t="shared" si="65"/>
        <v>4529982.0844000001</v>
      </c>
      <c r="AX139" s="291">
        <f t="shared" si="69"/>
        <v>4566659.6266000001</v>
      </c>
      <c r="AY139" s="291">
        <f t="shared" si="69"/>
        <v>4603337.1688000001</v>
      </c>
      <c r="AZ139" s="291">
        <f t="shared" si="69"/>
        <v>4640014.7110000001</v>
      </c>
      <c r="BA139" s="291">
        <f t="shared" si="69"/>
        <v>4676692.2532000002</v>
      </c>
      <c r="BB139" s="291">
        <f t="shared" si="69"/>
        <v>4713369.7954000002</v>
      </c>
      <c r="BC139" s="291">
        <f t="shared" si="67"/>
        <v>4707818</v>
      </c>
      <c r="BD139" s="298"/>
      <c r="BE139" s="291">
        <f t="shared" si="39"/>
        <v>4529982.0844000001</v>
      </c>
      <c r="BF139" s="291">
        <f t="shared" si="39"/>
        <v>4566659.6266000001</v>
      </c>
      <c r="BG139" s="291">
        <f t="shared" si="39"/>
        <v>4603337.1688000001</v>
      </c>
      <c r="BH139" s="291">
        <f t="shared" si="39"/>
        <v>4640014.7110000001</v>
      </c>
      <c r="BI139" s="291">
        <f t="shared" si="39"/>
        <v>4676692.2532000002</v>
      </c>
      <c r="BJ139" s="291">
        <f t="shared" si="39"/>
        <v>4713369.7954000002</v>
      </c>
      <c r="BK139" s="291">
        <f t="shared" si="39"/>
        <v>4707818</v>
      </c>
      <c r="BL139" s="298"/>
      <c r="BM139" s="298"/>
      <c r="BN139" s="298"/>
      <c r="BO139" s="298"/>
    </row>
    <row r="140" spans="1:67" x14ac:dyDescent="0.15">
      <c r="A140" s="10" t="s">
        <v>8</v>
      </c>
      <c r="B140" s="10"/>
      <c r="C140" s="276"/>
      <c r="D140" s="276" t="str">
        <f t="shared" si="57"/>
        <v>No</v>
      </c>
      <c r="E140" s="276"/>
      <c r="F140" s="276"/>
      <c r="G140" s="8">
        <v>7</v>
      </c>
      <c r="H140" s="1">
        <v>55</v>
      </c>
      <c r="I140" s="10">
        <v>114</v>
      </c>
      <c r="J140" s="7" t="s">
        <v>126</v>
      </c>
      <c r="K140" s="287"/>
      <c r="L140" s="1">
        <v>646.74</v>
      </c>
      <c r="M140" s="288"/>
      <c r="N140" s="289"/>
      <c r="O140" s="1">
        <v>194</v>
      </c>
      <c r="P140" s="290">
        <f t="shared" si="40"/>
        <v>0.29996598323901413</v>
      </c>
      <c r="Q140" s="290">
        <f t="shared" si="41"/>
        <v>0</v>
      </c>
      <c r="R140" s="291">
        <f t="shared" si="42"/>
        <v>0</v>
      </c>
      <c r="S140" s="291">
        <f t="shared" si="58"/>
        <v>0</v>
      </c>
      <c r="T140" s="1">
        <v>15</v>
      </c>
      <c r="U140" s="1">
        <f t="shared" si="59"/>
        <v>2.25</v>
      </c>
      <c r="V140" s="292">
        <f t="shared" si="43"/>
        <v>58.2</v>
      </c>
      <c r="W140" s="254">
        <f t="shared" si="44"/>
        <v>707.19</v>
      </c>
      <c r="X140" s="1">
        <v>611334504.66999996</v>
      </c>
      <c r="Y140" s="1">
        <v>4666</v>
      </c>
      <c r="Z140" s="264">
        <f t="shared" si="45"/>
        <v>131018.97</v>
      </c>
      <c r="AA140" s="293">
        <f t="shared" si="46"/>
        <v>0.70176099999999997</v>
      </c>
      <c r="AB140" s="1">
        <v>74083</v>
      </c>
      <c r="AC140" s="293">
        <f t="shared" si="47"/>
        <v>0.64336300000000002</v>
      </c>
      <c r="AD140" s="293">
        <f t="shared" si="48"/>
        <v>0.31575799999999998</v>
      </c>
      <c r="AE140" s="294">
        <f t="shared" si="49"/>
        <v>0.31575799999999998</v>
      </c>
      <c r="AF140" s="295">
        <f t="shared" si="60"/>
        <v>0</v>
      </c>
      <c r="AG140" s="296">
        <f t="shared" si="61"/>
        <v>0.31575799999999998</v>
      </c>
      <c r="AH140" s="1">
        <v>0</v>
      </c>
      <c r="AI140" s="1">
        <v>0</v>
      </c>
      <c r="AJ140" s="254">
        <f t="shared" si="50"/>
        <v>0</v>
      </c>
      <c r="AK140" s="9">
        <f t="shared" si="51"/>
        <v>0</v>
      </c>
      <c r="AL140" s="9">
        <f t="shared" si="52"/>
        <v>2573543</v>
      </c>
      <c r="AM140" s="9">
        <f t="shared" si="53"/>
        <v>2573543</v>
      </c>
      <c r="AN140" s="9">
        <f t="shared" si="62"/>
        <v>2573543</v>
      </c>
      <c r="AO140" s="291">
        <v>3012017</v>
      </c>
      <c r="AP140" s="9">
        <f t="shared" si="63"/>
        <v>438474</v>
      </c>
      <c r="AQ140" s="297" t="str">
        <f t="shared" si="64"/>
        <v>No</v>
      </c>
      <c r="AR140" s="291">
        <v>2989021</v>
      </c>
      <c r="AS140" s="291">
        <f t="shared" si="54"/>
        <v>36524.8842</v>
      </c>
      <c r="AT140" s="291">
        <f t="shared" si="55"/>
        <v>2952496.1157999998</v>
      </c>
      <c r="AU140" s="291">
        <f t="shared" si="56"/>
        <v>2952496.1157999998</v>
      </c>
      <c r="AV140" s="291"/>
      <c r="AW140" s="291">
        <f t="shared" si="65"/>
        <v>2915971.2315999996</v>
      </c>
      <c r="AX140" s="291">
        <f t="shared" ref="AX140:BB155" si="70">IF($AQ140="Yes",AW140+$AS140,AW140-$AS140)</f>
        <v>2879446.3473999994</v>
      </c>
      <c r="AY140" s="291">
        <f t="shared" si="70"/>
        <v>2842921.4631999992</v>
      </c>
      <c r="AZ140" s="291">
        <f t="shared" si="70"/>
        <v>2806396.578999999</v>
      </c>
      <c r="BA140" s="291">
        <f t="shared" si="70"/>
        <v>2769871.6947999988</v>
      </c>
      <c r="BB140" s="291">
        <f t="shared" si="70"/>
        <v>2733346.8105999986</v>
      </c>
      <c r="BC140" s="291">
        <f t="shared" si="67"/>
        <v>2573543</v>
      </c>
      <c r="BD140" s="298"/>
      <c r="BE140" s="291">
        <f t="shared" si="39"/>
        <v>2915971.2315999996</v>
      </c>
      <c r="BF140" s="291">
        <f t="shared" si="39"/>
        <v>2879446.3473999994</v>
      </c>
      <c r="BG140" s="291">
        <f t="shared" si="39"/>
        <v>2842921.4631999992</v>
      </c>
      <c r="BH140" s="291">
        <f t="shared" si="39"/>
        <v>2806396.578999999</v>
      </c>
      <c r="BI140" s="291">
        <f t="shared" si="39"/>
        <v>2769871.6947999988</v>
      </c>
      <c r="BJ140" s="291">
        <f t="shared" si="39"/>
        <v>2733346.8105999986</v>
      </c>
      <c r="BK140" s="291">
        <f t="shared" si="39"/>
        <v>2573543</v>
      </c>
      <c r="BL140" s="298"/>
      <c r="BM140" s="298"/>
      <c r="BN140" s="298"/>
      <c r="BO140" s="298"/>
    </row>
    <row r="141" spans="1:67" x14ac:dyDescent="0.15">
      <c r="A141" s="10" t="s">
        <v>8</v>
      </c>
      <c r="B141" s="10"/>
      <c r="C141" s="276"/>
      <c r="D141" s="276" t="str">
        <f t="shared" si="57"/>
        <v>No</v>
      </c>
      <c r="E141" s="276"/>
      <c r="F141" s="276"/>
      <c r="G141" s="8">
        <v>6</v>
      </c>
      <c r="H141" s="1">
        <v>65</v>
      </c>
      <c r="I141" s="10">
        <v>115</v>
      </c>
      <c r="J141" s="7" t="s">
        <v>127</v>
      </c>
      <c r="K141" s="287"/>
      <c r="L141" s="1">
        <v>1348.47</v>
      </c>
      <c r="M141" s="288"/>
      <c r="N141" s="289"/>
      <c r="O141" s="1">
        <v>287</v>
      </c>
      <c r="P141" s="290">
        <f t="shared" si="40"/>
        <v>0.21283380423739498</v>
      </c>
      <c r="Q141" s="290">
        <f t="shared" si="41"/>
        <v>0</v>
      </c>
      <c r="R141" s="291">
        <f t="shared" si="42"/>
        <v>0</v>
      </c>
      <c r="S141" s="291">
        <f t="shared" si="58"/>
        <v>0</v>
      </c>
      <c r="T141" s="1">
        <v>14</v>
      </c>
      <c r="U141" s="1">
        <f t="shared" si="59"/>
        <v>2.1</v>
      </c>
      <c r="V141" s="292">
        <f t="shared" si="43"/>
        <v>86.1</v>
      </c>
      <c r="W141" s="254">
        <f t="shared" si="44"/>
        <v>1436.6699999999998</v>
      </c>
      <c r="X141" s="1">
        <v>1235437377.6700001</v>
      </c>
      <c r="Y141" s="1">
        <v>9797</v>
      </c>
      <c r="Z141" s="264">
        <f t="shared" si="45"/>
        <v>126103.64</v>
      </c>
      <c r="AA141" s="293">
        <f t="shared" si="46"/>
        <v>0.67543399999999998</v>
      </c>
      <c r="AB141" s="1">
        <v>102617</v>
      </c>
      <c r="AC141" s="293">
        <f t="shared" si="47"/>
        <v>0.89116200000000001</v>
      </c>
      <c r="AD141" s="293">
        <f t="shared" si="48"/>
        <v>0.25984800000000002</v>
      </c>
      <c r="AE141" s="294">
        <f t="shared" si="49"/>
        <v>0.25984800000000002</v>
      </c>
      <c r="AF141" s="295">
        <f t="shared" si="60"/>
        <v>0</v>
      </c>
      <c r="AG141" s="296">
        <f t="shared" si="61"/>
        <v>0.25984800000000002</v>
      </c>
      <c r="AH141" s="1">
        <v>1337</v>
      </c>
      <c r="AI141" s="1">
        <v>13</v>
      </c>
      <c r="AJ141" s="254">
        <f t="shared" si="50"/>
        <v>100</v>
      </c>
      <c r="AK141" s="9">
        <f t="shared" si="51"/>
        <v>133700</v>
      </c>
      <c r="AL141" s="9">
        <f t="shared" si="52"/>
        <v>4302465</v>
      </c>
      <c r="AM141" s="9">
        <f t="shared" si="53"/>
        <v>4436165</v>
      </c>
      <c r="AN141" s="9">
        <f t="shared" si="62"/>
        <v>4436165</v>
      </c>
      <c r="AO141" s="291">
        <v>5297609</v>
      </c>
      <c r="AP141" s="9">
        <f t="shared" si="63"/>
        <v>861444</v>
      </c>
      <c r="AQ141" s="297" t="str">
        <f t="shared" si="64"/>
        <v>No</v>
      </c>
      <c r="AR141" s="291">
        <v>4933881</v>
      </c>
      <c r="AS141" s="291">
        <f t="shared" si="54"/>
        <v>71758.285199999998</v>
      </c>
      <c r="AT141" s="291">
        <f t="shared" si="55"/>
        <v>4862122.7148000002</v>
      </c>
      <c r="AU141" s="291">
        <f t="shared" si="56"/>
        <v>4862122.7148000002</v>
      </c>
      <c r="AV141" s="291"/>
      <c r="AW141" s="291">
        <f t="shared" si="65"/>
        <v>4790364.4296000004</v>
      </c>
      <c r="AX141" s="291">
        <f t="shared" si="70"/>
        <v>4718606.1444000006</v>
      </c>
      <c r="AY141" s="291">
        <f t="shared" si="70"/>
        <v>4646847.8592000008</v>
      </c>
      <c r="AZ141" s="291">
        <f t="shared" si="70"/>
        <v>4575089.574000001</v>
      </c>
      <c r="BA141" s="291">
        <f t="shared" si="70"/>
        <v>4503331.2888000011</v>
      </c>
      <c r="BB141" s="291">
        <f t="shared" si="70"/>
        <v>4431573.0036000013</v>
      </c>
      <c r="BC141" s="291">
        <f t="shared" si="67"/>
        <v>4436165</v>
      </c>
      <c r="BD141" s="298"/>
      <c r="BE141" s="291">
        <f t="shared" si="39"/>
        <v>4790364.4296000004</v>
      </c>
      <c r="BF141" s="291">
        <f t="shared" si="39"/>
        <v>4718606.1444000006</v>
      </c>
      <c r="BG141" s="291">
        <f t="shared" si="39"/>
        <v>4646847.8592000008</v>
      </c>
      <c r="BH141" s="291">
        <f t="shared" si="39"/>
        <v>4575089.574000001</v>
      </c>
      <c r="BI141" s="291">
        <f t="shared" si="39"/>
        <v>4503331.2888000011</v>
      </c>
      <c r="BJ141" s="291">
        <f t="shared" si="39"/>
        <v>4431573.0036000013</v>
      </c>
      <c r="BK141" s="291">
        <f t="shared" si="39"/>
        <v>4436165</v>
      </c>
      <c r="BL141" s="298"/>
      <c r="BM141" s="298"/>
      <c r="BN141" s="298"/>
      <c r="BO141" s="298"/>
    </row>
    <row r="142" spans="1:67" x14ac:dyDescent="0.15">
      <c r="A142" s="10" t="s">
        <v>19</v>
      </c>
      <c r="B142" s="299"/>
      <c r="C142" s="276">
        <v>1</v>
      </c>
      <c r="D142" s="276" t="str">
        <f t="shared" si="57"/>
        <v>Yes</v>
      </c>
      <c r="E142" s="276">
        <v>1</v>
      </c>
      <c r="F142" s="276"/>
      <c r="G142" s="8">
        <v>10</v>
      </c>
      <c r="H142" s="1">
        <v>34</v>
      </c>
      <c r="I142" s="10">
        <v>116</v>
      </c>
      <c r="J142" s="7" t="s">
        <v>128</v>
      </c>
      <c r="K142" s="287"/>
      <c r="L142" s="1">
        <v>1139.1400000000001</v>
      </c>
      <c r="M142" s="300"/>
      <c r="N142" s="289"/>
      <c r="O142" s="1">
        <v>614</v>
      </c>
      <c r="P142" s="290">
        <f t="shared" si="40"/>
        <v>0.53900310760749337</v>
      </c>
      <c r="Q142" s="290">
        <f t="shared" si="41"/>
        <v>0</v>
      </c>
      <c r="R142" s="291">
        <f t="shared" si="42"/>
        <v>0</v>
      </c>
      <c r="S142" s="291">
        <f t="shared" si="58"/>
        <v>0</v>
      </c>
      <c r="T142" s="1">
        <v>47</v>
      </c>
      <c r="U142" s="1">
        <f t="shared" si="59"/>
        <v>7.05</v>
      </c>
      <c r="V142" s="292">
        <f t="shared" si="43"/>
        <v>184.2</v>
      </c>
      <c r="W142" s="254">
        <f t="shared" si="44"/>
        <v>1330.39</v>
      </c>
      <c r="X142" s="1">
        <v>949510603.33000004</v>
      </c>
      <c r="Y142" s="1">
        <v>9357</v>
      </c>
      <c r="Z142" s="264">
        <f t="shared" si="45"/>
        <v>101475.96</v>
      </c>
      <c r="AA142" s="293">
        <f t="shared" si="46"/>
        <v>0.54352400000000001</v>
      </c>
      <c r="AB142" s="1">
        <v>58416</v>
      </c>
      <c r="AC142" s="293">
        <f t="shared" si="47"/>
        <v>0.50730500000000001</v>
      </c>
      <c r="AD142" s="293">
        <f t="shared" si="48"/>
        <v>0.46734199999999998</v>
      </c>
      <c r="AE142" s="294">
        <f t="shared" si="49"/>
        <v>0.46734199999999998</v>
      </c>
      <c r="AF142" s="295">
        <f t="shared" si="60"/>
        <v>0</v>
      </c>
      <c r="AG142" s="296">
        <f t="shared" si="61"/>
        <v>0.46734199999999998</v>
      </c>
      <c r="AH142" s="1">
        <v>0</v>
      </c>
      <c r="AI142" s="1">
        <v>0</v>
      </c>
      <c r="AJ142" s="254">
        <f t="shared" si="50"/>
        <v>0</v>
      </c>
      <c r="AK142" s="9">
        <f t="shared" si="51"/>
        <v>0</v>
      </c>
      <c r="AL142" s="9">
        <f t="shared" si="52"/>
        <v>7165636</v>
      </c>
      <c r="AM142" s="9">
        <f t="shared" si="53"/>
        <v>7165636</v>
      </c>
      <c r="AN142" s="9">
        <f t="shared" si="62"/>
        <v>8340282</v>
      </c>
      <c r="AO142" s="291">
        <v>8340282</v>
      </c>
      <c r="AP142" s="9">
        <f t="shared" si="63"/>
        <v>1174646</v>
      </c>
      <c r="AQ142" s="297" t="str">
        <f t="shared" si="64"/>
        <v>No</v>
      </c>
      <c r="AR142" s="291">
        <v>8340282</v>
      </c>
      <c r="AS142" s="291">
        <f t="shared" si="54"/>
        <v>97848.011799999993</v>
      </c>
      <c r="AT142" s="291">
        <f t="shared" si="55"/>
        <v>8242433.9881999996</v>
      </c>
      <c r="AU142" s="291">
        <f t="shared" si="56"/>
        <v>8340282</v>
      </c>
      <c r="AV142" s="291"/>
      <c r="AW142" s="291">
        <f t="shared" si="65"/>
        <v>8242433.9881999996</v>
      </c>
      <c r="AX142" s="291">
        <f t="shared" si="70"/>
        <v>8144585.9763999991</v>
      </c>
      <c r="AY142" s="291">
        <f t="shared" si="70"/>
        <v>8046737.9645999987</v>
      </c>
      <c r="AZ142" s="291">
        <f t="shared" si="70"/>
        <v>7948889.9527999982</v>
      </c>
      <c r="BA142" s="291">
        <f t="shared" si="70"/>
        <v>7851041.9409999978</v>
      </c>
      <c r="BB142" s="291">
        <f t="shared" si="70"/>
        <v>7753193.9291999973</v>
      </c>
      <c r="BC142" s="291">
        <f t="shared" si="67"/>
        <v>7165636</v>
      </c>
      <c r="BD142" s="298"/>
      <c r="BE142" s="291">
        <f t="shared" ref="BE142:BK178" si="71">IF($C142=1,MAX(AW142,$AO142),AW142)</f>
        <v>8340282</v>
      </c>
      <c r="BF142" s="291">
        <f t="shared" si="71"/>
        <v>8340282</v>
      </c>
      <c r="BG142" s="291">
        <f t="shared" si="71"/>
        <v>8340282</v>
      </c>
      <c r="BH142" s="291">
        <f t="shared" si="71"/>
        <v>8340282</v>
      </c>
      <c r="BI142" s="291">
        <f t="shared" si="71"/>
        <v>8340282</v>
      </c>
      <c r="BJ142" s="291">
        <f t="shared" si="71"/>
        <v>8340282</v>
      </c>
      <c r="BK142" s="291">
        <f t="shared" si="71"/>
        <v>8340282</v>
      </c>
      <c r="BL142" s="298"/>
      <c r="BM142" s="298"/>
      <c r="BN142" s="298"/>
      <c r="BO142" s="298"/>
    </row>
    <row r="143" spans="1:67" x14ac:dyDescent="0.15">
      <c r="A143" s="10" t="s">
        <v>46</v>
      </c>
      <c r="B143" s="10"/>
      <c r="C143" s="276"/>
      <c r="D143" s="276" t="str">
        <f t="shared" si="57"/>
        <v>No</v>
      </c>
      <c r="E143" s="276"/>
      <c r="F143" s="276"/>
      <c r="G143" s="8">
        <v>1</v>
      </c>
      <c r="H143" s="1">
        <v>153</v>
      </c>
      <c r="I143" s="10">
        <v>117</v>
      </c>
      <c r="J143" s="7" t="s">
        <v>129</v>
      </c>
      <c r="K143" s="287"/>
      <c r="L143" s="1">
        <v>1287.21</v>
      </c>
      <c r="M143" s="288"/>
      <c r="N143" s="289"/>
      <c r="O143" s="1">
        <v>112</v>
      </c>
      <c r="P143" s="290">
        <f t="shared" si="40"/>
        <v>8.7009889606202553E-2</v>
      </c>
      <c r="Q143" s="290">
        <f t="shared" si="41"/>
        <v>0</v>
      </c>
      <c r="R143" s="291">
        <f t="shared" si="42"/>
        <v>0</v>
      </c>
      <c r="S143" s="291">
        <f t="shared" si="58"/>
        <v>0</v>
      </c>
      <c r="T143" s="1">
        <v>13</v>
      </c>
      <c r="U143" s="1">
        <f t="shared" si="59"/>
        <v>1.95</v>
      </c>
      <c r="V143" s="292">
        <f t="shared" si="43"/>
        <v>33.6</v>
      </c>
      <c r="W143" s="254">
        <f t="shared" si="44"/>
        <v>1322.76</v>
      </c>
      <c r="X143" s="1">
        <v>2342784612.3299999</v>
      </c>
      <c r="Y143" s="1">
        <v>9233</v>
      </c>
      <c r="Z143" s="264">
        <f t="shared" si="45"/>
        <v>253740.35</v>
      </c>
      <c r="AA143" s="293">
        <f t="shared" si="46"/>
        <v>1.3590789999999999</v>
      </c>
      <c r="AB143" s="1">
        <v>129763</v>
      </c>
      <c r="AC143" s="293">
        <f t="shared" si="47"/>
        <v>1.126908</v>
      </c>
      <c r="AD143" s="293">
        <f t="shared" si="48"/>
        <v>-0.28942800000000002</v>
      </c>
      <c r="AE143" s="294">
        <f t="shared" si="49"/>
        <v>0.01</v>
      </c>
      <c r="AF143" s="295">
        <f t="shared" si="60"/>
        <v>0</v>
      </c>
      <c r="AG143" s="296">
        <f t="shared" si="61"/>
        <v>0.01</v>
      </c>
      <c r="AH143" s="1">
        <v>473</v>
      </c>
      <c r="AI143" s="1">
        <v>4</v>
      </c>
      <c r="AJ143" s="254">
        <f t="shared" si="50"/>
        <v>30.77</v>
      </c>
      <c r="AK143" s="9">
        <f t="shared" si="51"/>
        <v>14554</v>
      </c>
      <c r="AL143" s="9">
        <f t="shared" si="52"/>
        <v>152448</v>
      </c>
      <c r="AM143" s="9">
        <f t="shared" si="53"/>
        <v>167002</v>
      </c>
      <c r="AN143" s="9">
        <f t="shared" si="62"/>
        <v>167002</v>
      </c>
      <c r="AO143" s="291">
        <v>180135</v>
      </c>
      <c r="AP143" s="9">
        <f t="shared" si="63"/>
        <v>13133</v>
      </c>
      <c r="AQ143" s="297" t="str">
        <f t="shared" si="64"/>
        <v>No</v>
      </c>
      <c r="AR143" s="291">
        <v>179134</v>
      </c>
      <c r="AS143" s="291">
        <f t="shared" si="54"/>
        <v>1093.9789000000001</v>
      </c>
      <c r="AT143" s="291">
        <f t="shared" si="55"/>
        <v>178040.02110000001</v>
      </c>
      <c r="AU143" s="291">
        <f t="shared" si="56"/>
        <v>178040.02110000001</v>
      </c>
      <c r="AV143" s="291"/>
      <c r="AW143" s="291">
        <f t="shared" si="65"/>
        <v>176946.04220000003</v>
      </c>
      <c r="AX143" s="291">
        <f t="shared" si="70"/>
        <v>175852.06330000004</v>
      </c>
      <c r="AY143" s="291">
        <f t="shared" si="70"/>
        <v>174758.08440000005</v>
      </c>
      <c r="AZ143" s="291">
        <f t="shared" si="70"/>
        <v>173664.10550000006</v>
      </c>
      <c r="BA143" s="291">
        <f t="shared" si="70"/>
        <v>172570.12660000008</v>
      </c>
      <c r="BB143" s="291">
        <f t="shared" si="70"/>
        <v>171476.14770000009</v>
      </c>
      <c r="BC143" s="291">
        <f t="shared" si="67"/>
        <v>167002</v>
      </c>
      <c r="BD143" s="298"/>
      <c r="BE143" s="291">
        <f t="shared" si="71"/>
        <v>176946.04220000003</v>
      </c>
      <c r="BF143" s="291">
        <f t="shared" si="71"/>
        <v>175852.06330000004</v>
      </c>
      <c r="BG143" s="291">
        <f t="shared" si="71"/>
        <v>174758.08440000005</v>
      </c>
      <c r="BH143" s="291">
        <f t="shared" si="71"/>
        <v>173664.10550000006</v>
      </c>
      <c r="BI143" s="291">
        <f t="shared" si="71"/>
        <v>172570.12660000008</v>
      </c>
      <c r="BJ143" s="291">
        <f t="shared" si="71"/>
        <v>171476.14770000009</v>
      </c>
      <c r="BK143" s="291">
        <f t="shared" si="71"/>
        <v>167002</v>
      </c>
      <c r="BL143" s="298"/>
      <c r="BM143" s="298"/>
      <c r="BN143" s="298"/>
      <c r="BO143" s="298"/>
    </row>
    <row r="144" spans="1:67" x14ac:dyDescent="0.15">
      <c r="A144" s="10" t="s">
        <v>46</v>
      </c>
      <c r="B144" s="10"/>
      <c r="C144" s="276"/>
      <c r="D144" s="276" t="str">
        <f t="shared" si="57"/>
        <v>No</v>
      </c>
      <c r="E144" s="276"/>
      <c r="F144" s="276"/>
      <c r="G144" s="8">
        <v>1</v>
      </c>
      <c r="H144" s="1">
        <v>157</v>
      </c>
      <c r="I144" s="10">
        <v>118</v>
      </c>
      <c r="J144" s="7" t="s">
        <v>130</v>
      </c>
      <c r="K144" s="287"/>
      <c r="L144" s="1">
        <v>4701.68</v>
      </c>
      <c r="M144" s="288"/>
      <c r="N144" s="289"/>
      <c r="O144" s="1">
        <v>248</v>
      </c>
      <c r="P144" s="290">
        <f t="shared" si="40"/>
        <v>5.274710316312467E-2</v>
      </c>
      <c r="Q144" s="290">
        <f t="shared" si="41"/>
        <v>0</v>
      </c>
      <c r="R144" s="291">
        <f t="shared" si="42"/>
        <v>0</v>
      </c>
      <c r="S144" s="291">
        <f t="shared" si="58"/>
        <v>0</v>
      </c>
      <c r="T144" s="1">
        <v>56</v>
      </c>
      <c r="U144" s="1">
        <f t="shared" si="59"/>
        <v>8.4</v>
      </c>
      <c r="V144" s="292">
        <f t="shared" si="43"/>
        <v>74.400000000000006</v>
      </c>
      <c r="W144" s="254">
        <f t="shared" si="44"/>
        <v>4784.4799999999996</v>
      </c>
      <c r="X144" s="1">
        <v>7090092542</v>
      </c>
      <c r="Y144" s="1">
        <v>25187</v>
      </c>
      <c r="Z144" s="264">
        <f t="shared" si="45"/>
        <v>281498.09999999998</v>
      </c>
      <c r="AA144" s="293">
        <f t="shared" si="46"/>
        <v>1.507755</v>
      </c>
      <c r="AB144" s="1">
        <v>151399</v>
      </c>
      <c r="AC144" s="293">
        <f t="shared" si="47"/>
        <v>1.3148029999999999</v>
      </c>
      <c r="AD144" s="293">
        <f t="shared" si="48"/>
        <v>-0.44986900000000002</v>
      </c>
      <c r="AE144" s="294">
        <f t="shared" si="49"/>
        <v>0.01</v>
      </c>
      <c r="AF144" s="295">
        <f t="shared" si="60"/>
        <v>0</v>
      </c>
      <c r="AG144" s="296">
        <f t="shared" si="61"/>
        <v>0.01</v>
      </c>
      <c r="AH144" s="1">
        <v>0</v>
      </c>
      <c r="AI144" s="1">
        <v>0</v>
      </c>
      <c r="AJ144" s="254">
        <f t="shared" si="50"/>
        <v>0</v>
      </c>
      <c r="AK144" s="9">
        <f t="shared" si="51"/>
        <v>0</v>
      </c>
      <c r="AL144" s="9">
        <f t="shared" si="52"/>
        <v>551411</v>
      </c>
      <c r="AM144" s="9">
        <f t="shared" si="53"/>
        <v>551411</v>
      </c>
      <c r="AN144" s="9">
        <f t="shared" si="62"/>
        <v>551411</v>
      </c>
      <c r="AO144" s="291">
        <v>571648</v>
      </c>
      <c r="AP144" s="9">
        <f t="shared" si="63"/>
        <v>20237</v>
      </c>
      <c r="AQ144" s="297" t="str">
        <f t="shared" si="64"/>
        <v>No</v>
      </c>
      <c r="AR144" s="291">
        <v>570386</v>
      </c>
      <c r="AS144" s="291">
        <f t="shared" si="54"/>
        <v>1685.7420999999999</v>
      </c>
      <c r="AT144" s="291">
        <f t="shared" si="55"/>
        <v>568700.25789999997</v>
      </c>
      <c r="AU144" s="291">
        <f t="shared" si="56"/>
        <v>568700.25789999997</v>
      </c>
      <c r="AV144" s="291"/>
      <c r="AW144" s="291">
        <f t="shared" si="65"/>
        <v>567014.51579999994</v>
      </c>
      <c r="AX144" s="291">
        <f t="shared" si="70"/>
        <v>565328.7736999999</v>
      </c>
      <c r="AY144" s="291">
        <f t="shared" si="70"/>
        <v>563643.03159999987</v>
      </c>
      <c r="AZ144" s="291">
        <f t="shared" si="70"/>
        <v>561957.28949999984</v>
      </c>
      <c r="BA144" s="291">
        <f t="shared" si="70"/>
        <v>560271.54739999981</v>
      </c>
      <c r="BB144" s="291">
        <f t="shared" si="70"/>
        <v>558585.80529999977</v>
      </c>
      <c r="BC144" s="291">
        <f t="shared" si="67"/>
        <v>551411</v>
      </c>
      <c r="BD144" s="298"/>
      <c r="BE144" s="291">
        <f t="shared" si="71"/>
        <v>567014.51579999994</v>
      </c>
      <c r="BF144" s="291">
        <f t="shared" si="71"/>
        <v>565328.7736999999</v>
      </c>
      <c r="BG144" s="291">
        <f t="shared" si="71"/>
        <v>563643.03159999987</v>
      </c>
      <c r="BH144" s="291">
        <f t="shared" si="71"/>
        <v>561957.28949999984</v>
      </c>
      <c r="BI144" s="291">
        <f t="shared" si="71"/>
        <v>560271.54739999981</v>
      </c>
      <c r="BJ144" s="291">
        <f t="shared" si="71"/>
        <v>558585.80529999977</v>
      </c>
      <c r="BK144" s="291">
        <f t="shared" si="71"/>
        <v>551411</v>
      </c>
      <c r="BL144" s="298"/>
      <c r="BM144" s="298"/>
      <c r="BN144" s="298"/>
      <c r="BO144" s="298"/>
    </row>
    <row r="145" spans="1:67" x14ac:dyDescent="0.15">
      <c r="A145" s="10" t="s">
        <v>14</v>
      </c>
      <c r="B145" s="10"/>
      <c r="C145" s="276"/>
      <c r="D145" s="276" t="str">
        <f t="shared" si="57"/>
        <v>No</v>
      </c>
      <c r="E145" s="276"/>
      <c r="F145" s="276"/>
      <c r="G145" s="8">
        <v>6</v>
      </c>
      <c r="H145" s="1">
        <v>111</v>
      </c>
      <c r="I145" s="10">
        <v>119</v>
      </c>
      <c r="J145" s="7" t="s">
        <v>131</v>
      </c>
      <c r="K145" s="287"/>
      <c r="L145" s="1">
        <v>2815.63</v>
      </c>
      <c r="M145" s="288"/>
      <c r="N145" s="289"/>
      <c r="O145" s="1">
        <v>614</v>
      </c>
      <c r="P145" s="290">
        <f t="shared" si="40"/>
        <v>0.21806842518370667</v>
      </c>
      <c r="Q145" s="290">
        <f t="shared" si="41"/>
        <v>0</v>
      </c>
      <c r="R145" s="291">
        <f t="shared" si="42"/>
        <v>0</v>
      </c>
      <c r="S145" s="291">
        <f t="shared" si="58"/>
        <v>0</v>
      </c>
      <c r="T145" s="1">
        <v>226</v>
      </c>
      <c r="U145" s="1">
        <f t="shared" si="59"/>
        <v>33.9</v>
      </c>
      <c r="V145" s="292">
        <f t="shared" si="43"/>
        <v>184.2</v>
      </c>
      <c r="W145" s="254">
        <f t="shared" si="44"/>
        <v>3033.73</v>
      </c>
      <c r="X145" s="1">
        <v>3065225724.3299999</v>
      </c>
      <c r="Y145" s="1">
        <v>20105</v>
      </c>
      <c r="Z145" s="264">
        <f t="shared" si="45"/>
        <v>152460.87</v>
      </c>
      <c r="AA145" s="293">
        <f t="shared" si="46"/>
        <v>0.816608</v>
      </c>
      <c r="AB145" s="1">
        <v>79421</v>
      </c>
      <c r="AC145" s="293">
        <f t="shared" si="47"/>
        <v>0.68972</v>
      </c>
      <c r="AD145" s="293">
        <f t="shared" si="48"/>
        <v>0.22145799999999999</v>
      </c>
      <c r="AE145" s="294">
        <f t="shared" si="49"/>
        <v>0.22145799999999999</v>
      </c>
      <c r="AF145" s="295">
        <f t="shared" si="60"/>
        <v>0</v>
      </c>
      <c r="AG145" s="296">
        <f t="shared" si="61"/>
        <v>0.22145799999999999</v>
      </c>
      <c r="AH145" s="1">
        <v>0</v>
      </c>
      <c r="AI145" s="1">
        <v>0</v>
      </c>
      <c r="AJ145" s="254">
        <f t="shared" si="50"/>
        <v>0</v>
      </c>
      <c r="AK145" s="9">
        <f t="shared" si="51"/>
        <v>0</v>
      </c>
      <c r="AL145" s="9">
        <f t="shared" si="52"/>
        <v>7743000</v>
      </c>
      <c r="AM145" s="9">
        <f t="shared" si="53"/>
        <v>7743000</v>
      </c>
      <c r="AN145" s="9">
        <f t="shared" si="62"/>
        <v>7743000</v>
      </c>
      <c r="AO145" s="291">
        <v>4250230</v>
      </c>
      <c r="AP145" s="9">
        <f t="shared" si="63"/>
        <v>3492770</v>
      </c>
      <c r="AQ145" s="297" t="str">
        <f t="shared" si="64"/>
        <v>Yes</v>
      </c>
      <c r="AR145" s="291">
        <v>4638485</v>
      </c>
      <c r="AS145" s="291">
        <f t="shared" si="54"/>
        <v>372329.28200000001</v>
      </c>
      <c r="AT145" s="291">
        <f t="shared" si="55"/>
        <v>5010814.2819999997</v>
      </c>
      <c r="AU145" s="291">
        <f t="shared" si="56"/>
        <v>5010814.2819999997</v>
      </c>
      <c r="AV145" s="291"/>
      <c r="AW145" s="291">
        <f t="shared" si="65"/>
        <v>5383143.5639999993</v>
      </c>
      <c r="AX145" s="291">
        <f t="shared" si="70"/>
        <v>5755472.845999999</v>
      </c>
      <c r="AY145" s="291">
        <f t="shared" si="70"/>
        <v>6127802.1279999986</v>
      </c>
      <c r="AZ145" s="291">
        <f t="shared" si="70"/>
        <v>6500131.4099999983</v>
      </c>
      <c r="BA145" s="291">
        <f t="shared" si="70"/>
        <v>6872460.6919999979</v>
      </c>
      <c r="BB145" s="291">
        <f t="shared" si="70"/>
        <v>7244789.9739999976</v>
      </c>
      <c r="BC145" s="291">
        <f t="shared" si="67"/>
        <v>7743000</v>
      </c>
      <c r="BD145" s="298"/>
      <c r="BE145" s="291">
        <f t="shared" si="71"/>
        <v>5383143.5639999993</v>
      </c>
      <c r="BF145" s="291">
        <f t="shared" si="71"/>
        <v>5755472.845999999</v>
      </c>
      <c r="BG145" s="291">
        <f t="shared" si="71"/>
        <v>6127802.1279999986</v>
      </c>
      <c r="BH145" s="291">
        <f t="shared" si="71"/>
        <v>6500131.4099999983</v>
      </c>
      <c r="BI145" s="291">
        <f t="shared" si="71"/>
        <v>6872460.6919999979</v>
      </c>
      <c r="BJ145" s="291">
        <f t="shared" si="71"/>
        <v>7244789.9739999976</v>
      </c>
      <c r="BK145" s="291">
        <f t="shared" si="71"/>
        <v>7743000</v>
      </c>
      <c r="BL145" s="298"/>
      <c r="BM145" s="298"/>
      <c r="BN145" s="298"/>
      <c r="BO145" s="298"/>
    </row>
    <row r="146" spans="1:67" x14ac:dyDescent="0.15">
      <c r="A146" s="10" t="s">
        <v>4</v>
      </c>
      <c r="B146" s="10"/>
      <c r="C146" s="276"/>
      <c r="D146" s="276" t="str">
        <f t="shared" si="57"/>
        <v>No</v>
      </c>
      <c r="E146" s="276"/>
      <c r="F146" s="276"/>
      <c r="G146" s="8">
        <v>1</v>
      </c>
      <c r="H146" s="1">
        <v>165</v>
      </c>
      <c r="I146" s="10">
        <v>120</v>
      </c>
      <c r="J146" s="7" t="s">
        <v>132</v>
      </c>
      <c r="K146" s="287"/>
      <c r="L146" s="1">
        <v>181.63</v>
      </c>
      <c r="M146" s="288"/>
      <c r="N146" s="289"/>
      <c r="O146" s="1">
        <v>34</v>
      </c>
      <c r="P146" s="290">
        <f t="shared" si="40"/>
        <v>0.18719374552662005</v>
      </c>
      <c r="Q146" s="290">
        <f t="shared" si="41"/>
        <v>0</v>
      </c>
      <c r="R146" s="291">
        <f t="shared" si="42"/>
        <v>0</v>
      </c>
      <c r="S146" s="291">
        <f t="shared" si="58"/>
        <v>0</v>
      </c>
      <c r="T146" s="1">
        <v>2</v>
      </c>
      <c r="U146" s="1">
        <f t="shared" si="59"/>
        <v>0.3</v>
      </c>
      <c r="V146" s="292">
        <f t="shared" si="43"/>
        <v>10.199999999999999</v>
      </c>
      <c r="W146" s="254">
        <f t="shared" si="44"/>
        <v>192.13</v>
      </c>
      <c r="X146" s="1">
        <v>964643570.66999996</v>
      </c>
      <c r="Y146" s="1">
        <v>2171</v>
      </c>
      <c r="Z146" s="264">
        <f t="shared" si="45"/>
        <v>444331.45</v>
      </c>
      <c r="AA146" s="293">
        <f t="shared" si="46"/>
        <v>2.3799199999999998</v>
      </c>
      <c r="AB146" s="1">
        <v>119167</v>
      </c>
      <c r="AC146" s="293">
        <f t="shared" si="47"/>
        <v>1.0348889999999999</v>
      </c>
      <c r="AD146" s="293">
        <f t="shared" si="48"/>
        <v>-0.97641100000000003</v>
      </c>
      <c r="AE146" s="294">
        <f t="shared" si="49"/>
        <v>0.01</v>
      </c>
      <c r="AF146" s="295">
        <f t="shared" si="60"/>
        <v>0</v>
      </c>
      <c r="AG146" s="296">
        <f t="shared" si="61"/>
        <v>0.01</v>
      </c>
      <c r="AH146" s="1">
        <v>179</v>
      </c>
      <c r="AI146" s="1">
        <v>13</v>
      </c>
      <c r="AJ146" s="254">
        <f t="shared" si="50"/>
        <v>100</v>
      </c>
      <c r="AK146" s="9">
        <f t="shared" si="51"/>
        <v>17900</v>
      </c>
      <c r="AL146" s="9">
        <f t="shared" si="52"/>
        <v>22143</v>
      </c>
      <c r="AM146" s="9">
        <f t="shared" si="53"/>
        <v>40043</v>
      </c>
      <c r="AN146" s="9">
        <f t="shared" si="62"/>
        <v>40043</v>
      </c>
      <c r="AO146" s="291">
        <v>33612</v>
      </c>
      <c r="AP146" s="9">
        <f t="shared" si="63"/>
        <v>6431</v>
      </c>
      <c r="AQ146" s="297" t="str">
        <f t="shared" si="64"/>
        <v>Yes</v>
      </c>
      <c r="AR146" s="291">
        <v>35361</v>
      </c>
      <c r="AS146" s="291">
        <f t="shared" si="54"/>
        <v>685.54459999999995</v>
      </c>
      <c r="AT146" s="291">
        <f t="shared" si="55"/>
        <v>36046.544600000001</v>
      </c>
      <c r="AU146" s="291">
        <f t="shared" si="56"/>
        <v>36046.544600000001</v>
      </c>
      <c r="AV146" s="291"/>
      <c r="AW146" s="291">
        <f t="shared" si="65"/>
        <v>36732.089200000002</v>
      </c>
      <c r="AX146" s="291">
        <f t="shared" si="70"/>
        <v>37417.633800000003</v>
      </c>
      <c r="AY146" s="291">
        <f t="shared" si="70"/>
        <v>38103.178400000004</v>
      </c>
      <c r="AZ146" s="291">
        <f t="shared" si="70"/>
        <v>38788.723000000005</v>
      </c>
      <c r="BA146" s="291">
        <f t="shared" si="70"/>
        <v>39474.267600000006</v>
      </c>
      <c r="BB146" s="291">
        <f t="shared" si="70"/>
        <v>40159.812200000008</v>
      </c>
      <c r="BC146" s="291">
        <f t="shared" si="67"/>
        <v>40043</v>
      </c>
      <c r="BD146" s="298"/>
      <c r="BE146" s="291">
        <f t="shared" si="71"/>
        <v>36732.089200000002</v>
      </c>
      <c r="BF146" s="291">
        <f t="shared" si="71"/>
        <v>37417.633800000003</v>
      </c>
      <c r="BG146" s="291">
        <f t="shared" si="71"/>
        <v>38103.178400000004</v>
      </c>
      <c r="BH146" s="291">
        <f t="shared" si="71"/>
        <v>38788.723000000005</v>
      </c>
      <c r="BI146" s="291">
        <f t="shared" si="71"/>
        <v>39474.267600000006</v>
      </c>
      <c r="BJ146" s="291">
        <f t="shared" si="71"/>
        <v>40159.812200000008</v>
      </c>
      <c r="BK146" s="291">
        <f t="shared" si="71"/>
        <v>40043</v>
      </c>
      <c r="BL146" s="298"/>
      <c r="BM146" s="298"/>
      <c r="BN146" s="298"/>
      <c r="BO146" s="298"/>
    </row>
    <row r="147" spans="1:67" x14ac:dyDescent="0.15">
      <c r="A147" s="10" t="s">
        <v>4</v>
      </c>
      <c r="B147" s="10"/>
      <c r="C147" s="276"/>
      <c r="D147" s="276" t="str">
        <f t="shared" si="57"/>
        <v>No</v>
      </c>
      <c r="E147" s="276"/>
      <c r="F147" s="276"/>
      <c r="G147" s="8">
        <v>5</v>
      </c>
      <c r="H147" s="1">
        <v>71</v>
      </c>
      <c r="I147" s="10">
        <v>121</v>
      </c>
      <c r="J147" s="7" t="s">
        <v>133</v>
      </c>
      <c r="K147" s="287"/>
      <c r="L147" s="1">
        <v>631.52</v>
      </c>
      <c r="M147" s="288"/>
      <c r="N147" s="289"/>
      <c r="O147" s="1">
        <v>115</v>
      </c>
      <c r="P147" s="290">
        <f t="shared" si="40"/>
        <v>0.182100329364074</v>
      </c>
      <c r="Q147" s="290">
        <f t="shared" si="41"/>
        <v>0</v>
      </c>
      <c r="R147" s="291">
        <f t="shared" si="42"/>
        <v>0</v>
      </c>
      <c r="S147" s="291">
        <f t="shared" si="58"/>
        <v>0</v>
      </c>
      <c r="T147" s="1">
        <v>2</v>
      </c>
      <c r="U147" s="1">
        <f t="shared" si="59"/>
        <v>0.3</v>
      </c>
      <c r="V147" s="292">
        <f t="shared" si="43"/>
        <v>34.5</v>
      </c>
      <c r="W147" s="254">
        <f t="shared" si="44"/>
        <v>666.31999999999994</v>
      </c>
      <c r="X147" s="1">
        <v>533503331.67000002</v>
      </c>
      <c r="Y147" s="1">
        <v>4141</v>
      </c>
      <c r="Z147" s="264">
        <f t="shared" si="45"/>
        <v>128834.42</v>
      </c>
      <c r="AA147" s="293">
        <f t="shared" si="46"/>
        <v>0.69006100000000004</v>
      </c>
      <c r="AB147" s="1">
        <v>106719</v>
      </c>
      <c r="AC147" s="293">
        <f t="shared" si="47"/>
        <v>0.926786</v>
      </c>
      <c r="AD147" s="293">
        <f t="shared" si="48"/>
        <v>0.238922</v>
      </c>
      <c r="AE147" s="294">
        <f t="shared" si="49"/>
        <v>0.238922</v>
      </c>
      <c r="AF147" s="295">
        <f t="shared" si="60"/>
        <v>0</v>
      </c>
      <c r="AG147" s="296">
        <f t="shared" si="61"/>
        <v>0.238922</v>
      </c>
      <c r="AH147" s="1">
        <v>0</v>
      </c>
      <c r="AI147" s="1">
        <v>0</v>
      </c>
      <c r="AJ147" s="254">
        <f t="shared" si="50"/>
        <v>0</v>
      </c>
      <c r="AK147" s="9">
        <f t="shared" si="51"/>
        <v>0</v>
      </c>
      <c r="AL147" s="9">
        <f t="shared" si="52"/>
        <v>1834763</v>
      </c>
      <c r="AM147" s="9">
        <f t="shared" si="53"/>
        <v>1834763</v>
      </c>
      <c r="AN147" s="9">
        <f t="shared" si="62"/>
        <v>1834763</v>
      </c>
      <c r="AO147" s="291">
        <v>3049314</v>
      </c>
      <c r="AP147" s="9">
        <f t="shared" si="63"/>
        <v>1214551</v>
      </c>
      <c r="AQ147" s="297" t="str">
        <f t="shared" si="64"/>
        <v>No</v>
      </c>
      <c r="AR147" s="291">
        <v>2626251</v>
      </c>
      <c r="AS147" s="291">
        <f t="shared" si="54"/>
        <v>101172.0983</v>
      </c>
      <c r="AT147" s="291">
        <f t="shared" si="55"/>
        <v>2525078.9016999998</v>
      </c>
      <c r="AU147" s="291">
        <f t="shared" si="56"/>
        <v>2525078.9016999998</v>
      </c>
      <c r="AV147" s="291"/>
      <c r="AW147" s="291">
        <f t="shared" si="65"/>
        <v>2423906.8033999996</v>
      </c>
      <c r="AX147" s="291">
        <f t="shared" si="70"/>
        <v>2322734.7050999994</v>
      </c>
      <c r="AY147" s="291">
        <f t="shared" si="70"/>
        <v>2221562.6067999993</v>
      </c>
      <c r="AZ147" s="291">
        <f t="shared" si="70"/>
        <v>2120390.5084999991</v>
      </c>
      <c r="BA147" s="291">
        <f t="shared" si="70"/>
        <v>2019218.4101999991</v>
      </c>
      <c r="BB147" s="291">
        <f t="shared" si="70"/>
        <v>1918046.3118999992</v>
      </c>
      <c r="BC147" s="291">
        <f t="shared" si="67"/>
        <v>1834763</v>
      </c>
      <c r="BD147" s="298"/>
      <c r="BE147" s="291">
        <f t="shared" si="71"/>
        <v>2423906.8033999996</v>
      </c>
      <c r="BF147" s="291">
        <f t="shared" si="71"/>
        <v>2322734.7050999994</v>
      </c>
      <c r="BG147" s="291">
        <f t="shared" si="71"/>
        <v>2221562.6067999993</v>
      </c>
      <c r="BH147" s="291">
        <f t="shared" si="71"/>
        <v>2120390.5084999991</v>
      </c>
      <c r="BI147" s="291">
        <f t="shared" si="71"/>
        <v>2019218.4101999991</v>
      </c>
      <c r="BJ147" s="291">
        <f t="shared" si="71"/>
        <v>1918046.3118999992</v>
      </c>
      <c r="BK147" s="291">
        <f t="shared" si="71"/>
        <v>1834763</v>
      </c>
      <c r="BL147" s="298"/>
      <c r="BM147" s="298"/>
      <c r="BN147" s="298"/>
      <c r="BO147" s="298"/>
    </row>
    <row r="148" spans="1:67" x14ac:dyDescent="0.15">
      <c r="A148" s="10" t="s">
        <v>8</v>
      </c>
      <c r="B148" s="10"/>
      <c r="C148" s="276"/>
      <c r="D148" s="276" t="str">
        <f t="shared" si="57"/>
        <v>No</v>
      </c>
      <c r="E148" s="276"/>
      <c r="F148" s="276"/>
      <c r="G148" s="8">
        <v>1</v>
      </c>
      <c r="H148" s="1">
        <v>162</v>
      </c>
      <c r="I148" s="10">
        <v>122</v>
      </c>
      <c r="J148" s="7" t="s">
        <v>134</v>
      </c>
      <c r="K148" s="287"/>
      <c r="L148" s="1">
        <v>336.27</v>
      </c>
      <c r="M148" s="288"/>
      <c r="N148" s="289"/>
      <c r="O148" s="1">
        <v>94</v>
      </c>
      <c r="P148" s="290">
        <f t="shared" si="40"/>
        <v>0.27953727659321381</v>
      </c>
      <c r="Q148" s="290">
        <f t="shared" si="41"/>
        <v>0</v>
      </c>
      <c r="R148" s="291">
        <f t="shared" si="42"/>
        <v>0</v>
      </c>
      <c r="S148" s="291">
        <f t="shared" si="58"/>
        <v>0</v>
      </c>
      <c r="T148" s="1">
        <v>11</v>
      </c>
      <c r="U148" s="1">
        <f t="shared" si="59"/>
        <v>1.65</v>
      </c>
      <c r="V148" s="292">
        <f t="shared" si="43"/>
        <v>28.2</v>
      </c>
      <c r="W148" s="254">
        <f t="shared" si="44"/>
        <v>366.11999999999995</v>
      </c>
      <c r="X148" s="1">
        <v>1778589943.6700001</v>
      </c>
      <c r="Y148" s="1">
        <v>3623</v>
      </c>
      <c r="Z148" s="264">
        <f t="shared" si="45"/>
        <v>490916.35</v>
      </c>
      <c r="AA148" s="293">
        <f t="shared" si="46"/>
        <v>2.6294369999999998</v>
      </c>
      <c r="AB148" s="1">
        <v>83217</v>
      </c>
      <c r="AC148" s="293">
        <f t="shared" si="47"/>
        <v>0.72268600000000005</v>
      </c>
      <c r="AD148" s="293">
        <f t="shared" si="48"/>
        <v>-1.057412</v>
      </c>
      <c r="AE148" s="294">
        <f t="shared" si="49"/>
        <v>0.01</v>
      </c>
      <c r="AF148" s="295">
        <f t="shared" si="60"/>
        <v>0</v>
      </c>
      <c r="AG148" s="296">
        <f t="shared" si="61"/>
        <v>0.01</v>
      </c>
      <c r="AH148" s="1">
        <v>71</v>
      </c>
      <c r="AI148" s="1">
        <v>4</v>
      </c>
      <c r="AJ148" s="254">
        <f t="shared" si="50"/>
        <v>30.77</v>
      </c>
      <c r="AK148" s="9">
        <f t="shared" si="51"/>
        <v>2185</v>
      </c>
      <c r="AL148" s="9">
        <f t="shared" si="52"/>
        <v>42195</v>
      </c>
      <c r="AM148" s="9">
        <f t="shared" si="53"/>
        <v>44380</v>
      </c>
      <c r="AN148" s="9">
        <f t="shared" si="62"/>
        <v>44380</v>
      </c>
      <c r="AO148" s="291">
        <v>10871</v>
      </c>
      <c r="AP148" s="9">
        <f t="shared" si="63"/>
        <v>33509</v>
      </c>
      <c r="AQ148" s="297" t="str">
        <f t="shared" si="64"/>
        <v>Yes</v>
      </c>
      <c r="AR148" s="291">
        <v>15958</v>
      </c>
      <c r="AS148" s="291">
        <f t="shared" si="54"/>
        <v>3572.0594000000001</v>
      </c>
      <c r="AT148" s="291">
        <f t="shared" si="55"/>
        <v>19530.059399999998</v>
      </c>
      <c r="AU148" s="291">
        <f t="shared" si="56"/>
        <v>19530.059399999998</v>
      </c>
      <c r="AV148" s="291"/>
      <c r="AW148" s="291">
        <f t="shared" si="65"/>
        <v>23102.118799999997</v>
      </c>
      <c r="AX148" s="291">
        <f t="shared" si="70"/>
        <v>26674.178199999995</v>
      </c>
      <c r="AY148" s="291">
        <f t="shared" si="70"/>
        <v>30246.237599999993</v>
      </c>
      <c r="AZ148" s="291">
        <f t="shared" si="70"/>
        <v>33818.296999999991</v>
      </c>
      <c r="BA148" s="291">
        <f t="shared" si="70"/>
        <v>37390.35639999999</v>
      </c>
      <c r="BB148" s="291">
        <f t="shared" si="70"/>
        <v>40962.415799999988</v>
      </c>
      <c r="BC148" s="291">
        <f t="shared" si="67"/>
        <v>44380</v>
      </c>
      <c r="BD148" s="298"/>
      <c r="BE148" s="291">
        <f t="shared" si="71"/>
        <v>23102.118799999997</v>
      </c>
      <c r="BF148" s="291">
        <f t="shared" si="71"/>
        <v>26674.178199999995</v>
      </c>
      <c r="BG148" s="291">
        <f t="shared" si="71"/>
        <v>30246.237599999993</v>
      </c>
      <c r="BH148" s="291">
        <f t="shared" si="71"/>
        <v>33818.296999999991</v>
      </c>
      <c r="BI148" s="291">
        <f t="shared" si="71"/>
        <v>37390.35639999999</v>
      </c>
      <c r="BJ148" s="291">
        <f t="shared" si="71"/>
        <v>40962.415799999988</v>
      </c>
      <c r="BK148" s="291">
        <f t="shared" si="71"/>
        <v>44380</v>
      </c>
      <c r="BL148" s="298"/>
      <c r="BM148" s="298"/>
      <c r="BN148" s="298"/>
      <c r="BO148" s="298"/>
    </row>
    <row r="149" spans="1:67" x14ac:dyDescent="0.15">
      <c r="A149" s="10" t="s">
        <v>8</v>
      </c>
      <c r="B149" s="10"/>
      <c r="C149" s="276"/>
      <c r="D149" s="276" t="str">
        <f t="shared" si="57"/>
        <v>No</v>
      </c>
      <c r="E149" s="276"/>
      <c r="F149" s="276"/>
      <c r="G149" s="8">
        <v>8</v>
      </c>
      <c r="H149" s="1">
        <v>29</v>
      </c>
      <c r="I149" s="10">
        <v>123</v>
      </c>
      <c r="J149" s="7" t="s">
        <v>135</v>
      </c>
      <c r="K149" s="287"/>
      <c r="L149" s="1">
        <v>184.76</v>
      </c>
      <c r="M149" s="300"/>
      <c r="N149" s="289"/>
      <c r="O149" s="1">
        <v>72</v>
      </c>
      <c r="P149" s="290">
        <f t="shared" si="40"/>
        <v>0.38969473912102187</v>
      </c>
      <c r="Q149" s="290">
        <f t="shared" si="41"/>
        <v>0</v>
      </c>
      <c r="R149" s="291">
        <f t="shared" si="42"/>
        <v>0</v>
      </c>
      <c r="S149" s="291">
        <f t="shared" si="58"/>
        <v>0</v>
      </c>
      <c r="T149" s="1">
        <v>1</v>
      </c>
      <c r="U149" s="1">
        <f t="shared" si="59"/>
        <v>0.15</v>
      </c>
      <c r="V149" s="292">
        <f t="shared" si="43"/>
        <v>21.6</v>
      </c>
      <c r="W149" s="254">
        <f t="shared" si="44"/>
        <v>206.51</v>
      </c>
      <c r="X149" s="1">
        <v>164179568</v>
      </c>
      <c r="Y149" s="1">
        <v>1677</v>
      </c>
      <c r="Z149" s="264">
        <f t="shared" si="45"/>
        <v>97900.76</v>
      </c>
      <c r="AA149" s="293">
        <f t="shared" si="46"/>
        <v>0.52437400000000001</v>
      </c>
      <c r="AB149" s="1">
        <v>85714</v>
      </c>
      <c r="AC149" s="293">
        <f t="shared" si="47"/>
        <v>0.744371</v>
      </c>
      <c r="AD149" s="293">
        <f t="shared" si="48"/>
        <v>0.40962700000000002</v>
      </c>
      <c r="AE149" s="294">
        <f t="shared" si="49"/>
        <v>0.40962700000000002</v>
      </c>
      <c r="AF149" s="295">
        <f t="shared" si="60"/>
        <v>0</v>
      </c>
      <c r="AG149" s="296">
        <f t="shared" si="61"/>
        <v>0.40962700000000002</v>
      </c>
      <c r="AH149" s="1">
        <v>88</v>
      </c>
      <c r="AI149" s="1">
        <v>6</v>
      </c>
      <c r="AJ149" s="254">
        <f t="shared" si="50"/>
        <v>46.15</v>
      </c>
      <c r="AK149" s="9">
        <f t="shared" si="51"/>
        <v>4061</v>
      </c>
      <c r="AL149" s="9">
        <f t="shared" si="52"/>
        <v>974924</v>
      </c>
      <c r="AM149" s="9">
        <f t="shared" si="53"/>
        <v>978985</v>
      </c>
      <c r="AN149" s="9">
        <f t="shared" si="62"/>
        <v>978985</v>
      </c>
      <c r="AO149" s="291">
        <v>1423001</v>
      </c>
      <c r="AP149" s="9">
        <f t="shared" si="63"/>
        <v>444016</v>
      </c>
      <c r="AQ149" s="297" t="str">
        <f t="shared" si="64"/>
        <v>No</v>
      </c>
      <c r="AR149" s="291">
        <v>1311658</v>
      </c>
      <c r="AS149" s="291">
        <f t="shared" si="54"/>
        <v>36986.532800000001</v>
      </c>
      <c r="AT149" s="291">
        <f t="shared" si="55"/>
        <v>1274671.4672000001</v>
      </c>
      <c r="AU149" s="291">
        <f t="shared" si="56"/>
        <v>1274671.4672000001</v>
      </c>
      <c r="AV149" s="291"/>
      <c r="AW149" s="291">
        <f t="shared" si="65"/>
        <v>1237684.9344000001</v>
      </c>
      <c r="AX149" s="291">
        <f t="shared" si="70"/>
        <v>1200698.4016000002</v>
      </c>
      <c r="AY149" s="291">
        <f t="shared" si="70"/>
        <v>1163711.8688000003</v>
      </c>
      <c r="AZ149" s="291">
        <f t="shared" si="70"/>
        <v>1126725.3360000004</v>
      </c>
      <c r="BA149" s="291">
        <f t="shared" si="70"/>
        <v>1089738.8032000004</v>
      </c>
      <c r="BB149" s="291">
        <f t="shared" si="70"/>
        <v>1052752.2704000005</v>
      </c>
      <c r="BC149" s="291">
        <f t="shared" si="67"/>
        <v>978985</v>
      </c>
      <c r="BD149" s="298"/>
      <c r="BE149" s="291">
        <f t="shared" si="71"/>
        <v>1237684.9344000001</v>
      </c>
      <c r="BF149" s="291">
        <f t="shared" si="71"/>
        <v>1200698.4016000002</v>
      </c>
      <c r="BG149" s="291">
        <f t="shared" si="71"/>
        <v>1163711.8688000003</v>
      </c>
      <c r="BH149" s="291">
        <f t="shared" si="71"/>
        <v>1126725.3360000004</v>
      </c>
      <c r="BI149" s="291">
        <f t="shared" si="71"/>
        <v>1089738.8032000004</v>
      </c>
      <c r="BJ149" s="291">
        <f t="shared" si="71"/>
        <v>1052752.2704000005</v>
      </c>
      <c r="BK149" s="291">
        <f t="shared" si="71"/>
        <v>978985</v>
      </c>
      <c r="BL149" s="298"/>
      <c r="BM149" s="298"/>
      <c r="BN149" s="298"/>
      <c r="BO149" s="298"/>
    </row>
    <row r="150" spans="1:67" x14ac:dyDescent="0.15">
      <c r="A150" s="10" t="s">
        <v>32</v>
      </c>
      <c r="B150" s="10"/>
      <c r="C150" s="276"/>
      <c r="D150" s="276" t="str">
        <f t="shared" si="57"/>
        <v>No</v>
      </c>
      <c r="E150" s="276"/>
      <c r="F150" s="276"/>
      <c r="G150" s="8">
        <v>8</v>
      </c>
      <c r="H150" s="1">
        <v>32</v>
      </c>
      <c r="I150" s="10">
        <v>124</v>
      </c>
      <c r="J150" s="7" t="s">
        <v>136</v>
      </c>
      <c r="K150" s="287"/>
      <c r="L150" s="1">
        <v>2276.41</v>
      </c>
      <c r="M150" s="300"/>
      <c r="N150" s="289"/>
      <c r="O150" s="1">
        <v>905</v>
      </c>
      <c r="P150" s="290">
        <f t="shared" si="40"/>
        <v>0.39755580058073897</v>
      </c>
      <c r="Q150" s="290">
        <f t="shared" si="41"/>
        <v>0</v>
      </c>
      <c r="R150" s="291">
        <f t="shared" si="42"/>
        <v>0</v>
      </c>
      <c r="S150" s="291">
        <f t="shared" si="58"/>
        <v>0</v>
      </c>
      <c r="T150" s="1">
        <v>84</v>
      </c>
      <c r="U150" s="1">
        <f t="shared" si="59"/>
        <v>12.6</v>
      </c>
      <c r="V150" s="292">
        <f t="shared" si="43"/>
        <v>271.5</v>
      </c>
      <c r="W150" s="254">
        <f t="shared" si="44"/>
        <v>2560.5099999999998</v>
      </c>
      <c r="X150" s="1">
        <v>1760276387</v>
      </c>
      <c r="Y150" s="1">
        <v>16583</v>
      </c>
      <c r="Z150" s="264">
        <f t="shared" si="45"/>
        <v>106149.45</v>
      </c>
      <c r="AA150" s="293">
        <f t="shared" si="46"/>
        <v>0.56855599999999995</v>
      </c>
      <c r="AB150" s="1">
        <v>75550</v>
      </c>
      <c r="AC150" s="293">
        <f t="shared" si="47"/>
        <v>0.65610299999999999</v>
      </c>
      <c r="AD150" s="293">
        <f t="shared" si="48"/>
        <v>0.40517999999999998</v>
      </c>
      <c r="AE150" s="294">
        <f t="shared" si="49"/>
        <v>0.40517999999999998</v>
      </c>
      <c r="AF150" s="295">
        <f t="shared" si="60"/>
        <v>0</v>
      </c>
      <c r="AG150" s="296">
        <f t="shared" si="61"/>
        <v>0.40517999999999998</v>
      </c>
      <c r="AH150" s="1">
        <v>0</v>
      </c>
      <c r="AI150" s="1">
        <v>0</v>
      </c>
      <c r="AJ150" s="254">
        <f t="shared" si="50"/>
        <v>0</v>
      </c>
      <c r="AK150" s="9">
        <f t="shared" si="51"/>
        <v>0</v>
      </c>
      <c r="AL150" s="9">
        <f t="shared" si="52"/>
        <v>11956812</v>
      </c>
      <c r="AM150" s="9">
        <f t="shared" si="53"/>
        <v>11956812</v>
      </c>
      <c r="AN150" s="9">
        <f t="shared" si="62"/>
        <v>11956812</v>
      </c>
      <c r="AO150" s="291">
        <v>10040987</v>
      </c>
      <c r="AP150" s="9">
        <f t="shared" si="63"/>
        <v>1915825</v>
      </c>
      <c r="AQ150" s="297" t="str">
        <f t="shared" si="64"/>
        <v>Yes</v>
      </c>
      <c r="AR150" s="291">
        <v>10218859</v>
      </c>
      <c r="AS150" s="291">
        <f t="shared" si="54"/>
        <v>204226.94500000001</v>
      </c>
      <c r="AT150" s="291">
        <f t="shared" si="55"/>
        <v>10423085.945</v>
      </c>
      <c r="AU150" s="291">
        <f t="shared" si="56"/>
        <v>10423085.945</v>
      </c>
      <c r="AV150" s="291"/>
      <c r="AW150" s="291">
        <f t="shared" si="65"/>
        <v>10627312.890000001</v>
      </c>
      <c r="AX150" s="291">
        <f t="shared" si="70"/>
        <v>10831539.835000001</v>
      </c>
      <c r="AY150" s="291">
        <f t="shared" si="70"/>
        <v>11035766.780000001</v>
      </c>
      <c r="AZ150" s="291">
        <f t="shared" si="70"/>
        <v>11239993.725000001</v>
      </c>
      <c r="BA150" s="291">
        <f t="shared" si="70"/>
        <v>11444220.670000002</v>
      </c>
      <c r="BB150" s="291">
        <f t="shared" si="70"/>
        <v>11648447.615000002</v>
      </c>
      <c r="BC150" s="291">
        <f t="shared" si="67"/>
        <v>11956812</v>
      </c>
      <c r="BD150" s="298"/>
      <c r="BE150" s="291">
        <f t="shared" si="71"/>
        <v>10627312.890000001</v>
      </c>
      <c r="BF150" s="291">
        <f t="shared" si="71"/>
        <v>10831539.835000001</v>
      </c>
      <c r="BG150" s="291">
        <f t="shared" si="71"/>
        <v>11035766.780000001</v>
      </c>
      <c r="BH150" s="291">
        <f t="shared" si="71"/>
        <v>11239993.725000001</v>
      </c>
      <c r="BI150" s="291">
        <f t="shared" si="71"/>
        <v>11444220.670000002</v>
      </c>
      <c r="BJ150" s="291">
        <f t="shared" si="71"/>
        <v>11648447.615000002</v>
      </c>
      <c r="BK150" s="291">
        <f t="shared" si="71"/>
        <v>11956812</v>
      </c>
      <c r="BL150" s="298"/>
      <c r="BM150" s="298"/>
      <c r="BN150" s="298"/>
      <c r="BO150" s="298"/>
    </row>
    <row r="151" spans="1:67" x14ac:dyDescent="0.15">
      <c r="A151" s="10" t="s">
        <v>8</v>
      </c>
      <c r="B151" s="10"/>
      <c r="C151" s="276"/>
      <c r="D151" s="276" t="str">
        <f t="shared" si="57"/>
        <v>No</v>
      </c>
      <c r="E151" s="276"/>
      <c r="F151" s="276"/>
      <c r="G151" s="8">
        <v>1</v>
      </c>
      <c r="H151" s="1">
        <v>163</v>
      </c>
      <c r="I151" s="10">
        <v>125</v>
      </c>
      <c r="J151" s="7" t="s">
        <v>137</v>
      </c>
      <c r="K151" s="287"/>
      <c r="L151" s="1">
        <v>153.62</v>
      </c>
      <c r="M151" s="288"/>
      <c r="N151" s="289"/>
      <c r="O151" s="1">
        <v>63</v>
      </c>
      <c r="P151" s="290">
        <f t="shared" si="40"/>
        <v>0.41010285119125112</v>
      </c>
      <c r="Q151" s="290">
        <f t="shared" si="41"/>
        <v>0</v>
      </c>
      <c r="R151" s="291">
        <f t="shared" si="42"/>
        <v>0</v>
      </c>
      <c r="S151" s="291">
        <f t="shared" si="58"/>
        <v>0</v>
      </c>
      <c r="T151" s="1">
        <v>1</v>
      </c>
      <c r="U151" s="1">
        <f t="shared" si="59"/>
        <v>0.15</v>
      </c>
      <c r="V151" s="292">
        <f t="shared" si="43"/>
        <v>18.899999999999999</v>
      </c>
      <c r="W151" s="254">
        <f t="shared" si="44"/>
        <v>172.67000000000002</v>
      </c>
      <c r="X151" s="1">
        <v>1023780392.67</v>
      </c>
      <c r="Y151" s="1">
        <v>2718</v>
      </c>
      <c r="Z151" s="264">
        <f t="shared" si="45"/>
        <v>376666.81</v>
      </c>
      <c r="AA151" s="293">
        <f t="shared" si="46"/>
        <v>2.017496</v>
      </c>
      <c r="AB151" s="1">
        <v>81442</v>
      </c>
      <c r="AC151" s="293">
        <f t="shared" si="47"/>
        <v>0.70727099999999998</v>
      </c>
      <c r="AD151" s="293">
        <f t="shared" si="48"/>
        <v>-0.62442900000000001</v>
      </c>
      <c r="AE151" s="294">
        <f t="shared" si="49"/>
        <v>0.01</v>
      </c>
      <c r="AF151" s="295">
        <f t="shared" si="60"/>
        <v>0</v>
      </c>
      <c r="AG151" s="296">
        <f t="shared" si="61"/>
        <v>0.01</v>
      </c>
      <c r="AH151" s="1">
        <v>54</v>
      </c>
      <c r="AI151" s="1">
        <v>4</v>
      </c>
      <c r="AJ151" s="254">
        <f t="shared" si="50"/>
        <v>30.77</v>
      </c>
      <c r="AK151" s="9">
        <f t="shared" si="51"/>
        <v>1662</v>
      </c>
      <c r="AL151" s="9">
        <f t="shared" si="52"/>
        <v>19900</v>
      </c>
      <c r="AM151" s="9">
        <f t="shared" si="53"/>
        <v>21562</v>
      </c>
      <c r="AN151" s="9">
        <f t="shared" si="62"/>
        <v>21562</v>
      </c>
      <c r="AO151" s="291">
        <v>9960</v>
      </c>
      <c r="AP151" s="9">
        <f t="shared" si="63"/>
        <v>11602</v>
      </c>
      <c r="AQ151" s="297" t="str">
        <f t="shared" si="64"/>
        <v>Yes</v>
      </c>
      <c r="AR151" s="291">
        <v>12200</v>
      </c>
      <c r="AS151" s="291">
        <f t="shared" si="54"/>
        <v>1236.7732000000001</v>
      </c>
      <c r="AT151" s="291">
        <f t="shared" si="55"/>
        <v>13436.7732</v>
      </c>
      <c r="AU151" s="291">
        <f t="shared" si="56"/>
        <v>13436.7732</v>
      </c>
      <c r="AV151" s="291"/>
      <c r="AW151" s="291">
        <f t="shared" si="65"/>
        <v>14673.546399999999</v>
      </c>
      <c r="AX151" s="291">
        <f t="shared" si="70"/>
        <v>15910.319599999999</v>
      </c>
      <c r="AY151" s="291">
        <f t="shared" si="70"/>
        <v>17147.092799999999</v>
      </c>
      <c r="AZ151" s="291">
        <f t="shared" si="70"/>
        <v>18383.865999999998</v>
      </c>
      <c r="BA151" s="291">
        <f t="shared" si="70"/>
        <v>19620.639199999998</v>
      </c>
      <c r="BB151" s="291">
        <f t="shared" si="70"/>
        <v>20857.412399999997</v>
      </c>
      <c r="BC151" s="291">
        <f t="shared" si="67"/>
        <v>21562</v>
      </c>
      <c r="BD151" s="298"/>
      <c r="BE151" s="291">
        <f t="shared" si="71"/>
        <v>14673.546399999999</v>
      </c>
      <c r="BF151" s="291">
        <f t="shared" si="71"/>
        <v>15910.319599999999</v>
      </c>
      <c r="BG151" s="291">
        <f t="shared" si="71"/>
        <v>17147.092799999999</v>
      </c>
      <c r="BH151" s="291">
        <f t="shared" si="71"/>
        <v>18383.865999999998</v>
      </c>
      <c r="BI151" s="291">
        <f t="shared" si="71"/>
        <v>19620.639199999998</v>
      </c>
      <c r="BJ151" s="291">
        <f t="shared" si="71"/>
        <v>20857.412399999997</v>
      </c>
      <c r="BK151" s="291">
        <f t="shared" si="71"/>
        <v>21562</v>
      </c>
      <c r="BL151" s="298"/>
      <c r="BM151" s="298"/>
      <c r="BN151" s="298"/>
      <c r="BO151" s="298"/>
    </row>
    <row r="152" spans="1:67" x14ac:dyDescent="0.15">
      <c r="A152" s="10" t="s">
        <v>14</v>
      </c>
      <c r="B152" s="10"/>
      <c r="C152" s="276"/>
      <c r="D152" s="276" t="str">
        <f t="shared" si="57"/>
        <v>No</v>
      </c>
      <c r="E152" s="276"/>
      <c r="F152" s="276"/>
      <c r="G152" s="8">
        <v>4</v>
      </c>
      <c r="H152" s="1">
        <v>109</v>
      </c>
      <c r="I152" s="10">
        <v>126</v>
      </c>
      <c r="J152" s="7" t="s">
        <v>138</v>
      </c>
      <c r="K152" s="287"/>
      <c r="L152" s="1">
        <v>4866.08</v>
      </c>
      <c r="M152" s="288"/>
      <c r="N152" s="289"/>
      <c r="O152" s="1">
        <v>1508</v>
      </c>
      <c r="P152" s="290">
        <f t="shared" si="40"/>
        <v>0.30990037155163913</v>
      </c>
      <c r="Q152" s="290">
        <f t="shared" si="41"/>
        <v>0</v>
      </c>
      <c r="R152" s="291">
        <f t="shared" si="42"/>
        <v>0</v>
      </c>
      <c r="S152" s="291">
        <f t="shared" si="58"/>
        <v>0</v>
      </c>
      <c r="T152" s="1">
        <v>260</v>
      </c>
      <c r="U152" s="1">
        <f t="shared" si="59"/>
        <v>39</v>
      </c>
      <c r="V152" s="292">
        <f t="shared" si="43"/>
        <v>452.4</v>
      </c>
      <c r="W152" s="254">
        <f t="shared" si="44"/>
        <v>5357.48</v>
      </c>
      <c r="X152" s="1">
        <v>6915192554</v>
      </c>
      <c r="Y152" s="1">
        <v>41397</v>
      </c>
      <c r="Z152" s="264">
        <f t="shared" si="45"/>
        <v>167045.74</v>
      </c>
      <c r="AA152" s="293">
        <f t="shared" si="46"/>
        <v>0.89472700000000005</v>
      </c>
      <c r="AB152" s="1">
        <v>89250</v>
      </c>
      <c r="AC152" s="293">
        <f t="shared" si="47"/>
        <v>0.77507899999999996</v>
      </c>
      <c r="AD152" s="293">
        <f t="shared" si="48"/>
        <v>0.14116699999999999</v>
      </c>
      <c r="AE152" s="294">
        <f t="shared" si="49"/>
        <v>0.14116699999999999</v>
      </c>
      <c r="AF152" s="295">
        <f t="shared" si="60"/>
        <v>0</v>
      </c>
      <c r="AG152" s="296">
        <f t="shared" si="61"/>
        <v>0.14116699999999999</v>
      </c>
      <c r="AH152" s="1">
        <v>0</v>
      </c>
      <c r="AI152" s="1">
        <v>0</v>
      </c>
      <c r="AJ152" s="254">
        <f t="shared" si="50"/>
        <v>0</v>
      </c>
      <c r="AK152" s="9">
        <f t="shared" si="51"/>
        <v>0</v>
      </c>
      <c r="AL152" s="9">
        <f t="shared" si="52"/>
        <v>8716350</v>
      </c>
      <c r="AM152" s="9">
        <f t="shared" si="53"/>
        <v>8716350</v>
      </c>
      <c r="AN152" s="9">
        <f t="shared" si="62"/>
        <v>8716350</v>
      </c>
      <c r="AO152" s="291">
        <v>5893771</v>
      </c>
      <c r="AP152" s="9">
        <f t="shared" si="63"/>
        <v>2822579</v>
      </c>
      <c r="AQ152" s="297" t="str">
        <f t="shared" si="64"/>
        <v>Yes</v>
      </c>
      <c r="AR152" s="291">
        <v>6340945</v>
      </c>
      <c r="AS152" s="291">
        <f t="shared" si="54"/>
        <v>300886.92139999999</v>
      </c>
      <c r="AT152" s="291">
        <f t="shared" si="55"/>
        <v>6641831.9214000003</v>
      </c>
      <c r="AU152" s="291">
        <f t="shared" si="56"/>
        <v>6641831.9214000003</v>
      </c>
      <c r="AV152" s="291"/>
      <c r="AW152" s="291">
        <f t="shared" si="65"/>
        <v>6942718.8428000007</v>
      </c>
      <c r="AX152" s="291">
        <f t="shared" si="70"/>
        <v>7243605.764200001</v>
      </c>
      <c r="AY152" s="291">
        <f t="shared" si="70"/>
        <v>7544492.6856000014</v>
      </c>
      <c r="AZ152" s="291">
        <f t="shared" si="70"/>
        <v>7845379.6070000017</v>
      </c>
      <c r="BA152" s="291">
        <f t="shared" si="70"/>
        <v>8146266.528400002</v>
      </c>
      <c r="BB152" s="291">
        <f t="shared" si="70"/>
        <v>8447153.4498000015</v>
      </c>
      <c r="BC152" s="291">
        <f t="shared" si="67"/>
        <v>8716350</v>
      </c>
      <c r="BD152" s="298"/>
      <c r="BE152" s="291">
        <f t="shared" si="71"/>
        <v>6942718.8428000007</v>
      </c>
      <c r="BF152" s="291">
        <f t="shared" si="71"/>
        <v>7243605.764200001</v>
      </c>
      <c r="BG152" s="291">
        <f t="shared" si="71"/>
        <v>7544492.6856000014</v>
      </c>
      <c r="BH152" s="291">
        <f t="shared" si="71"/>
        <v>7845379.6070000017</v>
      </c>
      <c r="BI152" s="291">
        <f t="shared" si="71"/>
        <v>8146266.528400002</v>
      </c>
      <c r="BJ152" s="291">
        <f t="shared" si="71"/>
        <v>8447153.4498000015</v>
      </c>
      <c r="BK152" s="291">
        <f t="shared" si="71"/>
        <v>8716350</v>
      </c>
      <c r="BL152" s="298"/>
      <c r="BM152" s="298"/>
      <c r="BN152" s="298"/>
      <c r="BO152" s="298"/>
    </row>
    <row r="153" spans="1:67" x14ac:dyDescent="0.15">
      <c r="A153" s="10" t="s">
        <v>4</v>
      </c>
      <c r="B153" s="10"/>
      <c r="C153" s="276"/>
      <c r="D153" s="276" t="str">
        <f t="shared" si="57"/>
        <v>No</v>
      </c>
      <c r="E153" s="276"/>
      <c r="F153" s="276"/>
      <c r="G153" s="8">
        <v>2</v>
      </c>
      <c r="H153" s="1">
        <v>158</v>
      </c>
      <c r="I153" s="10">
        <v>127</v>
      </c>
      <c r="J153" s="7" t="s">
        <v>139</v>
      </c>
      <c r="K153" s="287"/>
      <c r="L153" s="1">
        <v>391.73</v>
      </c>
      <c r="M153" s="288"/>
      <c r="N153" s="289"/>
      <c r="O153" s="1">
        <v>24</v>
      </c>
      <c r="P153" s="290">
        <f t="shared" si="40"/>
        <v>6.126668879074873E-2</v>
      </c>
      <c r="Q153" s="290">
        <f t="shared" si="41"/>
        <v>0</v>
      </c>
      <c r="R153" s="291">
        <f t="shared" si="42"/>
        <v>0</v>
      </c>
      <c r="S153" s="291">
        <f t="shared" si="58"/>
        <v>0</v>
      </c>
      <c r="T153" s="1">
        <v>5</v>
      </c>
      <c r="U153" s="1">
        <f t="shared" si="59"/>
        <v>0.75</v>
      </c>
      <c r="V153" s="292">
        <f t="shared" si="43"/>
        <v>7.2</v>
      </c>
      <c r="W153" s="254">
        <f t="shared" si="44"/>
        <v>399.68</v>
      </c>
      <c r="X153" s="1">
        <v>1015162090.67</v>
      </c>
      <c r="Y153" s="1">
        <v>3643</v>
      </c>
      <c r="Z153" s="264">
        <f t="shared" si="45"/>
        <v>278661.02</v>
      </c>
      <c r="AA153" s="293">
        <f t="shared" si="46"/>
        <v>1.492559</v>
      </c>
      <c r="AB153" s="1">
        <v>113636</v>
      </c>
      <c r="AC153" s="293">
        <f t="shared" si="47"/>
        <v>0.98685500000000004</v>
      </c>
      <c r="AD153" s="293">
        <f t="shared" si="48"/>
        <v>-0.34084799999999998</v>
      </c>
      <c r="AE153" s="294">
        <f t="shared" si="49"/>
        <v>0.01</v>
      </c>
      <c r="AF153" s="295">
        <f t="shared" si="60"/>
        <v>0</v>
      </c>
      <c r="AG153" s="296">
        <f t="shared" si="61"/>
        <v>0.01</v>
      </c>
      <c r="AH153" s="1">
        <v>0</v>
      </c>
      <c r="AI153" s="1">
        <v>0</v>
      </c>
      <c r="AJ153" s="254">
        <f t="shared" si="50"/>
        <v>0</v>
      </c>
      <c r="AK153" s="9">
        <f t="shared" si="51"/>
        <v>0</v>
      </c>
      <c r="AL153" s="9">
        <f t="shared" si="52"/>
        <v>46063</v>
      </c>
      <c r="AM153" s="9">
        <f t="shared" si="53"/>
        <v>46063</v>
      </c>
      <c r="AN153" s="9">
        <f t="shared" si="62"/>
        <v>46063</v>
      </c>
      <c r="AO153" s="291">
        <v>46611</v>
      </c>
      <c r="AP153" s="9">
        <f t="shared" si="63"/>
        <v>548</v>
      </c>
      <c r="AQ153" s="297" t="str">
        <f t="shared" si="64"/>
        <v>No</v>
      </c>
      <c r="AR153" s="291">
        <v>47041</v>
      </c>
      <c r="AS153" s="291">
        <f t="shared" si="54"/>
        <v>45.648400000000002</v>
      </c>
      <c r="AT153" s="291">
        <f t="shared" si="55"/>
        <v>46995.351600000002</v>
      </c>
      <c r="AU153" s="291">
        <f t="shared" si="56"/>
        <v>46995.351600000002</v>
      </c>
      <c r="AV153" s="291"/>
      <c r="AW153" s="291">
        <f t="shared" si="65"/>
        <v>46949.703200000004</v>
      </c>
      <c r="AX153" s="291">
        <f t="shared" si="70"/>
        <v>46904.054800000005</v>
      </c>
      <c r="AY153" s="291">
        <f t="shared" si="70"/>
        <v>46858.406400000007</v>
      </c>
      <c r="AZ153" s="291">
        <f t="shared" si="70"/>
        <v>46812.758000000009</v>
      </c>
      <c r="BA153" s="291">
        <f t="shared" si="70"/>
        <v>46767.109600000011</v>
      </c>
      <c r="BB153" s="291">
        <f t="shared" si="70"/>
        <v>46721.461200000012</v>
      </c>
      <c r="BC153" s="291">
        <f t="shared" si="67"/>
        <v>46063</v>
      </c>
      <c r="BD153" s="298"/>
      <c r="BE153" s="291">
        <f t="shared" si="71"/>
        <v>46949.703200000004</v>
      </c>
      <c r="BF153" s="291">
        <f t="shared" si="71"/>
        <v>46904.054800000005</v>
      </c>
      <c r="BG153" s="291">
        <f t="shared" si="71"/>
        <v>46858.406400000007</v>
      </c>
      <c r="BH153" s="291">
        <f t="shared" si="71"/>
        <v>46812.758000000009</v>
      </c>
      <c r="BI153" s="291">
        <f t="shared" si="71"/>
        <v>46767.109600000011</v>
      </c>
      <c r="BJ153" s="291">
        <f t="shared" si="71"/>
        <v>46721.461200000012</v>
      </c>
      <c r="BK153" s="291">
        <f t="shared" si="71"/>
        <v>46063</v>
      </c>
      <c r="BL153" s="298"/>
      <c r="BM153" s="298"/>
      <c r="BN153" s="298"/>
      <c r="BO153" s="298"/>
    </row>
    <row r="154" spans="1:67" x14ac:dyDescent="0.15">
      <c r="A154" s="10" t="s">
        <v>10</v>
      </c>
      <c r="B154" s="10"/>
      <c r="C154" s="276"/>
      <c r="D154" s="276" t="str">
        <f t="shared" si="57"/>
        <v>No</v>
      </c>
      <c r="E154" s="276"/>
      <c r="F154" s="276"/>
      <c r="G154" s="8">
        <v>3</v>
      </c>
      <c r="H154" s="1">
        <v>135</v>
      </c>
      <c r="I154" s="10">
        <v>128</v>
      </c>
      <c r="J154" s="7" t="s">
        <v>140</v>
      </c>
      <c r="K154" s="287"/>
      <c r="L154" s="1">
        <v>4105.9399999999996</v>
      </c>
      <c r="M154" s="288"/>
      <c r="N154" s="289"/>
      <c r="O154" s="1">
        <v>497</v>
      </c>
      <c r="P154" s="290">
        <f t="shared" si="40"/>
        <v>0.12104414579852606</v>
      </c>
      <c r="Q154" s="290">
        <f t="shared" si="41"/>
        <v>0</v>
      </c>
      <c r="R154" s="291">
        <f t="shared" si="42"/>
        <v>0</v>
      </c>
      <c r="S154" s="291">
        <f t="shared" si="58"/>
        <v>0</v>
      </c>
      <c r="T154" s="1">
        <v>61</v>
      </c>
      <c r="U154" s="1">
        <f t="shared" si="59"/>
        <v>9.15</v>
      </c>
      <c r="V154" s="292">
        <f t="shared" si="43"/>
        <v>149.1</v>
      </c>
      <c r="W154" s="254">
        <f t="shared" si="44"/>
        <v>4264.1899999999996</v>
      </c>
      <c r="X154" s="1">
        <v>3573966645.3299999</v>
      </c>
      <c r="Y154" s="1">
        <v>24952</v>
      </c>
      <c r="Z154" s="264">
        <f t="shared" si="45"/>
        <v>143233.67000000001</v>
      </c>
      <c r="AA154" s="293">
        <f t="shared" si="46"/>
        <v>0.76718600000000003</v>
      </c>
      <c r="AB154" s="1">
        <v>116444</v>
      </c>
      <c r="AC154" s="293">
        <f t="shared" si="47"/>
        <v>1.0112410000000001</v>
      </c>
      <c r="AD154" s="293">
        <f t="shared" si="48"/>
        <v>0.15959799999999999</v>
      </c>
      <c r="AE154" s="294">
        <f t="shared" si="49"/>
        <v>0.15959799999999999</v>
      </c>
      <c r="AF154" s="295">
        <f t="shared" si="60"/>
        <v>0</v>
      </c>
      <c r="AG154" s="296">
        <f t="shared" si="61"/>
        <v>0.15959799999999999</v>
      </c>
      <c r="AH154" s="1">
        <v>0</v>
      </c>
      <c r="AI154" s="1">
        <v>0</v>
      </c>
      <c r="AJ154" s="254">
        <f t="shared" si="50"/>
        <v>0</v>
      </c>
      <c r="AK154" s="9">
        <f t="shared" si="51"/>
        <v>0</v>
      </c>
      <c r="AL154" s="9">
        <f t="shared" si="52"/>
        <v>7843410</v>
      </c>
      <c r="AM154" s="9">
        <f t="shared" si="53"/>
        <v>7843410</v>
      </c>
      <c r="AN154" s="9">
        <f t="shared" si="62"/>
        <v>7843410</v>
      </c>
      <c r="AO154" s="291">
        <v>6087799</v>
      </c>
      <c r="AP154" s="9">
        <f t="shared" si="63"/>
        <v>1755611</v>
      </c>
      <c r="AQ154" s="297" t="str">
        <f t="shared" si="64"/>
        <v>Yes</v>
      </c>
      <c r="AR154" s="291">
        <v>6129867</v>
      </c>
      <c r="AS154" s="291">
        <f t="shared" si="54"/>
        <v>187148.13260000001</v>
      </c>
      <c r="AT154" s="291">
        <f t="shared" si="55"/>
        <v>6317015.1326000001</v>
      </c>
      <c r="AU154" s="291">
        <f t="shared" si="56"/>
        <v>6317015.1326000001</v>
      </c>
      <c r="AV154" s="291"/>
      <c r="AW154" s="291">
        <f t="shared" si="65"/>
        <v>6504163.2652000003</v>
      </c>
      <c r="AX154" s="291">
        <f t="shared" si="70"/>
        <v>6691311.3978000004</v>
      </c>
      <c r="AY154" s="291">
        <f t="shared" si="70"/>
        <v>6878459.5304000005</v>
      </c>
      <c r="AZ154" s="291">
        <f t="shared" si="70"/>
        <v>7065607.6630000006</v>
      </c>
      <c r="BA154" s="291">
        <f t="shared" si="70"/>
        <v>7252755.7956000008</v>
      </c>
      <c r="BB154" s="291">
        <f t="shared" si="70"/>
        <v>7439903.9282000009</v>
      </c>
      <c r="BC154" s="291">
        <f t="shared" si="67"/>
        <v>7843410</v>
      </c>
      <c r="BD154" s="298"/>
      <c r="BE154" s="291">
        <f t="shared" si="71"/>
        <v>6504163.2652000003</v>
      </c>
      <c r="BF154" s="291">
        <f t="shared" si="71"/>
        <v>6691311.3978000004</v>
      </c>
      <c r="BG154" s="291">
        <f t="shared" si="71"/>
        <v>6878459.5304000005</v>
      </c>
      <c r="BH154" s="291">
        <f t="shared" si="71"/>
        <v>7065607.6630000006</v>
      </c>
      <c r="BI154" s="291">
        <f t="shared" si="71"/>
        <v>7252755.7956000008</v>
      </c>
      <c r="BJ154" s="291">
        <f t="shared" si="71"/>
        <v>7439903.9282000009</v>
      </c>
      <c r="BK154" s="291">
        <f t="shared" si="71"/>
        <v>7843410</v>
      </c>
      <c r="BL154" s="298"/>
      <c r="BM154" s="298"/>
      <c r="BN154" s="298"/>
      <c r="BO154" s="298"/>
    </row>
    <row r="155" spans="1:67" x14ac:dyDescent="0.15">
      <c r="A155" s="10" t="s">
        <v>4</v>
      </c>
      <c r="B155" s="10"/>
      <c r="C155" s="276"/>
      <c r="D155" s="276" t="str">
        <f t="shared" si="57"/>
        <v>No</v>
      </c>
      <c r="E155" s="276"/>
      <c r="F155" s="276"/>
      <c r="G155" s="8">
        <v>6</v>
      </c>
      <c r="H155" s="1">
        <v>99</v>
      </c>
      <c r="I155" s="10">
        <v>129</v>
      </c>
      <c r="J155" s="7" t="s">
        <v>141</v>
      </c>
      <c r="K155" s="287"/>
      <c r="L155" s="1">
        <v>1342.46</v>
      </c>
      <c r="M155" s="288"/>
      <c r="N155" s="289"/>
      <c r="O155" s="1">
        <v>131</v>
      </c>
      <c r="P155" s="290">
        <f t="shared" ref="P155:P195" si="72">O155/L155</f>
        <v>9.7582050861850636E-2</v>
      </c>
      <c r="Q155" s="290">
        <f t="shared" ref="Q155:Q195" si="73">IF(P155&gt;0.75,+P155-0.75,0)</f>
        <v>0</v>
      </c>
      <c r="R155" s="291">
        <f t="shared" ref="R155:R195" si="74">Q155*L155</f>
        <v>0</v>
      </c>
      <c r="S155" s="291">
        <f t="shared" si="58"/>
        <v>0</v>
      </c>
      <c r="T155" s="1">
        <v>9</v>
      </c>
      <c r="U155" s="1">
        <f t="shared" si="59"/>
        <v>1.3499999999999999</v>
      </c>
      <c r="V155" s="292">
        <f t="shared" ref="V155:V195" si="75">ROUND(O155*$V$2,2)</f>
        <v>39.299999999999997</v>
      </c>
      <c r="W155" s="254">
        <f t="shared" ref="W155:W195" si="76">L155+V155+0.15*T155+0.05*R155</f>
        <v>1383.11</v>
      </c>
      <c r="X155" s="1">
        <v>1267723059.3299999</v>
      </c>
      <c r="Y155" s="1">
        <v>11106</v>
      </c>
      <c r="Z155" s="264">
        <f t="shared" ref="Z155:Z195" si="77">ROUND(X155/Y155,2)</f>
        <v>114147.58</v>
      </c>
      <c r="AA155" s="293">
        <f t="shared" ref="AA155:AA195" si="78">(ROUND(Z155/$AA$21,6))</f>
        <v>0.61139500000000002</v>
      </c>
      <c r="AB155" s="1">
        <v>101897</v>
      </c>
      <c r="AC155" s="293">
        <f t="shared" ref="AC155:AC195" si="79">(ROUND(AB155/$AC$21,6))</f>
        <v>0.88490999999999997</v>
      </c>
      <c r="AD155" s="293">
        <f t="shared" ref="AD155:AD195" si="80">ROUND(1-((AA155*$V$4)+(AC155*$V$5)),6)</f>
        <v>0.30655100000000002</v>
      </c>
      <c r="AE155" s="294">
        <f t="shared" ref="AE155:AE195" si="81">IF(C155=1,MAX($V$7,AD155),MAX($V$6,AD155))</f>
        <v>0.30655100000000002</v>
      </c>
      <c r="AF155" s="295">
        <f t="shared" si="60"/>
        <v>0</v>
      </c>
      <c r="AG155" s="296">
        <f t="shared" si="61"/>
        <v>0.30655100000000002</v>
      </c>
      <c r="AH155" s="1">
        <v>0</v>
      </c>
      <c r="AI155" s="1">
        <v>0</v>
      </c>
      <c r="AJ155" s="254">
        <f t="shared" ref="AJ155:AJ195" si="82">ROUND((AI155/13)*100,2)</f>
        <v>0</v>
      </c>
      <c r="AK155" s="9">
        <f t="shared" ref="AK155:AK195" si="83">ROUND(AH155*AJ155,0)</f>
        <v>0</v>
      </c>
      <c r="AL155" s="9">
        <f t="shared" ref="AL155:AL195" si="84">ROUND(W155*AG155*$AL$21,0)</f>
        <v>4886528</v>
      </c>
      <c r="AM155" s="9">
        <f t="shared" ref="AM155:AM195" si="85">IF(AL155=0, 0,AK155+AL155)</f>
        <v>4886528</v>
      </c>
      <c r="AN155" s="9">
        <f t="shared" si="62"/>
        <v>4886528</v>
      </c>
      <c r="AO155" s="291">
        <v>5929453</v>
      </c>
      <c r="AP155" s="9">
        <f t="shared" si="63"/>
        <v>1042925</v>
      </c>
      <c r="AQ155" s="297" t="str">
        <f t="shared" si="64"/>
        <v>No</v>
      </c>
      <c r="AR155" s="291">
        <v>5779507</v>
      </c>
      <c r="AS155" s="291">
        <f t="shared" ref="AS155:AS195" si="86">IF(AQ155="Yes",+AP155*$M$9,+AP155*$M$10)</f>
        <v>86875.652499999997</v>
      </c>
      <c r="AT155" s="291">
        <f t="shared" ref="AT155:AT195" si="87">IF(AQ155="Yes",+AR155+AS155,+AR155-AS155)</f>
        <v>5692631.3475000001</v>
      </c>
      <c r="AU155" s="291">
        <f t="shared" ref="AU155:AU195" si="88">IF(C155=1,MAX(AT155,AO155),AT155)</f>
        <v>5692631.3475000001</v>
      </c>
      <c r="AV155" s="291"/>
      <c r="AW155" s="291">
        <f t="shared" si="65"/>
        <v>5605755.6950000003</v>
      </c>
      <c r="AX155" s="291">
        <f t="shared" si="70"/>
        <v>5518880.0425000004</v>
      </c>
      <c r="AY155" s="291">
        <f t="shared" si="70"/>
        <v>5432004.3900000006</v>
      </c>
      <c r="AZ155" s="291">
        <f t="shared" si="70"/>
        <v>5345128.7375000007</v>
      </c>
      <c r="BA155" s="291">
        <f t="shared" si="70"/>
        <v>5258253.0850000009</v>
      </c>
      <c r="BB155" s="291">
        <f t="shared" si="70"/>
        <v>5171377.432500001</v>
      </c>
      <c r="BC155" s="291">
        <f t="shared" si="67"/>
        <v>4886528</v>
      </c>
      <c r="BD155" s="298"/>
      <c r="BE155" s="291">
        <f t="shared" si="71"/>
        <v>5605755.6950000003</v>
      </c>
      <c r="BF155" s="291">
        <f t="shared" si="71"/>
        <v>5518880.0425000004</v>
      </c>
      <c r="BG155" s="291">
        <f t="shared" si="71"/>
        <v>5432004.3900000006</v>
      </c>
      <c r="BH155" s="291">
        <f t="shared" si="71"/>
        <v>5345128.7375000007</v>
      </c>
      <c r="BI155" s="291">
        <f t="shared" si="71"/>
        <v>5258253.0850000009</v>
      </c>
      <c r="BJ155" s="291">
        <f t="shared" si="71"/>
        <v>5171377.432500001</v>
      </c>
      <c r="BK155" s="291">
        <f t="shared" si="71"/>
        <v>4886528</v>
      </c>
      <c r="BL155" s="298"/>
      <c r="BM155" s="298"/>
      <c r="BN155" s="298"/>
      <c r="BO155" s="298"/>
    </row>
    <row r="156" spans="1:67" x14ac:dyDescent="0.15">
      <c r="A156" s="10" t="s">
        <v>10</v>
      </c>
      <c r="B156" s="10"/>
      <c r="C156" s="276"/>
      <c r="D156" s="276" t="str">
        <f t="shared" ref="D156:D195" si="89">IF(C156=1,"Yes","No")</f>
        <v>No</v>
      </c>
      <c r="E156" s="276"/>
      <c r="F156" s="276"/>
      <c r="G156" s="8">
        <v>5</v>
      </c>
      <c r="H156" s="1">
        <v>87</v>
      </c>
      <c r="I156" s="10">
        <v>130</v>
      </c>
      <c r="J156" s="7" t="s">
        <v>142</v>
      </c>
      <c r="K156" s="287"/>
      <c r="L156" s="1">
        <v>2431.33</v>
      </c>
      <c r="M156" s="288"/>
      <c r="N156" s="289"/>
      <c r="O156" s="1">
        <v>297</v>
      </c>
      <c r="P156" s="290">
        <f t="shared" si="72"/>
        <v>0.12215536352531331</v>
      </c>
      <c r="Q156" s="290">
        <f t="shared" si="73"/>
        <v>0</v>
      </c>
      <c r="R156" s="291">
        <f t="shared" si="74"/>
        <v>0</v>
      </c>
      <c r="S156" s="291">
        <f t="shared" ref="S156:S195" si="90">R156*0.05</f>
        <v>0</v>
      </c>
      <c r="T156" s="1">
        <v>18</v>
      </c>
      <c r="U156" s="1">
        <f t="shared" ref="U156:U195" si="91">T156*0.15</f>
        <v>2.6999999999999997</v>
      </c>
      <c r="V156" s="292">
        <f t="shared" si="75"/>
        <v>89.1</v>
      </c>
      <c r="W156" s="254">
        <f t="shared" si="76"/>
        <v>2523.1299999999997</v>
      </c>
      <c r="X156" s="1">
        <v>3149753134.3299999</v>
      </c>
      <c r="Y156" s="1">
        <v>19571</v>
      </c>
      <c r="Z156" s="264">
        <f t="shared" si="77"/>
        <v>160939.82</v>
      </c>
      <c r="AA156" s="293">
        <f t="shared" si="78"/>
        <v>0.86202299999999998</v>
      </c>
      <c r="AB156" s="1">
        <v>90324</v>
      </c>
      <c r="AC156" s="293">
        <f t="shared" si="79"/>
        <v>0.78440600000000005</v>
      </c>
      <c r="AD156" s="293">
        <f t="shared" si="80"/>
        <v>0.16126199999999999</v>
      </c>
      <c r="AE156" s="294">
        <f t="shared" si="81"/>
        <v>0.16126199999999999</v>
      </c>
      <c r="AF156" s="295">
        <f t="shared" ref="AF156:AF195" si="92">IF(H156&gt;=1,IF(H156&lt;=5,0.06,IF(H156&lt;=10,0.05,IF(H156&lt;=15,0.04,IF(H156&lt;=19,0.03,0)))),0)</f>
        <v>0</v>
      </c>
      <c r="AG156" s="296">
        <f t="shared" ref="AG156:AG195" si="93">+AF156+AE156</f>
        <v>0.16126199999999999</v>
      </c>
      <c r="AH156" s="1">
        <v>2432</v>
      </c>
      <c r="AI156" s="1">
        <v>13</v>
      </c>
      <c r="AJ156" s="254">
        <f t="shared" si="82"/>
        <v>100</v>
      </c>
      <c r="AK156" s="9">
        <f t="shared" si="83"/>
        <v>243200</v>
      </c>
      <c r="AL156" s="9">
        <f t="shared" si="84"/>
        <v>4689350</v>
      </c>
      <c r="AM156" s="9">
        <f t="shared" si="85"/>
        <v>4932550</v>
      </c>
      <c r="AN156" s="9">
        <f t="shared" ref="AN156:AN195" si="94">IF(AND(C156=1,AM156&lt;AO156),AO156,AM156)</f>
        <v>4932550</v>
      </c>
      <c r="AO156" s="291">
        <v>3458266</v>
      </c>
      <c r="AP156" s="9">
        <f t="shared" ref="AP156:AP195" si="95">ABS(SUM(AO156,-AM156))</f>
        <v>1474284</v>
      </c>
      <c r="AQ156" s="297" t="str">
        <f t="shared" ref="AQ156:AQ195" si="96">IF(AM156&gt;AO156,"Yes","No")</f>
        <v>Yes</v>
      </c>
      <c r="AR156" s="291">
        <v>3628482</v>
      </c>
      <c r="AS156" s="291">
        <f t="shared" si="86"/>
        <v>157158.67439999999</v>
      </c>
      <c r="AT156" s="291">
        <f t="shared" si="87"/>
        <v>3785640.6743999999</v>
      </c>
      <c r="AU156" s="291">
        <f t="shared" si="88"/>
        <v>3785640.6743999999</v>
      </c>
      <c r="AV156" s="291"/>
      <c r="AW156" s="291">
        <f t="shared" ref="AW156:AW195" si="97">IF($AQ156="Yes",AU156+$AS156,AU156-$AS156)</f>
        <v>3942799.3487999998</v>
      </c>
      <c r="AX156" s="291">
        <f t="shared" ref="AX156:BB171" si="98">IF($AQ156="Yes",AW156+$AS156,AW156-$AS156)</f>
        <v>4099958.0231999997</v>
      </c>
      <c r="AY156" s="291">
        <f t="shared" si="98"/>
        <v>4257116.6975999996</v>
      </c>
      <c r="AZ156" s="291">
        <f t="shared" si="98"/>
        <v>4414275.3719999995</v>
      </c>
      <c r="BA156" s="291">
        <f t="shared" si="98"/>
        <v>4571434.0463999994</v>
      </c>
      <c r="BB156" s="291">
        <f t="shared" si="98"/>
        <v>4728592.7207999993</v>
      </c>
      <c r="BC156" s="291">
        <f t="shared" ref="BC156:BC195" si="99">AM156</f>
        <v>4932550</v>
      </c>
      <c r="BD156" s="298"/>
      <c r="BE156" s="291">
        <f t="shared" si="71"/>
        <v>3942799.3487999998</v>
      </c>
      <c r="BF156" s="291">
        <f t="shared" si="71"/>
        <v>4099958.0231999997</v>
      </c>
      <c r="BG156" s="291">
        <f t="shared" si="71"/>
        <v>4257116.6975999996</v>
      </c>
      <c r="BH156" s="291">
        <f t="shared" si="71"/>
        <v>4414275.3719999995</v>
      </c>
      <c r="BI156" s="291">
        <f t="shared" si="71"/>
        <v>4571434.0463999994</v>
      </c>
      <c r="BJ156" s="291">
        <f t="shared" si="71"/>
        <v>4728592.7207999993</v>
      </c>
      <c r="BK156" s="291">
        <f t="shared" si="71"/>
        <v>4932550</v>
      </c>
      <c r="BL156" s="298"/>
      <c r="BM156" s="298"/>
      <c r="BN156" s="298"/>
      <c r="BO156" s="298"/>
    </row>
    <row r="157" spans="1:67" x14ac:dyDescent="0.15">
      <c r="A157" s="10" t="s">
        <v>14</v>
      </c>
      <c r="B157" s="10"/>
      <c r="C157" s="276"/>
      <c r="D157" s="276" t="str">
        <f t="shared" si="89"/>
        <v>No</v>
      </c>
      <c r="E157" s="276"/>
      <c r="F157" s="276"/>
      <c r="G157" s="8">
        <v>6</v>
      </c>
      <c r="H157" s="1">
        <v>63</v>
      </c>
      <c r="I157" s="10">
        <v>131</v>
      </c>
      <c r="J157" s="7" t="s">
        <v>143</v>
      </c>
      <c r="K157" s="287"/>
      <c r="L157" s="1">
        <v>6308.72</v>
      </c>
      <c r="M157" s="288"/>
      <c r="N157" s="289"/>
      <c r="O157" s="1">
        <v>1428</v>
      </c>
      <c r="P157" s="290">
        <f t="shared" si="72"/>
        <v>0.22635336486640711</v>
      </c>
      <c r="Q157" s="290">
        <f t="shared" si="73"/>
        <v>0</v>
      </c>
      <c r="R157" s="291">
        <f t="shared" si="74"/>
        <v>0</v>
      </c>
      <c r="S157" s="291">
        <f t="shared" si="90"/>
        <v>0</v>
      </c>
      <c r="T157" s="1">
        <v>119</v>
      </c>
      <c r="U157" s="1">
        <f t="shared" si="91"/>
        <v>17.849999999999998</v>
      </c>
      <c r="V157" s="292">
        <f t="shared" si="75"/>
        <v>428.4</v>
      </c>
      <c r="W157" s="254">
        <f t="shared" si="76"/>
        <v>6754.97</v>
      </c>
      <c r="X157" s="1">
        <v>5834779503.6700001</v>
      </c>
      <c r="Y157" s="1">
        <v>43863</v>
      </c>
      <c r="Z157" s="264">
        <f t="shared" si="77"/>
        <v>133022.81</v>
      </c>
      <c r="AA157" s="293">
        <f t="shared" si="78"/>
        <v>0.71249399999999996</v>
      </c>
      <c r="AB157" s="1">
        <v>90796</v>
      </c>
      <c r="AC157" s="293">
        <f t="shared" si="79"/>
        <v>0.78850500000000001</v>
      </c>
      <c r="AD157" s="293">
        <f t="shared" si="80"/>
        <v>0.26470300000000002</v>
      </c>
      <c r="AE157" s="294">
        <f t="shared" si="81"/>
        <v>0.26470300000000002</v>
      </c>
      <c r="AF157" s="295">
        <f t="shared" si="92"/>
        <v>0</v>
      </c>
      <c r="AG157" s="296">
        <f t="shared" si="93"/>
        <v>0.26470300000000002</v>
      </c>
      <c r="AH157" s="1">
        <v>0</v>
      </c>
      <c r="AI157" s="1">
        <v>0</v>
      </c>
      <c r="AJ157" s="254">
        <f t="shared" si="82"/>
        <v>0</v>
      </c>
      <c r="AK157" s="9">
        <f t="shared" si="83"/>
        <v>0</v>
      </c>
      <c r="AL157" s="9">
        <f t="shared" si="84"/>
        <v>20607401</v>
      </c>
      <c r="AM157" s="9">
        <f t="shared" si="85"/>
        <v>20607401</v>
      </c>
      <c r="AN157" s="9">
        <f t="shared" si="94"/>
        <v>20607401</v>
      </c>
      <c r="AO157" s="291">
        <v>20268059</v>
      </c>
      <c r="AP157" s="9">
        <f t="shared" si="95"/>
        <v>339342</v>
      </c>
      <c r="AQ157" s="297" t="str">
        <f t="shared" si="96"/>
        <v>Yes</v>
      </c>
      <c r="AR157" s="291">
        <v>20430243</v>
      </c>
      <c r="AS157" s="291">
        <f t="shared" si="86"/>
        <v>36173.857199999999</v>
      </c>
      <c r="AT157" s="291">
        <f t="shared" si="87"/>
        <v>20466416.8572</v>
      </c>
      <c r="AU157" s="291">
        <f t="shared" si="88"/>
        <v>20466416.8572</v>
      </c>
      <c r="AV157" s="291"/>
      <c r="AW157" s="291">
        <f t="shared" si="97"/>
        <v>20502590.714400001</v>
      </c>
      <c r="AX157" s="291">
        <f t="shared" si="98"/>
        <v>20538764.571600001</v>
      </c>
      <c r="AY157" s="291">
        <f t="shared" si="98"/>
        <v>20574938.428800002</v>
      </c>
      <c r="AZ157" s="291">
        <f t="shared" si="98"/>
        <v>20611112.286000002</v>
      </c>
      <c r="BA157" s="291">
        <f t="shared" si="98"/>
        <v>20647286.143200003</v>
      </c>
      <c r="BB157" s="291">
        <f t="shared" si="98"/>
        <v>20683460.000400003</v>
      </c>
      <c r="BC157" s="291">
        <f t="shared" si="99"/>
        <v>20607401</v>
      </c>
      <c r="BD157" s="298"/>
      <c r="BE157" s="291">
        <f t="shared" si="71"/>
        <v>20502590.714400001</v>
      </c>
      <c r="BF157" s="291">
        <f t="shared" si="71"/>
        <v>20538764.571600001</v>
      </c>
      <c r="BG157" s="291">
        <f t="shared" si="71"/>
        <v>20574938.428800002</v>
      </c>
      <c r="BH157" s="291">
        <f t="shared" si="71"/>
        <v>20611112.286000002</v>
      </c>
      <c r="BI157" s="291">
        <f t="shared" si="71"/>
        <v>20647286.143200003</v>
      </c>
      <c r="BJ157" s="291">
        <f t="shared" si="71"/>
        <v>20683460.000400003</v>
      </c>
      <c r="BK157" s="291">
        <f t="shared" si="71"/>
        <v>20607401</v>
      </c>
      <c r="BL157" s="298"/>
      <c r="BM157" s="298"/>
      <c r="BN157" s="298"/>
      <c r="BO157" s="298"/>
    </row>
    <row r="158" spans="1:67" x14ac:dyDescent="0.15">
      <c r="A158" s="10" t="s">
        <v>10</v>
      </c>
      <c r="B158" s="10"/>
      <c r="C158" s="276"/>
      <c r="D158" s="276" t="str">
        <f t="shared" si="89"/>
        <v>No</v>
      </c>
      <c r="E158" s="276"/>
      <c r="F158" s="276"/>
      <c r="G158" s="8">
        <v>5</v>
      </c>
      <c r="H158" s="1">
        <v>69</v>
      </c>
      <c r="I158" s="10">
        <v>132</v>
      </c>
      <c r="J158" s="7" t="s">
        <v>144</v>
      </c>
      <c r="K158" s="287"/>
      <c r="L158" s="1">
        <v>4684.43</v>
      </c>
      <c r="M158" s="288"/>
      <c r="N158" s="289"/>
      <c r="O158" s="1">
        <v>748</v>
      </c>
      <c r="P158" s="290">
        <f t="shared" si="72"/>
        <v>0.15967791172031601</v>
      </c>
      <c r="Q158" s="290">
        <f t="shared" si="73"/>
        <v>0</v>
      </c>
      <c r="R158" s="291">
        <f t="shared" si="74"/>
        <v>0</v>
      </c>
      <c r="S158" s="291">
        <f t="shared" si="90"/>
        <v>0</v>
      </c>
      <c r="T158" s="1">
        <v>308</v>
      </c>
      <c r="U158" s="1">
        <f t="shared" si="91"/>
        <v>46.199999999999996</v>
      </c>
      <c r="V158" s="292">
        <f t="shared" si="75"/>
        <v>224.4</v>
      </c>
      <c r="W158" s="254">
        <f t="shared" si="76"/>
        <v>4955.03</v>
      </c>
      <c r="X158" s="1">
        <v>3875169833</v>
      </c>
      <c r="Y158" s="1">
        <v>25937</v>
      </c>
      <c r="Z158" s="264">
        <f t="shared" si="77"/>
        <v>149407.01999999999</v>
      </c>
      <c r="AA158" s="293">
        <f t="shared" si="78"/>
        <v>0.80025100000000005</v>
      </c>
      <c r="AB158" s="1">
        <v>105986</v>
      </c>
      <c r="AC158" s="293">
        <f t="shared" si="79"/>
        <v>0.92042000000000002</v>
      </c>
      <c r="AD158" s="293">
        <f t="shared" si="80"/>
        <v>0.16369800000000001</v>
      </c>
      <c r="AE158" s="294">
        <f t="shared" si="81"/>
        <v>0.16369800000000001</v>
      </c>
      <c r="AF158" s="295">
        <f t="shared" si="92"/>
        <v>0</v>
      </c>
      <c r="AG158" s="296">
        <f t="shared" si="93"/>
        <v>0.16369800000000001</v>
      </c>
      <c r="AH158" s="1">
        <v>0</v>
      </c>
      <c r="AI158" s="1">
        <v>0</v>
      </c>
      <c r="AJ158" s="254">
        <f t="shared" si="82"/>
        <v>0</v>
      </c>
      <c r="AK158" s="9">
        <f t="shared" si="83"/>
        <v>0</v>
      </c>
      <c r="AL158" s="9">
        <f t="shared" si="84"/>
        <v>9348256</v>
      </c>
      <c r="AM158" s="9">
        <f t="shared" si="85"/>
        <v>9348256</v>
      </c>
      <c r="AN158" s="9">
        <f t="shared" si="94"/>
        <v>9348256</v>
      </c>
      <c r="AO158" s="291">
        <v>12826469</v>
      </c>
      <c r="AP158" s="9">
        <f t="shared" si="95"/>
        <v>3478213</v>
      </c>
      <c r="AQ158" s="297" t="str">
        <f t="shared" si="96"/>
        <v>No</v>
      </c>
      <c r="AR158" s="291">
        <v>11697813</v>
      </c>
      <c r="AS158" s="291">
        <f t="shared" si="86"/>
        <v>289735.14289999998</v>
      </c>
      <c r="AT158" s="291">
        <f t="shared" si="87"/>
        <v>11408077.857100001</v>
      </c>
      <c r="AU158" s="291">
        <f t="shared" si="88"/>
        <v>11408077.857100001</v>
      </c>
      <c r="AV158" s="291"/>
      <c r="AW158" s="291">
        <f t="shared" si="97"/>
        <v>11118342.714200001</v>
      </c>
      <c r="AX158" s="291">
        <f t="shared" si="98"/>
        <v>10828607.571300002</v>
      </c>
      <c r="AY158" s="291">
        <f t="shared" si="98"/>
        <v>10538872.428400002</v>
      </c>
      <c r="AZ158" s="291">
        <f t="shared" si="98"/>
        <v>10249137.285500003</v>
      </c>
      <c r="BA158" s="291">
        <f t="shared" si="98"/>
        <v>9959402.1426000036</v>
      </c>
      <c r="BB158" s="291">
        <f t="shared" si="98"/>
        <v>9669666.9997000042</v>
      </c>
      <c r="BC158" s="291">
        <f t="shared" si="99"/>
        <v>9348256</v>
      </c>
      <c r="BD158" s="298"/>
      <c r="BE158" s="291">
        <f t="shared" si="71"/>
        <v>11118342.714200001</v>
      </c>
      <c r="BF158" s="291">
        <f t="shared" si="71"/>
        <v>10828607.571300002</v>
      </c>
      <c r="BG158" s="291">
        <f t="shared" si="71"/>
        <v>10538872.428400002</v>
      </c>
      <c r="BH158" s="291">
        <f t="shared" si="71"/>
        <v>10249137.285500003</v>
      </c>
      <c r="BI158" s="291">
        <f t="shared" si="71"/>
        <v>9959402.1426000036</v>
      </c>
      <c r="BJ158" s="291">
        <f t="shared" si="71"/>
        <v>9669666.9997000042</v>
      </c>
      <c r="BK158" s="291">
        <f t="shared" si="71"/>
        <v>9348256</v>
      </c>
      <c r="BL158" s="298"/>
      <c r="BM158" s="298"/>
      <c r="BN158" s="298"/>
      <c r="BO158" s="298"/>
    </row>
    <row r="159" spans="1:67" x14ac:dyDescent="0.15">
      <c r="A159" s="10" t="s">
        <v>32</v>
      </c>
      <c r="B159" s="10"/>
      <c r="C159" s="276"/>
      <c r="D159" s="276" t="str">
        <f t="shared" si="89"/>
        <v>No</v>
      </c>
      <c r="E159" s="276"/>
      <c r="F159" s="276"/>
      <c r="G159" s="8">
        <v>9</v>
      </c>
      <c r="H159" s="1">
        <v>20</v>
      </c>
      <c r="I159" s="10">
        <v>133</v>
      </c>
      <c r="J159" s="7" t="s">
        <v>145</v>
      </c>
      <c r="K159" s="287"/>
      <c r="L159" s="1">
        <v>382.01</v>
      </c>
      <c r="M159" s="300"/>
      <c r="N159" s="289"/>
      <c r="O159" s="1">
        <v>213</v>
      </c>
      <c r="P159" s="290">
        <f t="shared" si="72"/>
        <v>0.55757702677940368</v>
      </c>
      <c r="Q159" s="290">
        <f t="shared" si="73"/>
        <v>0</v>
      </c>
      <c r="R159" s="291">
        <f t="shared" si="74"/>
        <v>0</v>
      </c>
      <c r="S159" s="291">
        <f t="shared" si="90"/>
        <v>0</v>
      </c>
      <c r="T159" s="1">
        <v>8</v>
      </c>
      <c r="U159" s="1">
        <f t="shared" si="91"/>
        <v>1.2</v>
      </c>
      <c r="V159" s="292">
        <f t="shared" si="75"/>
        <v>63.9</v>
      </c>
      <c r="W159" s="254">
        <f t="shared" si="76"/>
        <v>447.10999999999996</v>
      </c>
      <c r="X159" s="1">
        <v>253210377</v>
      </c>
      <c r="Y159" s="1">
        <v>2914</v>
      </c>
      <c r="Z159" s="264">
        <f t="shared" si="77"/>
        <v>86894.43</v>
      </c>
      <c r="AA159" s="293">
        <f t="shared" si="78"/>
        <v>0.465422</v>
      </c>
      <c r="AB159" s="1">
        <v>62178</v>
      </c>
      <c r="AC159" s="293">
        <f t="shared" si="79"/>
        <v>0.53997600000000001</v>
      </c>
      <c r="AD159" s="293">
        <f t="shared" si="80"/>
        <v>0.512212</v>
      </c>
      <c r="AE159" s="294">
        <f t="shared" si="81"/>
        <v>0.512212</v>
      </c>
      <c r="AF159" s="295">
        <f t="shared" si="92"/>
        <v>0</v>
      </c>
      <c r="AG159" s="296">
        <f t="shared" si="93"/>
        <v>0.512212</v>
      </c>
      <c r="AH159" s="1">
        <v>0</v>
      </c>
      <c r="AI159" s="1">
        <v>0</v>
      </c>
      <c r="AJ159" s="254">
        <f t="shared" si="82"/>
        <v>0</v>
      </c>
      <c r="AK159" s="9">
        <f t="shared" si="83"/>
        <v>0</v>
      </c>
      <c r="AL159" s="9">
        <f t="shared" si="84"/>
        <v>2639399</v>
      </c>
      <c r="AM159" s="9">
        <f t="shared" si="85"/>
        <v>2639399</v>
      </c>
      <c r="AN159" s="9">
        <f t="shared" si="94"/>
        <v>2639399</v>
      </c>
      <c r="AO159" s="291">
        <v>2612273</v>
      </c>
      <c r="AP159" s="9">
        <f t="shared" si="95"/>
        <v>27126</v>
      </c>
      <c r="AQ159" s="297" t="str">
        <f t="shared" si="96"/>
        <v>Yes</v>
      </c>
      <c r="AR159" s="291">
        <v>2665202</v>
      </c>
      <c r="AS159" s="291">
        <f t="shared" si="86"/>
        <v>2891.6316000000002</v>
      </c>
      <c r="AT159" s="291">
        <f t="shared" si="87"/>
        <v>2668093.6316</v>
      </c>
      <c r="AU159" s="291">
        <f t="shared" si="88"/>
        <v>2668093.6316</v>
      </c>
      <c r="AV159" s="291"/>
      <c r="AW159" s="291">
        <f t="shared" si="97"/>
        <v>2670985.2631999999</v>
      </c>
      <c r="AX159" s="291">
        <f t="shared" si="98"/>
        <v>2673876.8947999999</v>
      </c>
      <c r="AY159" s="291">
        <f t="shared" si="98"/>
        <v>2676768.5263999999</v>
      </c>
      <c r="AZ159" s="291">
        <f t="shared" si="98"/>
        <v>2679660.1579999998</v>
      </c>
      <c r="BA159" s="291">
        <f t="shared" si="98"/>
        <v>2682551.7895999998</v>
      </c>
      <c r="BB159" s="291">
        <f t="shared" si="98"/>
        <v>2685443.4211999997</v>
      </c>
      <c r="BC159" s="291">
        <f t="shared" si="99"/>
        <v>2639399</v>
      </c>
      <c r="BD159" s="298"/>
      <c r="BE159" s="291">
        <f t="shared" si="71"/>
        <v>2670985.2631999999</v>
      </c>
      <c r="BF159" s="291">
        <f t="shared" si="71"/>
        <v>2673876.8947999999</v>
      </c>
      <c r="BG159" s="291">
        <f t="shared" si="71"/>
        <v>2676768.5263999999</v>
      </c>
      <c r="BH159" s="291">
        <f t="shared" si="71"/>
        <v>2679660.1579999998</v>
      </c>
      <c r="BI159" s="291">
        <f t="shared" si="71"/>
        <v>2682551.7895999998</v>
      </c>
      <c r="BJ159" s="291">
        <f t="shared" si="71"/>
        <v>2685443.4211999997</v>
      </c>
      <c r="BK159" s="291">
        <f t="shared" si="71"/>
        <v>2639399</v>
      </c>
      <c r="BL159" s="298"/>
      <c r="BM159" s="298"/>
      <c r="BN159" s="298"/>
      <c r="BO159" s="298"/>
    </row>
    <row r="160" spans="1:67" x14ac:dyDescent="0.15">
      <c r="A160" s="10" t="s">
        <v>32</v>
      </c>
      <c r="B160" s="10"/>
      <c r="C160" s="276"/>
      <c r="D160" s="276" t="str">
        <f t="shared" si="89"/>
        <v>No</v>
      </c>
      <c r="E160" s="276"/>
      <c r="F160" s="276"/>
      <c r="G160" s="8">
        <v>9</v>
      </c>
      <c r="H160" s="1">
        <v>33</v>
      </c>
      <c r="I160" s="10">
        <v>134</v>
      </c>
      <c r="J160" s="7" t="s">
        <v>146</v>
      </c>
      <c r="K160" s="287"/>
      <c r="L160" s="1">
        <v>1489.93</v>
      </c>
      <c r="M160" s="300"/>
      <c r="N160" s="289"/>
      <c r="O160" s="1">
        <v>604</v>
      </c>
      <c r="P160" s="290">
        <f t="shared" si="72"/>
        <v>0.40538817259871268</v>
      </c>
      <c r="Q160" s="290">
        <f t="shared" si="73"/>
        <v>0</v>
      </c>
      <c r="R160" s="291">
        <f t="shared" si="74"/>
        <v>0</v>
      </c>
      <c r="S160" s="291">
        <f t="shared" si="90"/>
        <v>0</v>
      </c>
      <c r="T160" s="1">
        <v>4</v>
      </c>
      <c r="U160" s="1">
        <f t="shared" si="91"/>
        <v>0.6</v>
      </c>
      <c r="V160" s="292">
        <f t="shared" si="75"/>
        <v>181.2</v>
      </c>
      <c r="W160" s="254">
        <f t="shared" si="76"/>
        <v>1671.73</v>
      </c>
      <c r="X160" s="1">
        <v>1146653741.6700001</v>
      </c>
      <c r="Y160" s="1">
        <v>11949</v>
      </c>
      <c r="Z160" s="264">
        <f t="shared" si="77"/>
        <v>95962.32</v>
      </c>
      <c r="AA160" s="293">
        <f t="shared" si="78"/>
        <v>0.513992</v>
      </c>
      <c r="AB160" s="1">
        <v>68813</v>
      </c>
      <c r="AC160" s="293">
        <f t="shared" si="79"/>
        <v>0.59759700000000004</v>
      </c>
      <c r="AD160" s="293">
        <f t="shared" si="80"/>
        <v>0.46092699999999998</v>
      </c>
      <c r="AE160" s="294">
        <f t="shared" si="81"/>
        <v>0.46092699999999998</v>
      </c>
      <c r="AF160" s="295">
        <f t="shared" si="92"/>
        <v>0</v>
      </c>
      <c r="AG160" s="296">
        <f t="shared" si="93"/>
        <v>0.46092699999999998</v>
      </c>
      <c r="AH160" s="1">
        <v>0</v>
      </c>
      <c r="AI160" s="1">
        <v>0</v>
      </c>
      <c r="AJ160" s="254">
        <f t="shared" si="82"/>
        <v>0</v>
      </c>
      <c r="AK160" s="9">
        <f t="shared" si="83"/>
        <v>0</v>
      </c>
      <c r="AL160" s="9">
        <f t="shared" si="84"/>
        <v>8880537</v>
      </c>
      <c r="AM160" s="9">
        <f t="shared" si="85"/>
        <v>8880537</v>
      </c>
      <c r="AN160" s="9">
        <f t="shared" si="94"/>
        <v>8880537</v>
      </c>
      <c r="AO160" s="291">
        <v>9790490</v>
      </c>
      <c r="AP160" s="9">
        <f t="shared" si="95"/>
        <v>909953</v>
      </c>
      <c r="AQ160" s="297" t="str">
        <f t="shared" si="96"/>
        <v>No</v>
      </c>
      <c r="AR160" s="291">
        <v>9627288</v>
      </c>
      <c r="AS160" s="291">
        <f t="shared" si="86"/>
        <v>75799.084900000002</v>
      </c>
      <c r="AT160" s="291">
        <f t="shared" si="87"/>
        <v>9551488.9151000008</v>
      </c>
      <c r="AU160" s="291">
        <f t="shared" si="88"/>
        <v>9551488.9151000008</v>
      </c>
      <c r="AV160" s="291"/>
      <c r="AW160" s="291">
        <f t="shared" si="97"/>
        <v>9475689.8302000016</v>
      </c>
      <c r="AX160" s="291">
        <f t="shared" si="98"/>
        <v>9399890.7453000024</v>
      </c>
      <c r="AY160" s="291">
        <f t="shared" si="98"/>
        <v>9324091.6604000032</v>
      </c>
      <c r="AZ160" s="291">
        <f t="shared" si="98"/>
        <v>9248292.575500004</v>
      </c>
      <c r="BA160" s="291">
        <f t="shared" si="98"/>
        <v>9172493.4906000048</v>
      </c>
      <c r="BB160" s="291">
        <f t="shared" si="98"/>
        <v>9096694.4057000056</v>
      </c>
      <c r="BC160" s="291">
        <f t="shared" si="99"/>
        <v>8880537</v>
      </c>
      <c r="BD160" s="298"/>
      <c r="BE160" s="291">
        <f t="shared" si="71"/>
        <v>9475689.8302000016</v>
      </c>
      <c r="BF160" s="291">
        <f t="shared" si="71"/>
        <v>9399890.7453000024</v>
      </c>
      <c r="BG160" s="291">
        <f t="shared" si="71"/>
        <v>9324091.6604000032</v>
      </c>
      <c r="BH160" s="291">
        <f t="shared" si="71"/>
        <v>9248292.575500004</v>
      </c>
      <c r="BI160" s="291">
        <f t="shared" si="71"/>
        <v>9172493.4906000048</v>
      </c>
      <c r="BJ160" s="291">
        <f t="shared" si="71"/>
        <v>9096694.4057000056</v>
      </c>
      <c r="BK160" s="291">
        <f t="shared" si="71"/>
        <v>8880537</v>
      </c>
      <c r="BL160" s="298"/>
      <c r="BM160" s="298"/>
      <c r="BN160" s="298"/>
      <c r="BO160" s="298"/>
    </row>
    <row r="161" spans="1:67" x14ac:dyDescent="0.15">
      <c r="A161" s="10" t="s">
        <v>6</v>
      </c>
      <c r="B161" s="10">
        <v>1</v>
      </c>
      <c r="C161" s="276">
        <v>1</v>
      </c>
      <c r="D161" s="276" t="str">
        <f t="shared" si="89"/>
        <v>Yes</v>
      </c>
      <c r="E161" s="276">
        <v>1</v>
      </c>
      <c r="F161" s="276"/>
      <c r="G161" s="8">
        <v>2</v>
      </c>
      <c r="H161" s="1">
        <v>132</v>
      </c>
      <c r="I161" s="10">
        <v>135</v>
      </c>
      <c r="J161" s="7" t="s">
        <v>147</v>
      </c>
      <c r="K161" s="287"/>
      <c r="L161" s="1">
        <v>16114.14</v>
      </c>
      <c r="M161" s="288"/>
      <c r="N161" s="289"/>
      <c r="O161" s="1">
        <v>9648</v>
      </c>
      <c r="P161" s="290">
        <f t="shared" si="72"/>
        <v>0.5987288182925059</v>
      </c>
      <c r="Q161" s="290">
        <f t="shared" si="73"/>
        <v>0</v>
      </c>
      <c r="R161" s="291">
        <f t="shared" si="74"/>
        <v>0</v>
      </c>
      <c r="S161" s="291">
        <f t="shared" si="90"/>
        <v>0</v>
      </c>
      <c r="T161" s="1">
        <v>2389</v>
      </c>
      <c r="U161" s="1">
        <f t="shared" si="91"/>
        <v>358.34999999999997</v>
      </c>
      <c r="V161" s="292">
        <f t="shared" si="75"/>
        <v>2894.4</v>
      </c>
      <c r="W161" s="254">
        <f t="shared" si="76"/>
        <v>19366.89</v>
      </c>
      <c r="X161" s="1">
        <v>32135587821.669998</v>
      </c>
      <c r="Y161" s="1">
        <v>130824</v>
      </c>
      <c r="Z161" s="264">
        <f t="shared" si="77"/>
        <v>245639.85</v>
      </c>
      <c r="AA161" s="293">
        <f t="shared" si="78"/>
        <v>1.3156920000000001</v>
      </c>
      <c r="AB161" s="1">
        <v>84893</v>
      </c>
      <c r="AC161" s="293">
        <f t="shared" si="79"/>
        <v>0.73724100000000004</v>
      </c>
      <c r="AD161" s="293">
        <f t="shared" si="80"/>
        <v>-0.14215700000000001</v>
      </c>
      <c r="AE161" s="294">
        <f t="shared" si="81"/>
        <v>0.1</v>
      </c>
      <c r="AF161" s="295">
        <f t="shared" si="92"/>
        <v>0</v>
      </c>
      <c r="AG161" s="296">
        <f t="shared" si="93"/>
        <v>0.1</v>
      </c>
      <c r="AH161" s="1">
        <v>0</v>
      </c>
      <c r="AI161" s="1">
        <v>0</v>
      </c>
      <c r="AJ161" s="254">
        <f t="shared" si="82"/>
        <v>0</v>
      </c>
      <c r="AK161" s="9">
        <f t="shared" si="83"/>
        <v>0</v>
      </c>
      <c r="AL161" s="9">
        <f t="shared" si="84"/>
        <v>22320341</v>
      </c>
      <c r="AM161" s="9">
        <f t="shared" si="85"/>
        <v>22320341</v>
      </c>
      <c r="AN161" s="9">
        <f t="shared" si="94"/>
        <v>22320341</v>
      </c>
      <c r="AO161" s="291">
        <v>10803759</v>
      </c>
      <c r="AP161" s="9">
        <f t="shared" si="95"/>
        <v>11516582</v>
      </c>
      <c r="AQ161" s="297" t="str">
        <f t="shared" si="96"/>
        <v>Yes</v>
      </c>
      <c r="AR161" s="291">
        <v>12362917</v>
      </c>
      <c r="AS161" s="291">
        <f t="shared" si="86"/>
        <v>1227667.6412</v>
      </c>
      <c r="AT161" s="291">
        <f t="shared" si="87"/>
        <v>13590584.6412</v>
      </c>
      <c r="AU161" s="291">
        <f t="shared" si="88"/>
        <v>13590584.6412</v>
      </c>
      <c r="AV161" s="291"/>
      <c r="AW161" s="291">
        <f t="shared" si="97"/>
        <v>14818252.282400001</v>
      </c>
      <c r="AX161" s="291">
        <f t="shared" si="98"/>
        <v>16045919.923600001</v>
      </c>
      <c r="AY161" s="291">
        <f t="shared" si="98"/>
        <v>17273587.564800002</v>
      </c>
      <c r="AZ161" s="291">
        <f t="shared" si="98"/>
        <v>18501255.206</v>
      </c>
      <c r="BA161" s="291">
        <f t="shared" si="98"/>
        <v>19728922.847199999</v>
      </c>
      <c r="BB161" s="291">
        <f t="shared" si="98"/>
        <v>20956590.488399997</v>
      </c>
      <c r="BC161" s="291">
        <f t="shared" si="99"/>
        <v>22320341</v>
      </c>
      <c r="BD161" s="298"/>
      <c r="BE161" s="291">
        <f t="shared" si="71"/>
        <v>14818252.282400001</v>
      </c>
      <c r="BF161" s="291">
        <f t="shared" si="71"/>
        <v>16045919.923600001</v>
      </c>
      <c r="BG161" s="291">
        <f t="shared" si="71"/>
        <v>17273587.564800002</v>
      </c>
      <c r="BH161" s="291">
        <f t="shared" si="71"/>
        <v>18501255.206</v>
      </c>
      <c r="BI161" s="291">
        <f t="shared" si="71"/>
        <v>19728922.847199999</v>
      </c>
      <c r="BJ161" s="291">
        <f t="shared" si="71"/>
        <v>20956590.488399997</v>
      </c>
      <c r="BK161" s="291">
        <f t="shared" si="71"/>
        <v>22320341</v>
      </c>
      <c r="BL161" s="298"/>
      <c r="BM161" s="298"/>
      <c r="BN161" s="298"/>
      <c r="BO161" s="298"/>
    </row>
    <row r="162" spans="1:67" x14ac:dyDescent="0.15">
      <c r="A162" s="10" t="s">
        <v>32</v>
      </c>
      <c r="B162" s="10"/>
      <c r="C162" s="276"/>
      <c r="D162" s="276" t="str">
        <f t="shared" si="89"/>
        <v>No</v>
      </c>
      <c r="E162" s="276"/>
      <c r="F162" s="276"/>
      <c r="G162" s="8">
        <v>9</v>
      </c>
      <c r="H162" s="1">
        <v>22</v>
      </c>
      <c r="I162" s="10">
        <v>136</v>
      </c>
      <c r="J162" s="7" t="s">
        <v>148</v>
      </c>
      <c r="K162" s="287"/>
      <c r="L162" s="1">
        <v>506.79</v>
      </c>
      <c r="M162" s="300"/>
      <c r="N162" s="289"/>
      <c r="O162" s="1">
        <v>199</v>
      </c>
      <c r="P162" s="290">
        <f t="shared" si="72"/>
        <v>0.39266757434045657</v>
      </c>
      <c r="Q162" s="290">
        <f t="shared" si="73"/>
        <v>0</v>
      </c>
      <c r="R162" s="291">
        <f t="shared" si="74"/>
        <v>0</v>
      </c>
      <c r="S162" s="291">
        <f t="shared" si="90"/>
        <v>0</v>
      </c>
      <c r="T162" s="1">
        <v>0</v>
      </c>
      <c r="U162" s="1">
        <f t="shared" si="91"/>
        <v>0</v>
      </c>
      <c r="V162" s="292">
        <f t="shared" si="75"/>
        <v>59.7</v>
      </c>
      <c r="W162" s="254">
        <f t="shared" si="76"/>
        <v>566.49</v>
      </c>
      <c r="X162" s="1">
        <v>339588173</v>
      </c>
      <c r="Y162" s="1">
        <v>3742</v>
      </c>
      <c r="Z162" s="264">
        <f t="shared" si="77"/>
        <v>90750.45</v>
      </c>
      <c r="AA162" s="293">
        <f t="shared" si="78"/>
        <v>0.48607600000000001</v>
      </c>
      <c r="AB162" s="1">
        <v>75574</v>
      </c>
      <c r="AC162" s="293">
        <f t="shared" si="79"/>
        <v>0.65631099999999998</v>
      </c>
      <c r="AD162" s="293">
        <f t="shared" si="80"/>
        <v>0.46285399999999999</v>
      </c>
      <c r="AE162" s="294">
        <f t="shared" si="81"/>
        <v>0.46285399999999999</v>
      </c>
      <c r="AF162" s="295">
        <f t="shared" si="92"/>
        <v>0</v>
      </c>
      <c r="AG162" s="296">
        <f t="shared" si="93"/>
        <v>0.46285399999999999</v>
      </c>
      <c r="AH162" s="1">
        <v>0</v>
      </c>
      <c r="AI162" s="1">
        <v>0</v>
      </c>
      <c r="AJ162" s="254">
        <f t="shared" si="82"/>
        <v>0</v>
      </c>
      <c r="AK162" s="9">
        <f t="shared" si="83"/>
        <v>0</v>
      </c>
      <c r="AL162" s="9">
        <f t="shared" si="84"/>
        <v>3021880</v>
      </c>
      <c r="AM162" s="9">
        <f t="shared" si="85"/>
        <v>3021880</v>
      </c>
      <c r="AN162" s="9">
        <f t="shared" si="94"/>
        <v>3021880</v>
      </c>
      <c r="AO162" s="291">
        <v>3196216</v>
      </c>
      <c r="AP162" s="9">
        <f t="shared" si="95"/>
        <v>174336</v>
      </c>
      <c r="AQ162" s="297" t="str">
        <f t="shared" si="96"/>
        <v>No</v>
      </c>
      <c r="AR162" s="291">
        <v>3190254</v>
      </c>
      <c r="AS162" s="291">
        <f t="shared" si="86"/>
        <v>14522.1888</v>
      </c>
      <c r="AT162" s="291">
        <f t="shared" si="87"/>
        <v>3175731.8111999999</v>
      </c>
      <c r="AU162" s="291">
        <f t="shared" si="88"/>
        <v>3175731.8111999999</v>
      </c>
      <c r="AV162" s="291"/>
      <c r="AW162" s="291">
        <f t="shared" si="97"/>
        <v>3161209.6223999998</v>
      </c>
      <c r="AX162" s="291">
        <f t="shared" si="98"/>
        <v>3146687.4335999996</v>
      </c>
      <c r="AY162" s="291">
        <f t="shared" si="98"/>
        <v>3132165.2447999995</v>
      </c>
      <c r="AZ162" s="291">
        <f t="shared" si="98"/>
        <v>3117643.0559999994</v>
      </c>
      <c r="BA162" s="291">
        <f t="shared" si="98"/>
        <v>3103120.8671999993</v>
      </c>
      <c r="BB162" s="291">
        <f t="shared" si="98"/>
        <v>3088598.6783999992</v>
      </c>
      <c r="BC162" s="291">
        <f t="shared" si="99"/>
        <v>3021880</v>
      </c>
      <c r="BD162" s="298"/>
      <c r="BE162" s="291">
        <f t="shared" si="71"/>
        <v>3161209.6223999998</v>
      </c>
      <c r="BF162" s="291">
        <f t="shared" si="71"/>
        <v>3146687.4335999996</v>
      </c>
      <c r="BG162" s="291">
        <f t="shared" si="71"/>
        <v>3132165.2447999995</v>
      </c>
      <c r="BH162" s="291">
        <f t="shared" si="71"/>
        <v>3117643.0559999994</v>
      </c>
      <c r="BI162" s="291">
        <f t="shared" si="71"/>
        <v>3103120.8671999993</v>
      </c>
      <c r="BJ162" s="291">
        <f t="shared" si="71"/>
        <v>3088598.6783999992</v>
      </c>
      <c r="BK162" s="291">
        <f t="shared" si="71"/>
        <v>3021880</v>
      </c>
      <c r="BL162" s="298"/>
      <c r="BM162" s="298"/>
      <c r="BN162" s="298"/>
      <c r="BO162" s="298"/>
    </row>
    <row r="163" spans="1:67" x14ac:dyDescent="0.15">
      <c r="A163" s="10" t="s">
        <v>14</v>
      </c>
      <c r="B163" s="10"/>
      <c r="C163" s="276"/>
      <c r="D163" s="276" t="str">
        <f t="shared" si="89"/>
        <v>No</v>
      </c>
      <c r="E163" s="276"/>
      <c r="F163" s="276"/>
      <c r="G163" s="8">
        <v>3</v>
      </c>
      <c r="H163" s="1">
        <v>138</v>
      </c>
      <c r="I163" s="10">
        <v>137</v>
      </c>
      <c r="J163" s="7" t="s">
        <v>149</v>
      </c>
      <c r="K163" s="287"/>
      <c r="L163" s="1">
        <v>2076.54</v>
      </c>
      <c r="M163" s="288"/>
      <c r="N163" s="289"/>
      <c r="O163" s="1">
        <v>561</v>
      </c>
      <c r="P163" s="290">
        <f t="shared" si="72"/>
        <v>0.27016094079574676</v>
      </c>
      <c r="Q163" s="290">
        <f t="shared" si="73"/>
        <v>0</v>
      </c>
      <c r="R163" s="291">
        <f t="shared" si="74"/>
        <v>0</v>
      </c>
      <c r="S163" s="291">
        <f t="shared" si="90"/>
        <v>0</v>
      </c>
      <c r="T163" s="1">
        <v>13</v>
      </c>
      <c r="U163" s="1">
        <f t="shared" si="91"/>
        <v>1.95</v>
      </c>
      <c r="V163" s="292">
        <f t="shared" si="75"/>
        <v>168.3</v>
      </c>
      <c r="W163" s="254">
        <f t="shared" si="76"/>
        <v>2246.79</v>
      </c>
      <c r="X163" s="1">
        <v>3965121389.3299999</v>
      </c>
      <c r="Y163" s="1">
        <v>18593</v>
      </c>
      <c r="Z163" s="264">
        <f t="shared" si="77"/>
        <v>213258.83</v>
      </c>
      <c r="AA163" s="293">
        <f t="shared" si="78"/>
        <v>1.142253</v>
      </c>
      <c r="AB163" s="1">
        <v>78875</v>
      </c>
      <c r="AC163" s="293">
        <f t="shared" si="79"/>
        <v>0.68497799999999998</v>
      </c>
      <c r="AD163" s="293">
        <f t="shared" si="80"/>
        <v>-5.0699999999999999E-3</v>
      </c>
      <c r="AE163" s="294">
        <f t="shared" si="81"/>
        <v>0.01</v>
      </c>
      <c r="AF163" s="295">
        <f t="shared" si="92"/>
        <v>0</v>
      </c>
      <c r="AG163" s="296">
        <f t="shared" si="93"/>
        <v>0.01</v>
      </c>
      <c r="AH163" s="1">
        <v>0</v>
      </c>
      <c r="AI163" s="1">
        <v>0</v>
      </c>
      <c r="AJ163" s="254">
        <f t="shared" si="82"/>
        <v>0</v>
      </c>
      <c r="AK163" s="9">
        <f t="shared" si="83"/>
        <v>0</v>
      </c>
      <c r="AL163" s="9">
        <f t="shared" si="84"/>
        <v>258943</v>
      </c>
      <c r="AM163" s="9">
        <f t="shared" si="85"/>
        <v>258943</v>
      </c>
      <c r="AN163" s="9">
        <f t="shared" si="94"/>
        <v>258943</v>
      </c>
      <c r="AO163" s="291">
        <v>1649159</v>
      </c>
      <c r="AP163" s="9">
        <f t="shared" si="95"/>
        <v>1390216</v>
      </c>
      <c r="AQ163" s="297" t="str">
        <f t="shared" si="96"/>
        <v>No</v>
      </c>
      <c r="AR163" s="291">
        <v>1188816</v>
      </c>
      <c r="AS163" s="291">
        <f t="shared" si="86"/>
        <v>115804.99279999999</v>
      </c>
      <c r="AT163" s="291">
        <f t="shared" si="87"/>
        <v>1073011.0072000001</v>
      </c>
      <c r="AU163" s="291">
        <f t="shared" si="88"/>
        <v>1073011.0072000001</v>
      </c>
      <c r="AV163" s="291"/>
      <c r="AW163" s="291">
        <f t="shared" si="97"/>
        <v>957206.0144000001</v>
      </c>
      <c r="AX163" s="291">
        <f t="shared" si="98"/>
        <v>841401.02160000009</v>
      </c>
      <c r="AY163" s="291">
        <f t="shared" si="98"/>
        <v>725596.02880000009</v>
      </c>
      <c r="AZ163" s="291">
        <f t="shared" si="98"/>
        <v>609791.03600000008</v>
      </c>
      <c r="BA163" s="291">
        <f t="shared" si="98"/>
        <v>493986.04320000007</v>
      </c>
      <c r="BB163" s="291">
        <f t="shared" si="98"/>
        <v>378181.05040000007</v>
      </c>
      <c r="BC163" s="291">
        <f t="shared" si="99"/>
        <v>258943</v>
      </c>
      <c r="BD163" s="298"/>
      <c r="BE163" s="291">
        <f t="shared" si="71"/>
        <v>957206.0144000001</v>
      </c>
      <c r="BF163" s="291">
        <f t="shared" si="71"/>
        <v>841401.02160000009</v>
      </c>
      <c r="BG163" s="291">
        <f t="shared" si="71"/>
        <v>725596.02880000009</v>
      </c>
      <c r="BH163" s="291">
        <f t="shared" si="71"/>
        <v>609791.03600000008</v>
      </c>
      <c r="BI163" s="291">
        <f t="shared" si="71"/>
        <v>493986.04320000007</v>
      </c>
      <c r="BJ163" s="291">
        <f t="shared" si="71"/>
        <v>378181.05040000007</v>
      </c>
      <c r="BK163" s="291">
        <f t="shared" si="71"/>
        <v>258943</v>
      </c>
      <c r="BL163" s="298"/>
      <c r="BM163" s="298"/>
      <c r="BN163" s="298"/>
      <c r="BO163" s="298"/>
    </row>
    <row r="164" spans="1:67" x14ac:dyDescent="0.15">
      <c r="A164" s="10" t="s">
        <v>19</v>
      </c>
      <c r="B164" s="10"/>
      <c r="C164" s="276"/>
      <c r="D164" s="276" t="str">
        <f t="shared" si="89"/>
        <v>No</v>
      </c>
      <c r="E164" s="276"/>
      <c r="F164" s="276"/>
      <c r="G164" s="8">
        <v>8</v>
      </c>
      <c r="H164" s="1">
        <v>24</v>
      </c>
      <c r="I164" s="10">
        <v>138</v>
      </c>
      <c r="J164" s="7" t="s">
        <v>150</v>
      </c>
      <c r="K164" s="287"/>
      <c r="L164" s="1">
        <v>7165.98</v>
      </c>
      <c r="M164" s="300"/>
      <c r="N164" s="289"/>
      <c r="O164" s="1">
        <v>3629</v>
      </c>
      <c r="P164" s="290">
        <f t="shared" si="72"/>
        <v>0.50642061518452464</v>
      </c>
      <c r="Q164" s="290">
        <f t="shared" si="73"/>
        <v>0</v>
      </c>
      <c r="R164" s="291">
        <f t="shared" si="74"/>
        <v>0</v>
      </c>
      <c r="S164" s="291">
        <f t="shared" si="90"/>
        <v>0</v>
      </c>
      <c r="T164" s="1">
        <v>458</v>
      </c>
      <c r="U164" s="1">
        <f t="shared" si="91"/>
        <v>68.7</v>
      </c>
      <c r="V164" s="292">
        <f t="shared" si="75"/>
        <v>1088.7</v>
      </c>
      <c r="W164" s="254">
        <f t="shared" si="76"/>
        <v>8323.380000000001</v>
      </c>
      <c r="X164" s="1">
        <v>6700464842.6700001</v>
      </c>
      <c r="Y164" s="1">
        <v>52345</v>
      </c>
      <c r="Z164" s="264">
        <f t="shared" si="77"/>
        <v>128005.82</v>
      </c>
      <c r="AA164" s="293">
        <f t="shared" si="78"/>
        <v>0.68562199999999995</v>
      </c>
      <c r="AB164" s="1">
        <v>72757</v>
      </c>
      <c r="AC164" s="293">
        <f t="shared" si="79"/>
        <v>0.63184799999999997</v>
      </c>
      <c r="AD164" s="293">
        <f t="shared" si="80"/>
        <v>0.33051000000000003</v>
      </c>
      <c r="AE164" s="294">
        <f t="shared" si="81"/>
        <v>0.33051000000000003</v>
      </c>
      <c r="AF164" s="295">
        <f t="shared" si="92"/>
        <v>0</v>
      </c>
      <c r="AG164" s="296">
        <f t="shared" si="93"/>
        <v>0.33051000000000003</v>
      </c>
      <c r="AH164" s="1">
        <v>0</v>
      </c>
      <c r="AI164" s="1">
        <v>0</v>
      </c>
      <c r="AJ164" s="254">
        <f t="shared" si="82"/>
        <v>0</v>
      </c>
      <c r="AK164" s="9">
        <f t="shared" si="83"/>
        <v>0</v>
      </c>
      <c r="AL164" s="9">
        <f t="shared" si="84"/>
        <v>31704818</v>
      </c>
      <c r="AM164" s="9">
        <f t="shared" si="85"/>
        <v>31704818</v>
      </c>
      <c r="AN164" s="9">
        <f t="shared" si="94"/>
        <v>31704818</v>
      </c>
      <c r="AO164" s="291">
        <v>21461782</v>
      </c>
      <c r="AP164" s="9">
        <f t="shared" si="95"/>
        <v>10243036</v>
      </c>
      <c r="AQ164" s="297" t="str">
        <f t="shared" si="96"/>
        <v>Yes</v>
      </c>
      <c r="AR164" s="291">
        <v>23024429</v>
      </c>
      <c r="AS164" s="291">
        <f t="shared" si="86"/>
        <v>1091907.6376</v>
      </c>
      <c r="AT164" s="291">
        <f t="shared" si="87"/>
        <v>24116336.637600001</v>
      </c>
      <c r="AU164" s="291">
        <f t="shared" si="88"/>
        <v>24116336.637600001</v>
      </c>
      <c r="AV164" s="291"/>
      <c r="AW164" s="291">
        <f t="shared" si="97"/>
        <v>25208244.275200002</v>
      </c>
      <c r="AX164" s="291">
        <f t="shared" si="98"/>
        <v>26300151.912800003</v>
      </c>
      <c r="AY164" s="291">
        <f t="shared" si="98"/>
        <v>27392059.550400004</v>
      </c>
      <c r="AZ164" s="291">
        <f t="shared" si="98"/>
        <v>28483967.188000005</v>
      </c>
      <c r="BA164" s="291">
        <f t="shared" si="98"/>
        <v>29575874.825600006</v>
      </c>
      <c r="BB164" s="291">
        <f t="shared" si="98"/>
        <v>30667782.463200007</v>
      </c>
      <c r="BC164" s="291">
        <f t="shared" si="99"/>
        <v>31704818</v>
      </c>
      <c r="BD164" s="298"/>
      <c r="BE164" s="291">
        <f t="shared" si="71"/>
        <v>25208244.275200002</v>
      </c>
      <c r="BF164" s="291">
        <f t="shared" si="71"/>
        <v>26300151.912800003</v>
      </c>
      <c r="BG164" s="291">
        <f t="shared" si="71"/>
        <v>27392059.550400004</v>
      </c>
      <c r="BH164" s="291">
        <f t="shared" si="71"/>
        <v>28483967.188000005</v>
      </c>
      <c r="BI164" s="291">
        <f t="shared" si="71"/>
        <v>29575874.825600006</v>
      </c>
      <c r="BJ164" s="291">
        <f t="shared" si="71"/>
        <v>30667782.463200007</v>
      </c>
      <c r="BK164" s="291">
        <f t="shared" si="71"/>
        <v>31704818</v>
      </c>
      <c r="BL164" s="298"/>
      <c r="BM164" s="298"/>
      <c r="BN164" s="298"/>
      <c r="BO164" s="298"/>
    </row>
    <row r="165" spans="1:67" x14ac:dyDescent="0.15">
      <c r="A165" s="10" t="s">
        <v>4</v>
      </c>
      <c r="B165" s="10"/>
      <c r="C165" s="276"/>
      <c r="D165" s="276" t="str">
        <f t="shared" si="89"/>
        <v>No</v>
      </c>
      <c r="E165" s="276"/>
      <c r="F165" s="276"/>
      <c r="G165" s="8">
        <v>5</v>
      </c>
      <c r="H165" s="1">
        <v>106</v>
      </c>
      <c r="I165" s="10">
        <v>139</v>
      </c>
      <c r="J165" s="7" t="s">
        <v>151</v>
      </c>
      <c r="K165" s="287"/>
      <c r="L165" s="1">
        <v>2056.21</v>
      </c>
      <c r="M165" s="288"/>
      <c r="N165" s="289"/>
      <c r="O165" s="1">
        <v>329</v>
      </c>
      <c r="P165" s="290">
        <f t="shared" si="72"/>
        <v>0.16000311252255361</v>
      </c>
      <c r="Q165" s="290">
        <f t="shared" si="73"/>
        <v>0</v>
      </c>
      <c r="R165" s="291">
        <f t="shared" si="74"/>
        <v>0</v>
      </c>
      <c r="S165" s="291">
        <f t="shared" si="90"/>
        <v>0</v>
      </c>
      <c r="T165" s="1">
        <v>40</v>
      </c>
      <c r="U165" s="1">
        <f t="shared" si="91"/>
        <v>6</v>
      </c>
      <c r="V165" s="292">
        <f t="shared" si="75"/>
        <v>98.7</v>
      </c>
      <c r="W165" s="254">
        <f t="shared" si="76"/>
        <v>2160.91</v>
      </c>
      <c r="X165" s="1">
        <v>2054710901.6700001</v>
      </c>
      <c r="Y165" s="1">
        <v>15698</v>
      </c>
      <c r="Z165" s="264">
        <f t="shared" si="77"/>
        <v>130889.98</v>
      </c>
      <c r="AA165" s="293">
        <f t="shared" si="78"/>
        <v>0.70106999999999997</v>
      </c>
      <c r="AB165" s="1">
        <v>105777</v>
      </c>
      <c r="AC165" s="293">
        <f t="shared" si="79"/>
        <v>0.918605</v>
      </c>
      <c r="AD165" s="293">
        <f t="shared" si="80"/>
        <v>0.23366999999999999</v>
      </c>
      <c r="AE165" s="294">
        <f t="shared" si="81"/>
        <v>0.23366999999999999</v>
      </c>
      <c r="AF165" s="295">
        <f t="shared" si="92"/>
        <v>0</v>
      </c>
      <c r="AG165" s="296">
        <f t="shared" si="93"/>
        <v>0.23366999999999999</v>
      </c>
      <c r="AH165" s="1">
        <v>0</v>
      </c>
      <c r="AI165" s="1">
        <v>0</v>
      </c>
      <c r="AJ165" s="254">
        <f t="shared" si="82"/>
        <v>0</v>
      </c>
      <c r="AK165" s="9">
        <f t="shared" si="83"/>
        <v>0</v>
      </c>
      <c r="AL165" s="9">
        <f t="shared" si="84"/>
        <v>5819432</v>
      </c>
      <c r="AM165" s="9">
        <f t="shared" si="85"/>
        <v>5819432</v>
      </c>
      <c r="AN165" s="9">
        <f t="shared" si="94"/>
        <v>5819432</v>
      </c>
      <c r="AO165" s="291">
        <v>6221145</v>
      </c>
      <c r="AP165" s="9">
        <f t="shared" si="95"/>
        <v>401713</v>
      </c>
      <c r="AQ165" s="297" t="str">
        <f t="shared" si="96"/>
        <v>No</v>
      </c>
      <c r="AR165" s="291">
        <v>6181616</v>
      </c>
      <c r="AS165" s="291">
        <f t="shared" si="86"/>
        <v>33462.692900000002</v>
      </c>
      <c r="AT165" s="291">
        <f t="shared" si="87"/>
        <v>6148153.3070999999</v>
      </c>
      <c r="AU165" s="291">
        <f t="shared" si="88"/>
        <v>6148153.3070999999</v>
      </c>
      <c r="AV165" s="291"/>
      <c r="AW165" s="291">
        <f t="shared" si="97"/>
        <v>6114690.6141999997</v>
      </c>
      <c r="AX165" s="291">
        <f t="shared" si="98"/>
        <v>6081227.9212999996</v>
      </c>
      <c r="AY165" s="291">
        <f t="shared" si="98"/>
        <v>6047765.2283999994</v>
      </c>
      <c r="AZ165" s="291">
        <f t="shared" si="98"/>
        <v>6014302.5354999993</v>
      </c>
      <c r="BA165" s="291">
        <f t="shared" si="98"/>
        <v>5980839.8425999992</v>
      </c>
      <c r="BB165" s="291">
        <f t="shared" si="98"/>
        <v>5947377.149699999</v>
      </c>
      <c r="BC165" s="291">
        <f t="shared" si="99"/>
        <v>5819432</v>
      </c>
      <c r="BD165" s="298"/>
      <c r="BE165" s="291">
        <f t="shared" si="71"/>
        <v>6114690.6141999997</v>
      </c>
      <c r="BF165" s="291">
        <f t="shared" si="71"/>
        <v>6081227.9212999996</v>
      </c>
      <c r="BG165" s="291">
        <f t="shared" si="71"/>
        <v>6047765.2283999994</v>
      </c>
      <c r="BH165" s="291">
        <f t="shared" si="71"/>
        <v>6014302.5354999993</v>
      </c>
      <c r="BI165" s="291">
        <f t="shared" si="71"/>
        <v>5980839.8425999992</v>
      </c>
      <c r="BJ165" s="291">
        <f t="shared" si="71"/>
        <v>5947377.149699999</v>
      </c>
      <c r="BK165" s="291">
        <f t="shared" si="71"/>
        <v>5819432</v>
      </c>
      <c r="BL165" s="298"/>
      <c r="BM165" s="298"/>
      <c r="BN165" s="298"/>
      <c r="BO165" s="298"/>
    </row>
    <row r="166" spans="1:67" x14ac:dyDescent="0.15">
      <c r="A166" s="10" t="s">
        <v>8</v>
      </c>
      <c r="B166" s="10"/>
      <c r="C166" s="276"/>
      <c r="D166" s="276" t="str">
        <f t="shared" si="89"/>
        <v>No</v>
      </c>
      <c r="E166" s="276"/>
      <c r="F166" s="276"/>
      <c r="G166" s="8">
        <v>9</v>
      </c>
      <c r="H166" s="1">
        <v>40</v>
      </c>
      <c r="I166" s="10">
        <v>140</v>
      </c>
      <c r="J166" s="7" t="s">
        <v>152</v>
      </c>
      <c r="K166" s="287"/>
      <c r="L166" s="1">
        <v>972.05</v>
      </c>
      <c r="M166" s="300"/>
      <c r="N166" s="289"/>
      <c r="O166" s="1">
        <v>332</v>
      </c>
      <c r="P166" s="290">
        <f t="shared" si="72"/>
        <v>0.34154621675839719</v>
      </c>
      <c r="Q166" s="290">
        <f t="shared" si="73"/>
        <v>0</v>
      </c>
      <c r="R166" s="291">
        <f t="shared" si="74"/>
        <v>0</v>
      </c>
      <c r="S166" s="291">
        <f t="shared" si="90"/>
        <v>0</v>
      </c>
      <c r="T166" s="1">
        <v>13</v>
      </c>
      <c r="U166" s="1">
        <f t="shared" si="91"/>
        <v>1.95</v>
      </c>
      <c r="V166" s="292">
        <f t="shared" si="75"/>
        <v>99.6</v>
      </c>
      <c r="W166" s="254">
        <f t="shared" si="76"/>
        <v>1073.5999999999999</v>
      </c>
      <c r="X166" s="1">
        <v>785685200</v>
      </c>
      <c r="Y166" s="1">
        <v>7602</v>
      </c>
      <c r="Z166" s="264">
        <f t="shared" si="77"/>
        <v>103352.43</v>
      </c>
      <c r="AA166" s="293">
        <f t="shared" si="78"/>
        <v>0.55357400000000001</v>
      </c>
      <c r="AB166" s="1">
        <v>67639</v>
      </c>
      <c r="AC166" s="293">
        <f t="shared" si="79"/>
        <v>0.58740099999999995</v>
      </c>
      <c r="AD166" s="293">
        <f t="shared" si="80"/>
        <v>0.436278</v>
      </c>
      <c r="AE166" s="294">
        <f t="shared" si="81"/>
        <v>0.436278</v>
      </c>
      <c r="AF166" s="295">
        <f t="shared" si="92"/>
        <v>0</v>
      </c>
      <c r="AG166" s="296">
        <f t="shared" si="93"/>
        <v>0.436278</v>
      </c>
      <c r="AH166" s="1">
        <v>0</v>
      </c>
      <c r="AI166" s="1">
        <v>0</v>
      </c>
      <c r="AJ166" s="254">
        <f t="shared" si="82"/>
        <v>0</v>
      </c>
      <c r="AK166" s="9">
        <f t="shared" si="83"/>
        <v>0</v>
      </c>
      <c r="AL166" s="9">
        <f t="shared" si="84"/>
        <v>5398172</v>
      </c>
      <c r="AM166" s="9">
        <f t="shared" si="85"/>
        <v>5398172</v>
      </c>
      <c r="AN166" s="9">
        <f t="shared" si="94"/>
        <v>5398172</v>
      </c>
      <c r="AO166" s="291">
        <v>5624815</v>
      </c>
      <c r="AP166" s="9">
        <f t="shared" si="95"/>
        <v>226643</v>
      </c>
      <c r="AQ166" s="297" t="str">
        <f t="shared" si="96"/>
        <v>No</v>
      </c>
      <c r="AR166" s="291">
        <v>5500105</v>
      </c>
      <c r="AS166" s="291">
        <f t="shared" si="86"/>
        <v>18879.3619</v>
      </c>
      <c r="AT166" s="291">
        <f t="shared" si="87"/>
        <v>5481225.6381000001</v>
      </c>
      <c r="AU166" s="291">
        <f t="shared" si="88"/>
        <v>5481225.6381000001</v>
      </c>
      <c r="AV166" s="291"/>
      <c r="AW166" s="291">
        <f t="shared" si="97"/>
        <v>5462346.2762000002</v>
      </c>
      <c r="AX166" s="291">
        <f t="shared" si="98"/>
        <v>5443466.9143000003</v>
      </c>
      <c r="AY166" s="291">
        <f t="shared" si="98"/>
        <v>5424587.5524000004</v>
      </c>
      <c r="AZ166" s="291">
        <f t="shared" si="98"/>
        <v>5405708.1905000005</v>
      </c>
      <c r="BA166" s="291">
        <f t="shared" si="98"/>
        <v>5386828.8286000006</v>
      </c>
      <c r="BB166" s="291">
        <f t="shared" si="98"/>
        <v>5367949.4667000007</v>
      </c>
      <c r="BC166" s="291">
        <f t="shared" si="99"/>
        <v>5398172</v>
      </c>
      <c r="BD166" s="298"/>
      <c r="BE166" s="291">
        <f t="shared" si="71"/>
        <v>5462346.2762000002</v>
      </c>
      <c r="BF166" s="291">
        <f t="shared" si="71"/>
        <v>5443466.9143000003</v>
      </c>
      <c r="BG166" s="291">
        <f t="shared" si="71"/>
        <v>5424587.5524000004</v>
      </c>
      <c r="BH166" s="291">
        <f t="shared" si="71"/>
        <v>5405708.1905000005</v>
      </c>
      <c r="BI166" s="291">
        <f t="shared" si="71"/>
        <v>5386828.8286000006</v>
      </c>
      <c r="BJ166" s="291">
        <f t="shared" si="71"/>
        <v>5367949.4667000007</v>
      </c>
      <c r="BK166" s="291">
        <f t="shared" si="71"/>
        <v>5398172</v>
      </c>
      <c r="BL166" s="298"/>
      <c r="BM166" s="298"/>
      <c r="BN166" s="298"/>
      <c r="BO166" s="298"/>
    </row>
    <row r="167" spans="1:67" x14ac:dyDescent="0.15">
      <c r="A167" s="10" t="s">
        <v>32</v>
      </c>
      <c r="B167" s="10"/>
      <c r="C167" s="276">
        <v>1</v>
      </c>
      <c r="D167" s="276" t="str">
        <f t="shared" si="89"/>
        <v>Yes</v>
      </c>
      <c r="E167" s="276"/>
      <c r="F167" s="276"/>
      <c r="G167" s="8">
        <v>9</v>
      </c>
      <c r="H167" s="1">
        <v>48</v>
      </c>
      <c r="I167" s="10">
        <v>141</v>
      </c>
      <c r="J167" s="7" t="s">
        <v>153</v>
      </c>
      <c r="K167" s="287"/>
      <c r="L167" s="1">
        <v>1008.95</v>
      </c>
      <c r="M167" s="288"/>
      <c r="N167" s="289"/>
      <c r="O167" s="1">
        <v>472</v>
      </c>
      <c r="P167" s="290">
        <f t="shared" si="72"/>
        <v>0.46781307299667968</v>
      </c>
      <c r="Q167" s="290">
        <f t="shared" si="73"/>
        <v>0</v>
      </c>
      <c r="R167" s="291">
        <f t="shared" si="74"/>
        <v>0</v>
      </c>
      <c r="S167" s="291">
        <f t="shared" si="90"/>
        <v>0</v>
      </c>
      <c r="T167" s="1">
        <v>1</v>
      </c>
      <c r="U167" s="1">
        <f t="shared" si="91"/>
        <v>0.15</v>
      </c>
      <c r="V167" s="292">
        <f t="shared" si="75"/>
        <v>141.6</v>
      </c>
      <c r="W167" s="254">
        <f t="shared" si="76"/>
        <v>1150.7</v>
      </c>
      <c r="X167" s="1">
        <v>986522703.33000004</v>
      </c>
      <c r="Y167" s="1">
        <v>9288</v>
      </c>
      <c r="Z167" s="264">
        <f t="shared" si="77"/>
        <v>106214.76</v>
      </c>
      <c r="AA167" s="293">
        <f t="shared" si="78"/>
        <v>0.56890600000000002</v>
      </c>
      <c r="AB167" s="1">
        <v>77267</v>
      </c>
      <c r="AC167" s="293">
        <f t="shared" si="79"/>
        <v>0.671014</v>
      </c>
      <c r="AD167" s="293">
        <f t="shared" si="80"/>
        <v>0.40046199999999998</v>
      </c>
      <c r="AE167" s="294">
        <f t="shared" si="81"/>
        <v>0.40046199999999998</v>
      </c>
      <c r="AF167" s="295">
        <f t="shared" si="92"/>
        <v>0</v>
      </c>
      <c r="AG167" s="296">
        <f t="shared" si="93"/>
        <v>0.40046199999999998</v>
      </c>
      <c r="AH167" s="1">
        <v>0</v>
      </c>
      <c r="AI167" s="1">
        <v>0</v>
      </c>
      <c r="AJ167" s="254">
        <f t="shared" si="82"/>
        <v>0</v>
      </c>
      <c r="AK167" s="9">
        <f t="shared" si="83"/>
        <v>0</v>
      </c>
      <c r="AL167" s="9">
        <f t="shared" si="84"/>
        <v>5310854</v>
      </c>
      <c r="AM167" s="9">
        <f t="shared" si="85"/>
        <v>5310854</v>
      </c>
      <c r="AN167" s="9">
        <f t="shared" si="94"/>
        <v>7534704</v>
      </c>
      <c r="AO167" s="291">
        <v>7534704</v>
      </c>
      <c r="AP167" s="9">
        <f t="shared" si="95"/>
        <v>2223850</v>
      </c>
      <c r="AQ167" s="297" t="str">
        <f t="shared" si="96"/>
        <v>No</v>
      </c>
      <c r="AR167" s="291">
        <v>7534704</v>
      </c>
      <c r="AS167" s="291">
        <f t="shared" si="86"/>
        <v>185246.70499999999</v>
      </c>
      <c r="AT167" s="291">
        <f t="shared" si="87"/>
        <v>7349457.2949999999</v>
      </c>
      <c r="AU167" s="291">
        <f t="shared" si="88"/>
        <v>7534704</v>
      </c>
      <c r="AV167" s="291"/>
      <c r="AW167" s="291">
        <f t="shared" si="97"/>
        <v>7349457.2949999999</v>
      </c>
      <c r="AX167" s="291">
        <f t="shared" si="98"/>
        <v>7164210.5899999999</v>
      </c>
      <c r="AY167" s="291">
        <f t="shared" si="98"/>
        <v>6978963.8849999998</v>
      </c>
      <c r="AZ167" s="291">
        <f t="shared" si="98"/>
        <v>6793717.1799999997</v>
      </c>
      <c r="BA167" s="291">
        <f t="shared" si="98"/>
        <v>6608470.4749999996</v>
      </c>
      <c r="BB167" s="291">
        <f t="shared" si="98"/>
        <v>6423223.7699999996</v>
      </c>
      <c r="BC167" s="291">
        <f t="shared" si="99"/>
        <v>5310854</v>
      </c>
      <c r="BD167" s="298"/>
      <c r="BE167" s="291">
        <f t="shared" si="71"/>
        <v>7534704</v>
      </c>
      <c r="BF167" s="291">
        <f t="shared" si="71"/>
        <v>7534704</v>
      </c>
      <c r="BG167" s="291">
        <f t="shared" si="71"/>
        <v>7534704</v>
      </c>
      <c r="BH167" s="291">
        <f t="shared" si="71"/>
        <v>7534704</v>
      </c>
      <c r="BI167" s="291">
        <f t="shared" si="71"/>
        <v>7534704</v>
      </c>
      <c r="BJ167" s="291">
        <f t="shared" si="71"/>
        <v>7534704</v>
      </c>
      <c r="BK167" s="291">
        <f t="shared" si="71"/>
        <v>7534704</v>
      </c>
      <c r="BL167" s="298"/>
      <c r="BM167" s="298"/>
      <c r="BN167" s="298"/>
      <c r="BO167" s="298"/>
    </row>
    <row r="168" spans="1:67" x14ac:dyDescent="0.15">
      <c r="A168" s="10" t="s">
        <v>4</v>
      </c>
      <c r="B168" s="10"/>
      <c r="C168" s="276"/>
      <c r="D168" s="276" t="str">
        <f t="shared" si="89"/>
        <v>No</v>
      </c>
      <c r="E168" s="276"/>
      <c r="F168" s="276"/>
      <c r="G168" s="8">
        <v>5</v>
      </c>
      <c r="H168" s="1">
        <v>102</v>
      </c>
      <c r="I168" s="10">
        <v>142</v>
      </c>
      <c r="J168" s="7" t="s">
        <v>154</v>
      </c>
      <c r="K168" s="287"/>
      <c r="L168" s="1">
        <v>2413.08</v>
      </c>
      <c r="M168" s="288"/>
      <c r="N168" s="289"/>
      <c r="O168" s="1">
        <v>328</v>
      </c>
      <c r="P168" s="290">
        <f t="shared" si="72"/>
        <v>0.13592587067150697</v>
      </c>
      <c r="Q168" s="290">
        <f t="shared" si="73"/>
        <v>0</v>
      </c>
      <c r="R168" s="291">
        <f t="shared" si="74"/>
        <v>0</v>
      </c>
      <c r="S168" s="291">
        <f t="shared" si="90"/>
        <v>0</v>
      </c>
      <c r="T168" s="1">
        <v>13</v>
      </c>
      <c r="U168" s="1">
        <f t="shared" si="91"/>
        <v>1.95</v>
      </c>
      <c r="V168" s="292">
        <f t="shared" si="75"/>
        <v>98.4</v>
      </c>
      <c r="W168" s="254">
        <f t="shared" si="76"/>
        <v>2513.4299999999998</v>
      </c>
      <c r="X168" s="1">
        <v>1860457595.6700001</v>
      </c>
      <c r="Y168" s="1">
        <v>14722</v>
      </c>
      <c r="Z168" s="264">
        <f t="shared" si="77"/>
        <v>126372.61</v>
      </c>
      <c r="AA168" s="293">
        <f t="shared" si="78"/>
        <v>0.676875</v>
      </c>
      <c r="AB168" s="1">
        <v>112740</v>
      </c>
      <c r="AC168" s="293">
        <f t="shared" si="79"/>
        <v>0.979074</v>
      </c>
      <c r="AD168" s="293">
        <f t="shared" si="80"/>
        <v>0.232465</v>
      </c>
      <c r="AE168" s="294">
        <f t="shared" si="81"/>
        <v>0.232465</v>
      </c>
      <c r="AF168" s="295">
        <f t="shared" si="92"/>
        <v>0</v>
      </c>
      <c r="AG168" s="296">
        <f t="shared" si="93"/>
        <v>0.232465</v>
      </c>
      <c r="AH168" s="1">
        <v>0</v>
      </c>
      <c r="AI168" s="1">
        <v>0</v>
      </c>
      <c r="AJ168" s="254">
        <f t="shared" si="82"/>
        <v>0</v>
      </c>
      <c r="AK168" s="9">
        <f t="shared" si="83"/>
        <v>0</v>
      </c>
      <c r="AL168" s="9">
        <f t="shared" si="84"/>
        <v>6733879</v>
      </c>
      <c r="AM168" s="9">
        <f t="shared" si="85"/>
        <v>6733879</v>
      </c>
      <c r="AN168" s="9">
        <f t="shared" si="94"/>
        <v>6733879</v>
      </c>
      <c r="AO168" s="291">
        <v>10699177</v>
      </c>
      <c r="AP168" s="9">
        <f t="shared" si="95"/>
        <v>3965298</v>
      </c>
      <c r="AQ168" s="297" t="str">
        <f t="shared" si="96"/>
        <v>No</v>
      </c>
      <c r="AR168" s="291">
        <v>9435837</v>
      </c>
      <c r="AS168" s="291">
        <f t="shared" si="86"/>
        <v>330309.32339999999</v>
      </c>
      <c r="AT168" s="291">
        <f t="shared" si="87"/>
        <v>9105527.6765999999</v>
      </c>
      <c r="AU168" s="291">
        <f t="shared" si="88"/>
        <v>9105527.6765999999</v>
      </c>
      <c r="AV168" s="291"/>
      <c r="AW168" s="291">
        <f t="shared" si="97"/>
        <v>8775218.3531999998</v>
      </c>
      <c r="AX168" s="291">
        <f t="shared" si="98"/>
        <v>8444909.0297999997</v>
      </c>
      <c r="AY168" s="291">
        <f t="shared" si="98"/>
        <v>8114599.7063999996</v>
      </c>
      <c r="AZ168" s="291">
        <f t="shared" si="98"/>
        <v>7784290.3829999994</v>
      </c>
      <c r="BA168" s="291">
        <f t="shared" si="98"/>
        <v>7453981.0595999993</v>
      </c>
      <c r="BB168" s="291">
        <f t="shared" si="98"/>
        <v>7123671.7361999992</v>
      </c>
      <c r="BC168" s="291">
        <f t="shared" si="99"/>
        <v>6733879</v>
      </c>
      <c r="BD168" s="298"/>
      <c r="BE168" s="291">
        <f t="shared" si="71"/>
        <v>8775218.3531999998</v>
      </c>
      <c r="BF168" s="291">
        <f t="shared" si="71"/>
        <v>8444909.0297999997</v>
      </c>
      <c r="BG168" s="291">
        <f t="shared" si="71"/>
        <v>8114599.7063999996</v>
      </c>
      <c r="BH168" s="291">
        <f t="shared" si="71"/>
        <v>7784290.3829999994</v>
      </c>
      <c r="BI168" s="291">
        <f t="shared" si="71"/>
        <v>7453981.0595999993</v>
      </c>
      <c r="BJ168" s="291">
        <f t="shared" si="71"/>
        <v>7123671.7361999992</v>
      </c>
      <c r="BK168" s="291">
        <f t="shared" si="71"/>
        <v>6733879</v>
      </c>
      <c r="BL168" s="298"/>
      <c r="BM168" s="298"/>
      <c r="BN168" s="298"/>
      <c r="BO168" s="298"/>
    </row>
    <row r="169" spans="1:67" x14ac:dyDescent="0.15">
      <c r="A169" s="10" t="s">
        <v>19</v>
      </c>
      <c r="B169" s="10"/>
      <c r="C169" s="276">
        <v>1</v>
      </c>
      <c r="D169" s="276" t="str">
        <f t="shared" si="89"/>
        <v>Yes</v>
      </c>
      <c r="E169" s="276"/>
      <c r="F169" s="276"/>
      <c r="G169" s="8">
        <v>10</v>
      </c>
      <c r="H169" s="1">
        <v>15</v>
      </c>
      <c r="I169" s="10">
        <v>143</v>
      </c>
      <c r="J169" s="7" t="s">
        <v>155</v>
      </c>
      <c r="K169" s="287"/>
      <c r="L169" s="1">
        <v>4232.4399999999996</v>
      </c>
      <c r="M169" s="300"/>
      <c r="N169" s="289"/>
      <c r="O169" s="1">
        <v>2842</v>
      </c>
      <c r="P169" s="290">
        <f t="shared" si="72"/>
        <v>0.67148028087816958</v>
      </c>
      <c r="Q169" s="290">
        <f t="shared" si="73"/>
        <v>0</v>
      </c>
      <c r="R169" s="291">
        <f t="shared" si="74"/>
        <v>0</v>
      </c>
      <c r="S169" s="291">
        <f t="shared" si="90"/>
        <v>0</v>
      </c>
      <c r="T169" s="1">
        <v>394</v>
      </c>
      <c r="U169" s="1">
        <f t="shared" si="91"/>
        <v>59.099999999999994</v>
      </c>
      <c r="V169" s="292">
        <f t="shared" si="75"/>
        <v>852.6</v>
      </c>
      <c r="W169" s="254">
        <f t="shared" si="76"/>
        <v>5144.1400000000003</v>
      </c>
      <c r="X169" s="1">
        <v>2795803084.6700001</v>
      </c>
      <c r="Y169" s="1">
        <v>34538</v>
      </c>
      <c r="Z169" s="264">
        <f t="shared" si="77"/>
        <v>80948.61</v>
      </c>
      <c r="AA169" s="293">
        <f t="shared" si="78"/>
        <v>0.43357499999999999</v>
      </c>
      <c r="AB169" s="1">
        <v>61313</v>
      </c>
      <c r="AC169" s="293">
        <f t="shared" si="79"/>
        <v>0.53246400000000005</v>
      </c>
      <c r="AD169" s="293">
        <f t="shared" si="80"/>
        <v>0.53675799999999996</v>
      </c>
      <c r="AE169" s="294">
        <f t="shared" si="81"/>
        <v>0.53675799999999996</v>
      </c>
      <c r="AF169" s="295">
        <f t="shared" si="92"/>
        <v>0.04</v>
      </c>
      <c r="AG169" s="296">
        <f t="shared" si="93"/>
        <v>0.57675799999999999</v>
      </c>
      <c r="AH169" s="1">
        <v>0</v>
      </c>
      <c r="AI169" s="1">
        <v>0</v>
      </c>
      <c r="AJ169" s="254">
        <f t="shared" si="82"/>
        <v>0</v>
      </c>
      <c r="AK169" s="9">
        <f t="shared" si="83"/>
        <v>0</v>
      </c>
      <c r="AL169" s="9">
        <f t="shared" si="84"/>
        <v>34193798</v>
      </c>
      <c r="AM169" s="9">
        <f t="shared" si="85"/>
        <v>34193798</v>
      </c>
      <c r="AN169" s="9">
        <f t="shared" si="94"/>
        <v>34193798</v>
      </c>
      <c r="AO169" s="291">
        <v>24482865</v>
      </c>
      <c r="AP169" s="9">
        <f t="shared" si="95"/>
        <v>9710933</v>
      </c>
      <c r="AQ169" s="297" t="str">
        <f t="shared" si="96"/>
        <v>Yes</v>
      </c>
      <c r="AR169" s="291">
        <v>25922985</v>
      </c>
      <c r="AS169" s="291">
        <f t="shared" si="86"/>
        <v>1035185.4578</v>
      </c>
      <c r="AT169" s="291">
        <f t="shared" si="87"/>
        <v>26958170.457800001</v>
      </c>
      <c r="AU169" s="291">
        <f t="shared" si="88"/>
        <v>26958170.457800001</v>
      </c>
      <c r="AV169" s="291"/>
      <c r="AW169" s="291">
        <f t="shared" si="97"/>
        <v>27993355.915600002</v>
      </c>
      <c r="AX169" s="291">
        <f t="shared" si="98"/>
        <v>29028541.373400003</v>
      </c>
      <c r="AY169" s="291">
        <f t="shared" si="98"/>
        <v>30063726.831200004</v>
      </c>
      <c r="AZ169" s="291">
        <f t="shared" si="98"/>
        <v>31098912.289000005</v>
      </c>
      <c r="BA169" s="291">
        <f t="shared" si="98"/>
        <v>32134097.746800005</v>
      </c>
      <c r="BB169" s="291">
        <f t="shared" si="98"/>
        <v>33169283.204600006</v>
      </c>
      <c r="BC169" s="291">
        <f t="shared" si="99"/>
        <v>34193798</v>
      </c>
      <c r="BD169" s="298"/>
      <c r="BE169" s="291">
        <f t="shared" si="71"/>
        <v>27993355.915600002</v>
      </c>
      <c r="BF169" s="291">
        <f t="shared" si="71"/>
        <v>29028541.373400003</v>
      </c>
      <c r="BG169" s="291">
        <f t="shared" si="71"/>
        <v>30063726.831200004</v>
      </c>
      <c r="BH169" s="291">
        <f t="shared" si="71"/>
        <v>31098912.289000005</v>
      </c>
      <c r="BI169" s="291">
        <f t="shared" si="71"/>
        <v>32134097.746800005</v>
      </c>
      <c r="BJ169" s="291">
        <f t="shared" si="71"/>
        <v>33169283.204600006</v>
      </c>
      <c r="BK169" s="291">
        <f t="shared" si="71"/>
        <v>34193798</v>
      </c>
      <c r="BL169" s="298"/>
      <c r="BM169" s="298"/>
      <c r="BN169" s="298"/>
      <c r="BO169" s="298"/>
    </row>
    <row r="170" spans="1:67" x14ac:dyDescent="0.15">
      <c r="A170" s="10" t="s">
        <v>10</v>
      </c>
      <c r="B170" s="10"/>
      <c r="C170" s="276"/>
      <c r="D170" s="276" t="str">
        <f t="shared" si="89"/>
        <v>No</v>
      </c>
      <c r="E170" s="276"/>
      <c r="F170" s="276"/>
      <c r="G170" s="8">
        <v>3</v>
      </c>
      <c r="H170" s="1">
        <v>82</v>
      </c>
      <c r="I170" s="10">
        <v>144</v>
      </c>
      <c r="J170" s="7" t="s">
        <v>156</v>
      </c>
      <c r="K170" s="287"/>
      <c r="L170" s="1">
        <v>6647.98</v>
      </c>
      <c r="M170" s="288"/>
      <c r="N170" s="289"/>
      <c r="O170" s="1">
        <v>1140</v>
      </c>
      <c r="P170" s="290">
        <f t="shared" si="72"/>
        <v>0.17148066029079512</v>
      </c>
      <c r="Q170" s="290">
        <f t="shared" si="73"/>
        <v>0</v>
      </c>
      <c r="R170" s="291">
        <f t="shared" si="74"/>
        <v>0</v>
      </c>
      <c r="S170" s="291">
        <f t="shared" si="90"/>
        <v>0</v>
      </c>
      <c r="T170" s="1">
        <v>243</v>
      </c>
      <c r="U170" s="1">
        <f t="shared" si="91"/>
        <v>36.449999999999996</v>
      </c>
      <c r="V170" s="292">
        <f t="shared" si="75"/>
        <v>342</v>
      </c>
      <c r="W170" s="254">
        <f t="shared" si="76"/>
        <v>7026.4299999999994</v>
      </c>
      <c r="X170" s="1">
        <v>6807490435.3299999</v>
      </c>
      <c r="Y170" s="1">
        <v>36154</v>
      </c>
      <c r="Z170" s="264">
        <f t="shared" si="77"/>
        <v>188291.49</v>
      </c>
      <c r="AA170" s="293">
        <f t="shared" si="78"/>
        <v>1.0085230000000001</v>
      </c>
      <c r="AB170" s="1">
        <v>115346</v>
      </c>
      <c r="AC170" s="293">
        <f t="shared" si="79"/>
        <v>1.001706</v>
      </c>
      <c r="AD170" s="293">
        <f t="shared" si="80"/>
        <v>-6.4780000000000003E-3</v>
      </c>
      <c r="AE170" s="294">
        <f t="shared" si="81"/>
        <v>0.01</v>
      </c>
      <c r="AF170" s="295">
        <f t="shared" si="92"/>
        <v>0</v>
      </c>
      <c r="AG170" s="296">
        <f t="shared" si="93"/>
        <v>0.01</v>
      </c>
      <c r="AH170" s="1">
        <v>0</v>
      </c>
      <c r="AI170" s="1">
        <v>0</v>
      </c>
      <c r="AJ170" s="254">
        <f t="shared" si="82"/>
        <v>0</v>
      </c>
      <c r="AK170" s="9">
        <f t="shared" si="83"/>
        <v>0</v>
      </c>
      <c r="AL170" s="9">
        <f t="shared" si="84"/>
        <v>809796</v>
      </c>
      <c r="AM170" s="9">
        <f t="shared" si="85"/>
        <v>809796</v>
      </c>
      <c r="AN170" s="9">
        <f t="shared" si="94"/>
        <v>809796</v>
      </c>
      <c r="AO170" s="291">
        <v>3418401</v>
      </c>
      <c r="AP170" s="9">
        <f t="shared" si="95"/>
        <v>2608605</v>
      </c>
      <c r="AQ170" s="297" t="str">
        <f t="shared" si="96"/>
        <v>No</v>
      </c>
      <c r="AR170" s="291">
        <v>2540838</v>
      </c>
      <c r="AS170" s="291">
        <f t="shared" si="86"/>
        <v>217296.7965</v>
      </c>
      <c r="AT170" s="291">
        <f t="shared" si="87"/>
        <v>2323541.2034999998</v>
      </c>
      <c r="AU170" s="291">
        <f t="shared" si="88"/>
        <v>2323541.2034999998</v>
      </c>
      <c r="AV170" s="291"/>
      <c r="AW170" s="291">
        <f t="shared" si="97"/>
        <v>2106244.4069999997</v>
      </c>
      <c r="AX170" s="291">
        <f t="shared" si="98"/>
        <v>1888947.6104999997</v>
      </c>
      <c r="AY170" s="291">
        <f t="shared" si="98"/>
        <v>1671650.8139999998</v>
      </c>
      <c r="AZ170" s="291">
        <f t="shared" si="98"/>
        <v>1454354.0174999998</v>
      </c>
      <c r="BA170" s="291">
        <f t="shared" si="98"/>
        <v>1237057.2209999999</v>
      </c>
      <c r="BB170" s="291">
        <f t="shared" si="98"/>
        <v>1019760.4245</v>
      </c>
      <c r="BC170" s="291">
        <f t="shared" si="99"/>
        <v>809796</v>
      </c>
      <c r="BD170" s="298"/>
      <c r="BE170" s="291">
        <f t="shared" si="71"/>
        <v>2106244.4069999997</v>
      </c>
      <c r="BF170" s="291">
        <f t="shared" si="71"/>
        <v>1888947.6104999997</v>
      </c>
      <c r="BG170" s="291">
        <f t="shared" si="71"/>
        <v>1671650.8139999998</v>
      </c>
      <c r="BH170" s="291">
        <f t="shared" si="71"/>
        <v>1454354.0174999998</v>
      </c>
      <c r="BI170" s="291">
        <f t="shared" si="71"/>
        <v>1237057.2209999999</v>
      </c>
      <c r="BJ170" s="291">
        <f t="shared" si="71"/>
        <v>1019760.4245</v>
      </c>
      <c r="BK170" s="291">
        <f t="shared" si="71"/>
        <v>809796</v>
      </c>
      <c r="BL170" s="298"/>
      <c r="BM170" s="298"/>
      <c r="BN170" s="298"/>
      <c r="BO170" s="298"/>
    </row>
    <row r="171" spans="1:67" x14ac:dyDescent="0.15">
      <c r="A171" s="10" t="s">
        <v>8</v>
      </c>
      <c r="B171" s="10"/>
      <c r="C171" s="276"/>
      <c r="D171" s="276" t="str">
        <f t="shared" si="89"/>
        <v>No</v>
      </c>
      <c r="E171" s="276"/>
      <c r="F171" s="276"/>
      <c r="G171" s="8">
        <v>4</v>
      </c>
      <c r="H171" s="1">
        <v>121</v>
      </c>
      <c r="I171" s="10">
        <v>145</v>
      </c>
      <c r="J171" s="7" t="s">
        <v>157</v>
      </c>
      <c r="K171" s="287"/>
      <c r="L171" s="1">
        <v>82.21</v>
      </c>
      <c r="M171" s="288"/>
      <c r="N171" s="289"/>
      <c r="O171" s="1">
        <v>6</v>
      </c>
      <c r="P171" s="290">
        <f t="shared" si="72"/>
        <v>7.2983821919474529E-2</v>
      </c>
      <c r="Q171" s="290">
        <f t="shared" si="73"/>
        <v>0</v>
      </c>
      <c r="R171" s="291">
        <f t="shared" si="74"/>
        <v>0</v>
      </c>
      <c r="S171" s="291">
        <f t="shared" si="90"/>
        <v>0</v>
      </c>
      <c r="T171" s="1">
        <v>0</v>
      </c>
      <c r="U171" s="1">
        <f t="shared" si="91"/>
        <v>0</v>
      </c>
      <c r="V171" s="292">
        <f t="shared" si="75"/>
        <v>1.8</v>
      </c>
      <c r="W171" s="254">
        <f t="shared" si="76"/>
        <v>84.009999999999991</v>
      </c>
      <c r="X171" s="1">
        <v>131968883</v>
      </c>
      <c r="Y171" s="1">
        <v>839</v>
      </c>
      <c r="Z171" s="264">
        <f t="shared" si="77"/>
        <v>157293.07</v>
      </c>
      <c r="AA171" s="293">
        <f t="shared" si="78"/>
        <v>0.84248999999999996</v>
      </c>
      <c r="AB171" s="1">
        <v>93750</v>
      </c>
      <c r="AC171" s="293">
        <f t="shared" si="79"/>
        <v>0.81415800000000005</v>
      </c>
      <c r="AD171" s="293">
        <f t="shared" si="80"/>
        <v>0.16600999999999999</v>
      </c>
      <c r="AE171" s="294">
        <f t="shared" si="81"/>
        <v>0.16600999999999999</v>
      </c>
      <c r="AF171" s="295">
        <f t="shared" si="92"/>
        <v>0</v>
      </c>
      <c r="AG171" s="296">
        <f t="shared" si="93"/>
        <v>0.16600999999999999</v>
      </c>
      <c r="AH171" s="1">
        <v>0</v>
      </c>
      <c r="AI171" s="1">
        <v>0</v>
      </c>
      <c r="AJ171" s="254">
        <f t="shared" si="82"/>
        <v>0</v>
      </c>
      <c r="AK171" s="9">
        <f t="shared" si="83"/>
        <v>0</v>
      </c>
      <c r="AL171" s="9">
        <f t="shared" si="84"/>
        <v>160733</v>
      </c>
      <c r="AM171" s="9">
        <f t="shared" si="85"/>
        <v>160733</v>
      </c>
      <c r="AN171" s="9">
        <f t="shared" si="94"/>
        <v>160733</v>
      </c>
      <c r="AO171" s="291">
        <v>237166</v>
      </c>
      <c r="AP171" s="9">
        <f t="shared" si="95"/>
        <v>76433</v>
      </c>
      <c r="AQ171" s="297" t="str">
        <f t="shared" si="96"/>
        <v>No</v>
      </c>
      <c r="AR171" s="291">
        <v>218095</v>
      </c>
      <c r="AS171" s="291">
        <f t="shared" si="86"/>
        <v>6366.8688999999995</v>
      </c>
      <c r="AT171" s="291">
        <f t="shared" si="87"/>
        <v>211728.1311</v>
      </c>
      <c r="AU171" s="291">
        <f t="shared" si="88"/>
        <v>211728.1311</v>
      </c>
      <c r="AV171" s="291"/>
      <c r="AW171" s="291">
        <f t="shared" si="97"/>
        <v>205361.2622</v>
      </c>
      <c r="AX171" s="291">
        <f t="shared" si="98"/>
        <v>198994.3933</v>
      </c>
      <c r="AY171" s="291">
        <f t="shared" si="98"/>
        <v>192627.52439999999</v>
      </c>
      <c r="AZ171" s="291">
        <f t="shared" si="98"/>
        <v>186260.65549999999</v>
      </c>
      <c r="BA171" s="291">
        <f t="shared" si="98"/>
        <v>179893.78659999999</v>
      </c>
      <c r="BB171" s="291">
        <f t="shared" si="98"/>
        <v>173526.91769999999</v>
      </c>
      <c r="BC171" s="291">
        <f t="shared" si="99"/>
        <v>160733</v>
      </c>
      <c r="BD171" s="298"/>
      <c r="BE171" s="291">
        <f t="shared" si="71"/>
        <v>205361.2622</v>
      </c>
      <c r="BF171" s="291">
        <f t="shared" si="71"/>
        <v>198994.3933</v>
      </c>
      <c r="BG171" s="291">
        <f t="shared" si="71"/>
        <v>192627.52439999999</v>
      </c>
      <c r="BH171" s="291">
        <f t="shared" si="71"/>
        <v>186260.65549999999</v>
      </c>
      <c r="BI171" s="291">
        <f t="shared" si="71"/>
        <v>179893.78659999999</v>
      </c>
      <c r="BJ171" s="291">
        <f t="shared" si="71"/>
        <v>173526.91769999999</v>
      </c>
      <c r="BK171" s="291">
        <f t="shared" si="71"/>
        <v>160733</v>
      </c>
      <c r="BL171" s="298"/>
      <c r="BM171" s="298"/>
      <c r="BN171" s="298"/>
      <c r="BO171" s="298"/>
    </row>
    <row r="172" spans="1:67" x14ac:dyDescent="0.15">
      <c r="A172" s="10" t="s">
        <v>19</v>
      </c>
      <c r="B172" s="10"/>
      <c r="C172" s="276">
        <v>1</v>
      </c>
      <c r="D172" s="276" t="str">
        <f t="shared" si="89"/>
        <v>Yes</v>
      </c>
      <c r="E172" s="276">
        <v>1</v>
      </c>
      <c r="F172" s="276"/>
      <c r="G172" s="8">
        <v>9</v>
      </c>
      <c r="H172" s="1">
        <v>23</v>
      </c>
      <c r="I172" s="10">
        <v>146</v>
      </c>
      <c r="J172" s="7" t="s">
        <v>158</v>
      </c>
      <c r="K172" s="287"/>
      <c r="L172" s="1">
        <v>3406.64</v>
      </c>
      <c r="M172" s="300"/>
      <c r="N172" s="289"/>
      <c r="O172" s="1">
        <v>1824</v>
      </c>
      <c r="P172" s="290">
        <f t="shared" si="72"/>
        <v>0.53542493483314935</v>
      </c>
      <c r="Q172" s="290">
        <f t="shared" si="73"/>
        <v>0</v>
      </c>
      <c r="R172" s="291">
        <f t="shared" si="74"/>
        <v>0</v>
      </c>
      <c r="S172" s="291">
        <f t="shared" si="90"/>
        <v>0</v>
      </c>
      <c r="T172" s="1">
        <v>126</v>
      </c>
      <c r="U172" s="1">
        <f t="shared" si="91"/>
        <v>18.899999999999999</v>
      </c>
      <c r="V172" s="292">
        <f t="shared" si="75"/>
        <v>547.20000000000005</v>
      </c>
      <c r="W172" s="254">
        <f t="shared" si="76"/>
        <v>3972.7400000000002</v>
      </c>
      <c r="X172" s="1">
        <v>2673503802</v>
      </c>
      <c r="Y172" s="1">
        <v>29289</v>
      </c>
      <c r="Z172" s="264">
        <f t="shared" si="77"/>
        <v>91280.13</v>
      </c>
      <c r="AA172" s="293">
        <f t="shared" si="78"/>
        <v>0.48891299999999999</v>
      </c>
      <c r="AB172" s="1">
        <v>60648</v>
      </c>
      <c r="AC172" s="293">
        <f t="shared" si="79"/>
        <v>0.52668899999999996</v>
      </c>
      <c r="AD172" s="293">
        <f t="shared" si="80"/>
        <v>0.49975399999999998</v>
      </c>
      <c r="AE172" s="294">
        <f t="shared" si="81"/>
        <v>0.49975399999999998</v>
      </c>
      <c r="AF172" s="295">
        <f t="shared" si="92"/>
        <v>0</v>
      </c>
      <c r="AG172" s="296">
        <f t="shared" si="93"/>
        <v>0.49975399999999998</v>
      </c>
      <c r="AH172" s="1">
        <v>0</v>
      </c>
      <c r="AI172" s="1">
        <v>0</v>
      </c>
      <c r="AJ172" s="254">
        <f t="shared" si="82"/>
        <v>0</v>
      </c>
      <c r="AK172" s="9">
        <f t="shared" si="83"/>
        <v>0</v>
      </c>
      <c r="AL172" s="9">
        <f t="shared" si="84"/>
        <v>22881651</v>
      </c>
      <c r="AM172" s="9">
        <f t="shared" si="85"/>
        <v>22881651</v>
      </c>
      <c r="AN172" s="9">
        <f t="shared" si="94"/>
        <v>22881651</v>
      </c>
      <c r="AO172" s="291">
        <v>19250233</v>
      </c>
      <c r="AP172" s="9">
        <f t="shared" si="95"/>
        <v>3631418</v>
      </c>
      <c r="AQ172" s="297" t="str">
        <f t="shared" si="96"/>
        <v>Yes</v>
      </c>
      <c r="AR172" s="291">
        <v>19782980</v>
      </c>
      <c r="AS172" s="291">
        <f t="shared" si="86"/>
        <v>387109.15879999998</v>
      </c>
      <c r="AT172" s="291">
        <f t="shared" si="87"/>
        <v>20170089.158799998</v>
      </c>
      <c r="AU172" s="291">
        <f t="shared" si="88"/>
        <v>20170089.158799998</v>
      </c>
      <c r="AV172" s="291"/>
      <c r="AW172" s="291">
        <f t="shared" si="97"/>
        <v>20557198.317599997</v>
      </c>
      <c r="AX172" s="291">
        <f t="shared" ref="AX172:BB187" si="100">IF($AQ172="Yes",AW172+$AS172,AW172-$AS172)</f>
        <v>20944307.476399995</v>
      </c>
      <c r="AY172" s="291">
        <f t="shared" si="100"/>
        <v>21331416.635199994</v>
      </c>
      <c r="AZ172" s="291">
        <f t="shared" si="100"/>
        <v>21718525.793999992</v>
      </c>
      <c r="BA172" s="291">
        <f t="shared" si="100"/>
        <v>22105634.952799991</v>
      </c>
      <c r="BB172" s="291">
        <f t="shared" si="100"/>
        <v>22492744.111599989</v>
      </c>
      <c r="BC172" s="291">
        <f t="shared" si="99"/>
        <v>22881651</v>
      </c>
      <c r="BD172" s="298"/>
      <c r="BE172" s="291">
        <f t="shared" si="71"/>
        <v>20557198.317599997</v>
      </c>
      <c r="BF172" s="291">
        <f t="shared" si="71"/>
        <v>20944307.476399995</v>
      </c>
      <c r="BG172" s="291">
        <f t="shared" si="71"/>
        <v>21331416.635199994</v>
      </c>
      <c r="BH172" s="291">
        <f t="shared" si="71"/>
        <v>21718525.793999992</v>
      </c>
      <c r="BI172" s="291">
        <f t="shared" si="71"/>
        <v>22105634.952799991</v>
      </c>
      <c r="BJ172" s="291">
        <f t="shared" si="71"/>
        <v>22492744.111599989</v>
      </c>
      <c r="BK172" s="291">
        <f t="shared" si="71"/>
        <v>22881651</v>
      </c>
      <c r="BL172" s="298"/>
      <c r="BM172" s="298"/>
      <c r="BN172" s="298"/>
      <c r="BO172" s="298"/>
    </row>
    <row r="173" spans="1:67" x14ac:dyDescent="0.15">
      <c r="A173" s="10" t="s">
        <v>32</v>
      </c>
      <c r="B173" s="10"/>
      <c r="C173" s="276"/>
      <c r="D173" s="276" t="str">
        <f t="shared" si="89"/>
        <v>No</v>
      </c>
      <c r="E173" s="276"/>
      <c r="F173" s="276"/>
      <c r="G173" s="8">
        <v>8</v>
      </c>
      <c r="H173" s="1">
        <v>50</v>
      </c>
      <c r="I173" s="10">
        <v>147</v>
      </c>
      <c r="J173" s="7" t="s">
        <v>159</v>
      </c>
      <c r="K173" s="287"/>
      <c r="L173" s="1">
        <v>332.5</v>
      </c>
      <c r="M173" s="300"/>
      <c r="N173" s="289"/>
      <c r="O173" s="1">
        <v>87</v>
      </c>
      <c r="P173" s="290">
        <f t="shared" si="72"/>
        <v>0.26165413533834586</v>
      </c>
      <c r="Q173" s="290">
        <f t="shared" si="73"/>
        <v>0</v>
      </c>
      <c r="R173" s="291">
        <f t="shared" si="74"/>
        <v>0</v>
      </c>
      <c r="S173" s="291">
        <f t="shared" si="90"/>
        <v>0</v>
      </c>
      <c r="T173" s="1">
        <v>0</v>
      </c>
      <c r="U173" s="1">
        <f t="shared" si="91"/>
        <v>0</v>
      </c>
      <c r="V173" s="292">
        <f t="shared" si="75"/>
        <v>26.1</v>
      </c>
      <c r="W173" s="254">
        <f t="shared" si="76"/>
        <v>358.6</v>
      </c>
      <c r="X173" s="1">
        <v>301496674</v>
      </c>
      <c r="Y173" s="1">
        <v>2558</v>
      </c>
      <c r="Z173" s="264">
        <f t="shared" si="77"/>
        <v>117864.22</v>
      </c>
      <c r="AA173" s="293">
        <f t="shared" si="78"/>
        <v>0.63130200000000003</v>
      </c>
      <c r="AB173" s="1">
        <v>81400</v>
      </c>
      <c r="AC173" s="293">
        <f t="shared" si="79"/>
        <v>0.70690600000000003</v>
      </c>
      <c r="AD173" s="293">
        <f t="shared" si="80"/>
        <v>0.34601700000000002</v>
      </c>
      <c r="AE173" s="294">
        <f t="shared" si="81"/>
        <v>0.34601700000000002</v>
      </c>
      <c r="AF173" s="295">
        <f t="shared" si="92"/>
        <v>0</v>
      </c>
      <c r="AG173" s="296">
        <f t="shared" si="93"/>
        <v>0.34601700000000002</v>
      </c>
      <c r="AH173" s="1">
        <v>0</v>
      </c>
      <c r="AI173" s="1">
        <v>0</v>
      </c>
      <c r="AJ173" s="254">
        <f t="shared" si="82"/>
        <v>0</v>
      </c>
      <c r="AK173" s="9">
        <f t="shared" si="83"/>
        <v>0</v>
      </c>
      <c r="AL173" s="9">
        <f t="shared" si="84"/>
        <v>1430042</v>
      </c>
      <c r="AM173" s="9">
        <f t="shared" si="85"/>
        <v>1430042</v>
      </c>
      <c r="AN173" s="9">
        <f t="shared" si="94"/>
        <v>1430042</v>
      </c>
      <c r="AO173" s="291">
        <v>2502621</v>
      </c>
      <c r="AP173" s="9">
        <f t="shared" si="95"/>
        <v>1072579</v>
      </c>
      <c r="AQ173" s="297" t="str">
        <f t="shared" si="96"/>
        <v>No</v>
      </c>
      <c r="AR173" s="291">
        <v>2206589</v>
      </c>
      <c r="AS173" s="291">
        <f t="shared" si="86"/>
        <v>89345.830700000006</v>
      </c>
      <c r="AT173" s="291">
        <f t="shared" si="87"/>
        <v>2117243.1693000002</v>
      </c>
      <c r="AU173" s="291">
        <f t="shared" si="88"/>
        <v>2117243.1693000002</v>
      </c>
      <c r="AV173" s="291"/>
      <c r="AW173" s="291">
        <f t="shared" si="97"/>
        <v>2027897.3386000001</v>
      </c>
      <c r="AX173" s="291">
        <f t="shared" si="100"/>
        <v>1938551.5079000001</v>
      </c>
      <c r="AY173" s="291">
        <f t="shared" si="100"/>
        <v>1849205.6772</v>
      </c>
      <c r="AZ173" s="291">
        <f t="shared" si="100"/>
        <v>1759859.8465</v>
      </c>
      <c r="BA173" s="291">
        <f t="shared" si="100"/>
        <v>1670514.0157999999</v>
      </c>
      <c r="BB173" s="291">
        <f t="shared" si="100"/>
        <v>1581168.1850999999</v>
      </c>
      <c r="BC173" s="291">
        <f t="shared" si="99"/>
        <v>1430042</v>
      </c>
      <c r="BD173" s="298"/>
      <c r="BE173" s="291">
        <f t="shared" si="71"/>
        <v>2027897.3386000001</v>
      </c>
      <c r="BF173" s="291">
        <f t="shared" si="71"/>
        <v>1938551.5079000001</v>
      </c>
      <c r="BG173" s="291">
        <f t="shared" si="71"/>
        <v>1849205.6772</v>
      </c>
      <c r="BH173" s="291">
        <f t="shared" si="71"/>
        <v>1759859.8465</v>
      </c>
      <c r="BI173" s="291">
        <f t="shared" si="71"/>
        <v>1670514.0157999999</v>
      </c>
      <c r="BJ173" s="291">
        <f t="shared" si="71"/>
        <v>1581168.1850999999</v>
      </c>
      <c r="BK173" s="291">
        <f t="shared" si="71"/>
        <v>1430042</v>
      </c>
      <c r="BL173" s="298"/>
      <c r="BM173" s="298"/>
      <c r="BN173" s="298"/>
      <c r="BO173" s="298"/>
    </row>
    <row r="174" spans="1:67" x14ac:dyDescent="0.15">
      <c r="A174" s="10" t="s">
        <v>14</v>
      </c>
      <c r="B174" s="10"/>
      <c r="C174" s="276"/>
      <c r="D174" s="276" t="str">
        <f t="shared" si="89"/>
        <v>No</v>
      </c>
      <c r="E174" s="276"/>
      <c r="F174" s="276"/>
      <c r="G174" s="8">
        <v>6</v>
      </c>
      <c r="H174" s="1">
        <v>84</v>
      </c>
      <c r="I174" s="10">
        <v>148</v>
      </c>
      <c r="J174" s="7" t="s">
        <v>160</v>
      </c>
      <c r="K174" s="287"/>
      <c r="L174" s="1">
        <v>5723.74</v>
      </c>
      <c r="M174" s="288"/>
      <c r="N174" s="289"/>
      <c r="O174" s="1">
        <v>1840</v>
      </c>
      <c r="P174" s="290">
        <f t="shared" si="72"/>
        <v>0.32146813097729809</v>
      </c>
      <c r="Q174" s="290">
        <f t="shared" si="73"/>
        <v>0</v>
      </c>
      <c r="R174" s="291">
        <f t="shared" si="74"/>
        <v>0</v>
      </c>
      <c r="S174" s="291">
        <f t="shared" si="90"/>
        <v>0</v>
      </c>
      <c r="T174" s="1">
        <v>347</v>
      </c>
      <c r="U174" s="1">
        <f t="shared" si="91"/>
        <v>52.05</v>
      </c>
      <c r="V174" s="292">
        <f t="shared" si="75"/>
        <v>552</v>
      </c>
      <c r="W174" s="254">
        <f t="shared" si="76"/>
        <v>6327.79</v>
      </c>
      <c r="X174" s="1">
        <v>6179996621.6700001</v>
      </c>
      <c r="Y174" s="1">
        <v>44741</v>
      </c>
      <c r="Z174" s="264">
        <f t="shared" si="77"/>
        <v>138128.26</v>
      </c>
      <c r="AA174" s="293">
        <f t="shared" si="78"/>
        <v>0.73984000000000005</v>
      </c>
      <c r="AB174" s="1">
        <v>77128</v>
      </c>
      <c r="AC174" s="293">
        <f t="shared" si="79"/>
        <v>0.66980700000000004</v>
      </c>
      <c r="AD174" s="293">
        <f t="shared" si="80"/>
        <v>0.28116999999999998</v>
      </c>
      <c r="AE174" s="294">
        <f t="shared" si="81"/>
        <v>0.28116999999999998</v>
      </c>
      <c r="AF174" s="295">
        <f t="shared" si="92"/>
        <v>0</v>
      </c>
      <c r="AG174" s="296">
        <f t="shared" si="93"/>
        <v>0.28116999999999998</v>
      </c>
      <c r="AH174" s="1">
        <v>0</v>
      </c>
      <c r="AI174" s="1">
        <v>0</v>
      </c>
      <c r="AJ174" s="254">
        <f t="shared" si="82"/>
        <v>0</v>
      </c>
      <c r="AK174" s="9">
        <f t="shared" si="83"/>
        <v>0</v>
      </c>
      <c r="AL174" s="9">
        <f t="shared" si="84"/>
        <v>20505104</v>
      </c>
      <c r="AM174" s="9">
        <f t="shared" si="85"/>
        <v>20505104</v>
      </c>
      <c r="AN174" s="9">
        <f t="shared" si="94"/>
        <v>20505104</v>
      </c>
      <c r="AO174" s="291">
        <v>21301522</v>
      </c>
      <c r="AP174" s="9">
        <f t="shared" si="95"/>
        <v>796418</v>
      </c>
      <c r="AQ174" s="297" t="str">
        <f t="shared" si="96"/>
        <v>No</v>
      </c>
      <c r="AR174" s="291">
        <v>20921912</v>
      </c>
      <c r="AS174" s="291">
        <f t="shared" si="86"/>
        <v>66341.619399999996</v>
      </c>
      <c r="AT174" s="291">
        <f t="shared" si="87"/>
        <v>20855570.380600002</v>
      </c>
      <c r="AU174" s="291">
        <f t="shared" si="88"/>
        <v>20855570.380600002</v>
      </c>
      <c r="AV174" s="291"/>
      <c r="AW174" s="291">
        <f t="shared" si="97"/>
        <v>20789228.761200003</v>
      </c>
      <c r="AX174" s="291">
        <f t="shared" si="100"/>
        <v>20722887.141800005</v>
      </c>
      <c r="AY174" s="291">
        <f t="shared" si="100"/>
        <v>20656545.522400007</v>
      </c>
      <c r="AZ174" s="291">
        <f t="shared" si="100"/>
        <v>20590203.903000008</v>
      </c>
      <c r="BA174" s="291">
        <f t="shared" si="100"/>
        <v>20523862.28360001</v>
      </c>
      <c r="BB174" s="291">
        <f t="shared" si="100"/>
        <v>20457520.664200012</v>
      </c>
      <c r="BC174" s="291">
        <f t="shared" si="99"/>
        <v>20505104</v>
      </c>
      <c r="BD174" s="298"/>
      <c r="BE174" s="291">
        <f t="shared" si="71"/>
        <v>20789228.761200003</v>
      </c>
      <c r="BF174" s="291">
        <f t="shared" si="71"/>
        <v>20722887.141800005</v>
      </c>
      <c r="BG174" s="291">
        <f t="shared" si="71"/>
        <v>20656545.522400007</v>
      </c>
      <c r="BH174" s="291">
        <f t="shared" si="71"/>
        <v>20590203.903000008</v>
      </c>
      <c r="BI174" s="291">
        <f t="shared" si="71"/>
        <v>20523862.28360001</v>
      </c>
      <c r="BJ174" s="291">
        <f t="shared" si="71"/>
        <v>20457520.664200012</v>
      </c>
      <c r="BK174" s="291">
        <f t="shared" si="71"/>
        <v>20505104</v>
      </c>
      <c r="BL174" s="298"/>
      <c r="BM174" s="298"/>
      <c r="BN174" s="298"/>
      <c r="BO174" s="298"/>
    </row>
    <row r="175" spans="1:67" x14ac:dyDescent="0.15">
      <c r="A175" s="10" t="s">
        <v>8</v>
      </c>
      <c r="B175" s="10"/>
      <c r="C175" s="276"/>
      <c r="D175" s="276" t="str">
        <f t="shared" si="89"/>
        <v>No</v>
      </c>
      <c r="E175" s="276"/>
      <c r="F175" s="276"/>
      <c r="G175" s="8">
        <v>1</v>
      </c>
      <c r="H175" s="1">
        <v>155</v>
      </c>
      <c r="I175" s="10">
        <v>149</v>
      </c>
      <c r="J175" s="7" t="s">
        <v>161</v>
      </c>
      <c r="K175" s="287"/>
      <c r="L175" s="1">
        <v>135.75</v>
      </c>
      <c r="M175" s="288"/>
      <c r="N175" s="289"/>
      <c r="O175" s="1">
        <v>33</v>
      </c>
      <c r="P175" s="290">
        <f t="shared" si="72"/>
        <v>0.24309392265193369</v>
      </c>
      <c r="Q175" s="290">
        <f t="shared" si="73"/>
        <v>0</v>
      </c>
      <c r="R175" s="291">
        <f t="shared" si="74"/>
        <v>0</v>
      </c>
      <c r="S175" s="291">
        <f t="shared" si="90"/>
        <v>0</v>
      </c>
      <c r="T175" s="1">
        <v>0</v>
      </c>
      <c r="U175" s="1">
        <f t="shared" si="91"/>
        <v>0</v>
      </c>
      <c r="V175" s="292">
        <f t="shared" si="75"/>
        <v>9.9</v>
      </c>
      <c r="W175" s="254">
        <f t="shared" si="76"/>
        <v>145.65</v>
      </c>
      <c r="X175" s="1">
        <v>521714920</v>
      </c>
      <c r="Y175" s="1">
        <v>1410</v>
      </c>
      <c r="Z175" s="264">
        <f t="shared" si="77"/>
        <v>370010.58</v>
      </c>
      <c r="AA175" s="293">
        <f t="shared" si="78"/>
        <v>1.9818439999999999</v>
      </c>
      <c r="AB175" s="1">
        <v>98750</v>
      </c>
      <c r="AC175" s="293">
        <f t="shared" si="79"/>
        <v>0.85758000000000001</v>
      </c>
      <c r="AD175" s="293">
        <f t="shared" si="80"/>
        <v>-0.64456500000000005</v>
      </c>
      <c r="AE175" s="294">
        <f t="shared" si="81"/>
        <v>0.01</v>
      </c>
      <c r="AF175" s="295">
        <f t="shared" si="92"/>
        <v>0</v>
      </c>
      <c r="AG175" s="296">
        <f t="shared" si="93"/>
        <v>0.01</v>
      </c>
      <c r="AH175" s="1">
        <v>140</v>
      </c>
      <c r="AI175" s="1">
        <v>13</v>
      </c>
      <c r="AJ175" s="254">
        <f t="shared" si="82"/>
        <v>100</v>
      </c>
      <c r="AK175" s="9">
        <f t="shared" si="83"/>
        <v>14000</v>
      </c>
      <c r="AL175" s="9">
        <f t="shared" si="84"/>
        <v>16786</v>
      </c>
      <c r="AM175" s="9">
        <f t="shared" si="85"/>
        <v>30786</v>
      </c>
      <c r="AN175" s="9">
        <f t="shared" si="94"/>
        <v>30786</v>
      </c>
      <c r="AO175" s="291">
        <v>33205</v>
      </c>
      <c r="AP175" s="9">
        <f t="shared" si="95"/>
        <v>2419</v>
      </c>
      <c r="AQ175" s="297" t="str">
        <f t="shared" si="96"/>
        <v>No</v>
      </c>
      <c r="AR175" s="291">
        <v>32317</v>
      </c>
      <c r="AS175" s="291">
        <f t="shared" si="86"/>
        <v>201.5027</v>
      </c>
      <c r="AT175" s="291">
        <f t="shared" si="87"/>
        <v>32115.497299999999</v>
      </c>
      <c r="AU175" s="291">
        <f t="shared" si="88"/>
        <v>32115.497299999999</v>
      </c>
      <c r="AV175" s="291"/>
      <c r="AW175" s="291">
        <f t="shared" si="97"/>
        <v>31913.994599999998</v>
      </c>
      <c r="AX175" s="291">
        <f t="shared" si="100"/>
        <v>31712.491899999997</v>
      </c>
      <c r="AY175" s="291">
        <f t="shared" si="100"/>
        <v>31510.989199999996</v>
      </c>
      <c r="AZ175" s="291">
        <f t="shared" si="100"/>
        <v>31309.486499999995</v>
      </c>
      <c r="BA175" s="291">
        <f t="shared" si="100"/>
        <v>31107.983799999995</v>
      </c>
      <c r="BB175" s="291">
        <f t="shared" si="100"/>
        <v>30906.481099999994</v>
      </c>
      <c r="BC175" s="291">
        <f t="shared" si="99"/>
        <v>30786</v>
      </c>
      <c r="BD175" s="298"/>
      <c r="BE175" s="291">
        <f t="shared" si="71"/>
        <v>31913.994599999998</v>
      </c>
      <c r="BF175" s="291">
        <f t="shared" si="71"/>
        <v>31712.491899999997</v>
      </c>
      <c r="BG175" s="291">
        <f t="shared" si="71"/>
        <v>31510.989199999996</v>
      </c>
      <c r="BH175" s="291">
        <f t="shared" si="71"/>
        <v>31309.486499999995</v>
      </c>
      <c r="BI175" s="291">
        <f t="shared" si="71"/>
        <v>31107.983799999995</v>
      </c>
      <c r="BJ175" s="291">
        <f t="shared" si="71"/>
        <v>30906.481099999994</v>
      </c>
      <c r="BK175" s="291">
        <f t="shared" si="71"/>
        <v>30786</v>
      </c>
      <c r="BL175" s="298"/>
      <c r="BM175" s="298"/>
      <c r="BN175" s="298"/>
      <c r="BO175" s="298"/>
    </row>
    <row r="176" spans="1:67" x14ac:dyDescent="0.15">
      <c r="A176" s="10" t="s">
        <v>4</v>
      </c>
      <c r="B176" s="10"/>
      <c r="C176" s="276"/>
      <c r="D176" s="276" t="str">
        <f t="shared" si="89"/>
        <v>No</v>
      </c>
      <c r="E176" s="276"/>
      <c r="F176" s="276"/>
      <c r="G176" s="8">
        <v>1</v>
      </c>
      <c r="H176" s="1">
        <v>164</v>
      </c>
      <c r="I176" s="10">
        <v>150</v>
      </c>
      <c r="J176" s="7" t="s">
        <v>162</v>
      </c>
      <c r="K176" s="287"/>
      <c r="L176" s="1">
        <v>269.86</v>
      </c>
      <c r="M176" s="288"/>
      <c r="N176" s="289"/>
      <c r="O176" s="1">
        <v>70</v>
      </c>
      <c r="P176" s="290">
        <f t="shared" si="72"/>
        <v>0.25939375972726597</v>
      </c>
      <c r="Q176" s="290">
        <f t="shared" si="73"/>
        <v>0</v>
      </c>
      <c r="R176" s="291">
        <f t="shared" si="74"/>
        <v>0</v>
      </c>
      <c r="S176" s="291">
        <f t="shared" si="90"/>
        <v>0</v>
      </c>
      <c r="T176" s="1">
        <v>4</v>
      </c>
      <c r="U176" s="1">
        <f t="shared" si="91"/>
        <v>0.6</v>
      </c>
      <c r="V176" s="292">
        <f t="shared" si="75"/>
        <v>21</v>
      </c>
      <c r="W176" s="254">
        <f t="shared" si="76"/>
        <v>291.46000000000004</v>
      </c>
      <c r="X176" s="1">
        <v>1695440512.3299999</v>
      </c>
      <c r="Y176" s="1">
        <v>3453</v>
      </c>
      <c r="Z176" s="264">
        <f t="shared" si="77"/>
        <v>491005.07</v>
      </c>
      <c r="AA176" s="293">
        <f t="shared" si="78"/>
        <v>2.629912</v>
      </c>
      <c r="AB176" s="1">
        <v>93975</v>
      </c>
      <c r="AC176" s="293">
        <f t="shared" si="79"/>
        <v>0.81611199999999995</v>
      </c>
      <c r="AD176" s="293">
        <f t="shared" si="80"/>
        <v>-1.085772</v>
      </c>
      <c r="AE176" s="294">
        <f t="shared" si="81"/>
        <v>0.01</v>
      </c>
      <c r="AF176" s="295">
        <f t="shared" si="92"/>
        <v>0</v>
      </c>
      <c r="AG176" s="296">
        <f t="shared" si="93"/>
        <v>0.01</v>
      </c>
      <c r="AH176" s="1">
        <v>266</v>
      </c>
      <c r="AI176" s="1">
        <v>13</v>
      </c>
      <c r="AJ176" s="254">
        <f t="shared" si="82"/>
        <v>100</v>
      </c>
      <c r="AK176" s="9">
        <f t="shared" si="83"/>
        <v>26600</v>
      </c>
      <c r="AL176" s="9">
        <f t="shared" si="84"/>
        <v>33591</v>
      </c>
      <c r="AM176" s="9">
        <f t="shared" si="85"/>
        <v>60191</v>
      </c>
      <c r="AN176" s="9">
        <f t="shared" si="94"/>
        <v>60191</v>
      </c>
      <c r="AO176" s="291">
        <v>50646</v>
      </c>
      <c r="AP176" s="9">
        <f t="shared" si="95"/>
        <v>9545</v>
      </c>
      <c r="AQ176" s="297" t="str">
        <f t="shared" si="96"/>
        <v>Yes</v>
      </c>
      <c r="AR176" s="291">
        <v>51990</v>
      </c>
      <c r="AS176" s="291">
        <f t="shared" si="86"/>
        <v>1017.497</v>
      </c>
      <c r="AT176" s="291">
        <f t="shared" si="87"/>
        <v>53007.497000000003</v>
      </c>
      <c r="AU176" s="291">
        <f t="shared" si="88"/>
        <v>53007.497000000003</v>
      </c>
      <c r="AV176" s="291"/>
      <c r="AW176" s="291">
        <f t="shared" si="97"/>
        <v>54024.994000000006</v>
      </c>
      <c r="AX176" s="291">
        <f t="shared" si="100"/>
        <v>55042.491000000009</v>
      </c>
      <c r="AY176" s="291">
        <f t="shared" si="100"/>
        <v>56059.988000000012</v>
      </c>
      <c r="AZ176" s="291">
        <f t="shared" si="100"/>
        <v>57077.485000000015</v>
      </c>
      <c r="BA176" s="291">
        <f t="shared" si="100"/>
        <v>58094.982000000018</v>
      </c>
      <c r="BB176" s="291">
        <f t="shared" si="100"/>
        <v>59112.479000000021</v>
      </c>
      <c r="BC176" s="291">
        <f t="shared" si="99"/>
        <v>60191</v>
      </c>
      <c r="BD176" s="298"/>
      <c r="BE176" s="291">
        <f t="shared" si="71"/>
        <v>54024.994000000006</v>
      </c>
      <c r="BF176" s="291">
        <f t="shared" si="71"/>
        <v>55042.491000000009</v>
      </c>
      <c r="BG176" s="291">
        <f t="shared" si="71"/>
        <v>56059.988000000012</v>
      </c>
      <c r="BH176" s="291">
        <f t="shared" si="71"/>
        <v>57077.485000000015</v>
      </c>
      <c r="BI176" s="291">
        <f t="shared" si="71"/>
        <v>58094.982000000018</v>
      </c>
      <c r="BJ176" s="291">
        <f t="shared" si="71"/>
        <v>59112.479000000021</v>
      </c>
      <c r="BK176" s="291">
        <f t="shared" si="71"/>
        <v>60191</v>
      </c>
      <c r="BL176" s="298"/>
      <c r="BM176" s="298"/>
      <c r="BN176" s="298"/>
      <c r="BO176" s="298"/>
    </row>
    <row r="177" spans="1:67" x14ac:dyDescent="0.15">
      <c r="A177" s="10" t="s">
        <v>24</v>
      </c>
      <c r="B177" s="10">
        <v>1</v>
      </c>
      <c r="C177" s="276">
        <v>1</v>
      </c>
      <c r="D177" s="276" t="str">
        <f t="shared" si="89"/>
        <v>Yes</v>
      </c>
      <c r="E177" s="276">
        <v>0</v>
      </c>
      <c r="F177" s="276">
        <v>1</v>
      </c>
      <c r="G177" s="8">
        <v>10</v>
      </c>
      <c r="H177" s="1">
        <v>2</v>
      </c>
      <c r="I177" s="10">
        <v>151</v>
      </c>
      <c r="J177" s="7" t="s">
        <v>163</v>
      </c>
      <c r="K177" s="287"/>
      <c r="L177" s="1">
        <v>18239.259999999998</v>
      </c>
      <c r="M177" s="300"/>
      <c r="N177" s="289"/>
      <c r="O177" s="1">
        <v>14862</v>
      </c>
      <c r="P177" s="290">
        <f t="shared" si="72"/>
        <v>0.81483568960582842</v>
      </c>
      <c r="Q177" s="290">
        <f t="shared" si="73"/>
        <v>6.4835689605828417E-2</v>
      </c>
      <c r="R177" s="291">
        <f t="shared" si="74"/>
        <v>1182.5550000000019</v>
      </c>
      <c r="S177" s="291">
        <f t="shared" si="90"/>
        <v>59.127750000000098</v>
      </c>
      <c r="T177" s="1">
        <v>2912</v>
      </c>
      <c r="U177" s="1">
        <f t="shared" si="91"/>
        <v>436.8</v>
      </c>
      <c r="V177" s="292">
        <f t="shared" si="75"/>
        <v>4458.6000000000004</v>
      </c>
      <c r="W177" s="254">
        <f t="shared" si="76"/>
        <v>23193.78775</v>
      </c>
      <c r="X177" s="1">
        <v>5955933326.3299999</v>
      </c>
      <c r="Y177" s="1">
        <v>108629</v>
      </c>
      <c r="Z177" s="264">
        <f t="shared" si="77"/>
        <v>54828.21</v>
      </c>
      <c r="AA177" s="293">
        <f t="shared" si="78"/>
        <v>0.29366999999999999</v>
      </c>
      <c r="AB177" s="1">
        <v>40879</v>
      </c>
      <c r="AC177" s="293">
        <f t="shared" si="79"/>
        <v>0.35500799999999999</v>
      </c>
      <c r="AD177" s="293">
        <f t="shared" si="80"/>
        <v>0.68792900000000001</v>
      </c>
      <c r="AE177" s="294">
        <f t="shared" si="81"/>
        <v>0.68792900000000001</v>
      </c>
      <c r="AF177" s="295">
        <f t="shared" si="92"/>
        <v>0.06</v>
      </c>
      <c r="AG177" s="296">
        <f t="shared" si="93"/>
        <v>0.74792900000000007</v>
      </c>
      <c r="AH177" s="1">
        <v>0</v>
      </c>
      <c r="AI177" s="1">
        <v>0</v>
      </c>
      <c r="AJ177" s="254">
        <f t="shared" si="82"/>
        <v>0</v>
      </c>
      <c r="AK177" s="9">
        <f t="shared" si="83"/>
        <v>0</v>
      </c>
      <c r="AL177" s="9">
        <f t="shared" si="84"/>
        <v>199927707</v>
      </c>
      <c r="AM177" s="9">
        <f t="shared" si="85"/>
        <v>199927707</v>
      </c>
      <c r="AN177" s="9">
        <f t="shared" si="94"/>
        <v>199927707</v>
      </c>
      <c r="AO177" s="291">
        <v>133606066</v>
      </c>
      <c r="AP177" s="9">
        <f t="shared" si="95"/>
        <v>66321641</v>
      </c>
      <c r="AQ177" s="297" t="str">
        <f t="shared" si="96"/>
        <v>Yes</v>
      </c>
      <c r="AR177" s="291">
        <v>143020652</v>
      </c>
      <c r="AS177" s="291">
        <f t="shared" si="86"/>
        <v>7069886.9305999996</v>
      </c>
      <c r="AT177" s="291">
        <f t="shared" si="87"/>
        <v>150090538.93059999</v>
      </c>
      <c r="AU177" s="291">
        <f t="shared" si="88"/>
        <v>150090538.93059999</v>
      </c>
      <c r="AV177" s="291"/>
      <c r="AW177" s="291">
        <f t="shared" si="97"/>
        <v>157160425.86119998</v>
      </c>
      <c r="AX177" s="291">
        <f t="shared" si="100"/>
        <v>164230312.79179996</v>
      </c>
      <c r="AY177" s="291">
        <f t="shared" si="100"/>
        <v>171300199.72239995</v>
      </c>
      <c r="AZ177" s="291">
        <f t="shared" si="100"/>
        <v>178370086.65299994</v>
      </c>
      <c r="BA177" s="291">
        <f t="shared" si="100"/>
        <v>185439973.58359993</v>
      </c>
      <c r="BB177" s="291">
        <f t="shared" si="100"/>
        <v>192509860.51419991</v>
      </c>
      <c r="BC177" s="291">
        <f t="shared" si="99"/>
        <v>199927707</v>
      </c>
      <c r="BD177" s="298"/>
      <c r="BE177" s="291">
        <f t="shared" si="71"/>
        <v>157160425.86119998</v>
      </c>
      <c r="BF177" s="291">
        <f t="shared" si="71"/>
        <v>164230312.79179996</v>
      </c>
      <c r="BG177" s="291">
        <f t="shared" si="71"/>
        <v>171300199.72239995</v>
      </c>
      <c r="BH177" s="291">
        <f t="shared" si="71"/>
        <v>178370086.65299994</v>
      </c>
      <c r="BI177" s="291">
        <f t="shared" si="71"/>
        <v>185439973.58359993</v>
      </c>
      <c r="BJ177" s="291">
        <f t="shared" si="71"/>
        <v>192509860.51419991</v>
      </c>
      <c r="BK177" s="291">
        <f t="shared" si="71"/>
        <v>199927707</v>
      </c>
      <c r="BL177" s="298"/>
      <c r="BM177" s="298"/>
      <c r="BN177" s="298"/>
      <c r="BO177" s="298"/>
    </row>
    <row r="178" spans="1:67" x14ac:dyDescent="0.15">
      <c r="A178" s="10" t="s">
        <v>14</v>
      </c>
      <c r="B178" s="10"/>
      <c r="C178" s="276"/>
      <c r="D178" s="276" t="str">
        <f t="shared" si="89"/>
        <v>No</v>
      </c>
      <c r="E178" s="276"/>
      <c r="F178" s="276"/>
      <c r="G178" s="8">
        <v>2</v>
      </c>
      <c r="H178" s="1">
        <v>104</v>
      </c>
      <c r="I178" s="10">
        <v>152</v>
      </c>
      <c r="J178" s="7" t="s">
        <v>164</v>
      </c>
      <c r="K178" s="287"/>
      <c r="L178" s="1">
        <v>2666.85</v>
      </c>
      <c r="M178" s="288"/>
      <c r="N178" s="289"/>
      <c r="O178" s="1">
        <v>851</v>
      </c>
      <c r="P178" s="290">
        <f t="shared" si="72"/>
        <v>0.31910306166451058</v>
      </c>
      <c r="Q178" s="290">
        <f t="shared" si="73"/>
        <v>0</v>
      </c>
      <c r="R178" s="291">
        <f t="shared" si="74"/>
        <v>0</v>
      </c>
      <c r="S178" s="291">
        <f t="shared" si="90"/>
        <v>0</v>
      </c>
      <c r="T178" s="1">
        <v>80</v>
      </c>
      <c r="U178" s="1">
        <f t="shared" si="91"/>
        <v>12</v>
      </c>
      <c r="V178" s="292">
        <f t="shared" si="75"/>
        <v>255.3</v>
      </c>
      <c r="W178" s="254">
        <f t="shared" si="76"/>
        <v>2934.15</v>
      </c>
      <c r="X178" s="1">
        <v>4691614349.3299999</v>
      </c>
      <c r="Y178" s="1">
        <v>19007</v>
      </c>
      <c r="Z178" s="264">
        <f t="shared" si="77"/>
        <v>246836.13</v>
      </c>
      <c r="AA178" s="293">
        <f t="shared" si="78"/>
        <v>1.3220989999999999</v>
      </c>
      <c r="AB178" s="1">
        <v>79175</v>
      </c>
      <c r="AC178" s="293">
        <f t="shared" si="79"/>
        <v>0.68758399999999997</v>
      </c>
      <c r="AD178" s="293">
        <f t="shared" si="80"/>
        <v>-0.131745</v>
      </c>
      <c r="AE178" s="294">
        <f t="shared" si="81"/>
        <v>0.01</v>
      </c>
      <c r="AF178" s="295">
        <f t="shared" si="92"/>
        <v>0</v>
      </c>
      <c r="AG178" s="296">
        <f t="shared" si="93"/>
        <v>0.01</v>
      </c>
      <c r="AH178" s="1">
        <v>0</v>
      </c>
      <c r="AI178" s="1">
        <v>0</v>
      </c>
      <c r="AJ178" s="254">
        <f t="shared" si="82"/>
        <v>0</v>
      </c>
      <c r="AK178" s="9">
        <f t="shared" si="83"/>
        <v>0</v>
      </c>
      <c r="AL178" s="9">
        <f t="shared" si="84"/>
        <v>338161</v>
      </c>
      <c r="AM178" s="9">
        <f t="shared" si="85"/>
        <v>338161</v>
      </c>
      <c r="AN178" s="9">
        <f t="shared" si="94"/>
        <v>338161</v>
      </c>
      <c r="AO178" s="291">
        <v>321279</v>
      </c>
      <c r="AP178" s="9">
        <f t="shared" si="95"/>
        <v>16882</v>
      </c>
      <c r="AQ178" s="297" t="str">
        <f t="shared" si="96"/>
        <v>Yes</v>
      </c>
      <c r="AR178" s="291">
        <v>324644</v>
      </c>
      <c r="AS178" s="291">
        <f t="shared" si="86"/>
        <v>1799.6212</v>
      </c>
      <c r="AT178" s="291">
        <f t="shared" si="87"/>
        <v>326443.62119999999</v>
      </c>
      <c r="AU178" s="291">
        <f t="shared" si="88"/>
        <v>326443.62119999999</v>
      </c>
      <c r="AV178" s="291"/>
      <c r="AW178" s="291">
        <f t="shared" si="97"/>
        <v>328243.24239999999</v>
      </c>
      <c r="AX178" s="291">
        <f t="shared" si="100"/>
        <v>330042.86359999998</v>
      </c>
      <c r="AY178" s="291">
        <f t="shared" si="100"/>
        <v>331842.48479999998</v>
      </c>
      <c r="AZ178" s="291">
        <f t="shared" si="100"/>
        <v>333642.10599999997</v>
      </c>
      <c r="BA178" s="291">
        <f t="shared" si="100"/>
        <v>335441.72719999996</v>
      </c>
      <c r="BB178" s="291">
        <f t="shared" si="100"/>
        <v>337241.34839999996</v>
      </c>
      <c r="BC178" s="291">
        <f t="shared" si="99"/>
        <v>338161</v>
      </c>
      <c r="BD178" s="298"/>
      <c r="BE178" s="291">
        <f t="shared" si="71"/>
        <v>328243.24239999999</v>
      </c>
      <c r="BF178" s="291">
        <f t="shared" si="71"/>
        <v>330042.86359999998</v>
      </c>
      <c r="BG178" s="291">
        <f t="shared" si="71"/>
        <v>331842.48479999998</v>
      </c>
      <c r="BH178" s="291">
        <f t="shared" ref="BH178:BK195" si="101">IF($C178=1,MAX(AZ178,$AO178),AZ178)</f>
        <v>333642.10599999997</v>
      </c>
      <c r="BI178" s="291">
        <f t="shared" si="101"/>
        <v>335441.72719999996</v>
      </c>
      <c r="BJ178" s="291">
        <f t="shared" si="101"/>
        <v>337241.34839999996</v>
      </c>
      <c r="BK178" s="291">
        <f t="shared" si="101"/>
        <v>338161</v>
      </c>
      <c r="BL178" s="298"/>
      <c r="BM178" s="298"/>
      <c r="BN178" s="298"/>
      <c r="BO178" s="298"/>
    </row>
    <row r="179" spans="1:67" x14ac:dyDescent="0.15">
      <c r="A179" s="10" t="s">
        <v>14</v>
      </c>
      <c r="B179" s="10"/>
      <c r="C179" s="276"/>
      <c r="D179" s="276" t="str">
        <f t="shared" si="89"/>
        <v>No</v>
      </c>
      <c r="E179" s="276"/>
      <c r="F179" s="276"/>
      <c r="G179" s="8">
        <v>7</v>
      </c>
      <c r="H179" s="1">
        <v>56</v>
      </c>
      <c r="I179" s="10">
        <v>153</v>
      </c>
      <c r="J179" s="7" t="s">
        <v>165</v>
      </c>
      <c r="K179" s="287"/>
      <c r="L179" s="1">
        <v>2768.33</v>
      </c>
      <c r="M179" s="288"/>
      <c r="N179" s="289"/>
      <c r="O179" s="1">
        <v>1032</v>
      </c>
      <c r="P179" s="290">
        <f t="shared" si="72"/>
        <v>0.37278792629491425</v>
      </c>
      <c r="Q179" s="290">
        <f t="shared" si="73"/>
        <v>0</v>
      </c>
      <c r="R179" s="291">
        <f t="shared" si="74"/>
        <v>0</v>
      </c>
      <c r="S179" s="291">
        <f t="shared" si="90"/>
        <v>0</v>
      </c>
      <c r="T179" s="1">
        <v>123</v>
      </c>
      <c r="U179" s="1">
        <f t="shared" si="91"/>
        <v>18.45</v>
      </c>
      <c r="V179" s="292">
        <f t="shared" si="75"/>
        <v>309.60000000000002</v>
      </c>
      <c r="W179" s="254">
        <f t="shared" si="76"/>
        <v>3096.3799999999997</v>
      </c>
      <c r="X179" s="1">
        <v>2662715055</v>
      </c>
      <c r="Y179" s="1">
        <v>21740</v>
      </c>
      <c r="Z179" s="264">
        <f t="shared" si="77"/>
        <v>122479.99</v>
      </c>
      <c r="AA179" s="293">
        <f t="shared" si="78"/>
        <v>0.65602499999999997</v>
      </c>
      <c r="AB179" s="1">
        <v>77946</v>
      </c>
      <c r="AC179" s="293">
        <f t="shared" si="79"/>
        <v>0.67691100000000004</v>
      </c>
      <c r="AD179" s="293">
        <f t="shared" si="80"/>
        <v>0.33770899999999998</v>
      </c>
      <c r="AE179" s="294">
        <f t="shared" si="81"/>
        <v>0.33770899999999998</v>
      </c>
      <c r="AF179" s="295">
        <f t="shared" si="92"/>
        <v>0</v>
      </c>
      <c r="AG179" s="296">
        <f t="shared" si="93"/>
        <v>0.33770899999999998</v>
      </c>
      <c r="AH179" s="1">
        <v>0</v>
      </c>
      <c r="AI179" s="1">
        <v>0</v>
      </c>
      <c r="AJ179" s="254">
        <f t="shared" si="82"/>
        <v>0</v>
      </c>
      <c r="AK179" s="9">
        <f t="shared" si="83"/>
        <v>0</v>
      </c>
      <c r="AL179" s="9">
        <f t="shared" si="84"/>
        <v>12051409</v>
      </c>
      <c r="AM179" s="9">
        <f t="shared" si="85"/>
        <v>12051409</v>
      </c>
      <c r="AN179" s="9">
        <f t="shared" si="94"/>
        <v>12051409</v>
      </c>
      <c r="AO179" s="291">
        <v>11753175</v>
      </c>
      <c r="AP179" s="9">
        <f t="shared" si="95"/>
        <v>298234</v>
      </c>
      <c r="AQ179" s="297" t="str">
        <f t="shared" si="96"/>
        <v>Yes</v>
      </c>
      <c r="AR179" s="291">
        <v>11748394</v>
      </c>
      <c r="AS179" s="291">
        <f t="shared" si="86"/>
        <v>31791.7444</v>
      </c>
      <c r="AT179" s="291">
        <f t="shared" si="87"/>
        <v>11780185.7444</v>
      </c>
      <c r="AU179" s="291">
        <f t="shared" si="88"/>
        <v>11780185.7444</v>
      </c>
      <c r="AV179" s="291"/>
      <c r="AW179" s="291">
        <f t="shared" si="97"/>
        <v>11811977.4888</v>
      </c>
      <c r="AX179" s="291">
        <f t="shared" si="100"/>
        <v>11843769.233200001</v>
      </c>
      <c r="AY179" s="291">
        <f t="shared" si="100"/>
        <v>11875560.977600001</v>
      </c>
      <c r="AZ179" s="291">
        <f t="shared" si="100"/>
        <v>11907352.722000001</v>
      </c>
      <c r="BA179" s="291">
        <f t="shared" si="100"/>
        <v>11939144.466400001</v>
      </c>
      <c r="BB179" s="291">
        <f t="shared" si="100"/>
        <v>11970936.210800001</v>
      </c>
      <c r="BC179" s="291">
        <f t="shared" si="99"/>
        <v>12051409</v>
      </c>
      <c r="BD179" s="298"/>
      <c r="BE179" s="291">
        <f t="shared" ref="BE179:BG195" si="102">IF($C179=1,MAX(AW179,$AO179),AW179)</f>
        <v>11811977.4888</v>
      </c>
      <c r="BF179" s="291">
        <f t="shared" si="102"/>
        <v>11843769.233200001</v>
      </c>
      <c r="BG179" s="291">
        <f t="shared" si="102"/>
        <v>11875560.977600001</v>
      </c>
      <c r="BH179" s="291">
        <f t="shared" si="101"/>
        <v>11907352.722000001</v>
      </c>
      <c r="BI179" s="291">
        <f t="shared" si="101"/>
        <v>11939144.466400001</v>
      </c>
      <c r="BJ179" s="291">
        <f t="shared" si="101"/>
        <v>11970936.210800001</v>
      </c>
      <c r="BK179" s="291">
        <f t="shared" si="101"/>
        <v>12051409</v>
      </c>
      <c r="BL179" s="298"/>
      <c r="BM179" s="298"/>
      <c r="BN179" s="298"/>
      <c r="BO179" s="298"/>
    </row>
    <row r="180" spans="1:67" x14ac:dyDescent="0.15">
      <c r="A180" s="10" t="s">
        <v>8</v>
      </c>
      <c r="B180" s="10"/>
      <c r="C180" s="276"/>
      <c r="D180" s="276" t="str">
        <f t="shared" si="89"/>
        <v>No</v>
      </c>
      <c r="E180" s="276"/>
      <c r="F180" s="276"/>
      <c r="G180" s="8">
        <v>2</v>
      </c>
      <c r="H180" s="1">
        <v>151</v>
      </c>
      <c r="I180" s="10">
        <v>154</v>
      </c>
      <c r="J180" s="7" t="s">
        <v>166</v>
      </c>
      <c r="K180" s="287"/>
      <c r="L180" s="1">
        <v>681.3</v>
      </c>
      <c r="M180" s="288"/>
      <c r="N180" s="289"/>
      <c r="O180" s="1">
        <v>247</v>
      </c>
      <c r="P180" s="290">
        <f t="shared" si="72"/>
        <v>0.36254219873770732</v>
      </c>
      <c r="Q180" s="290">
        <f t="shared" si="73"/>
        <v>0</v>
      </c>
      <c r="R180" s="291">
        <f t="shared" si="74"/>
        <v>0</v>
      </c>
      <c r="S180" s="291">
        <f t="shared" si="90"/>
        <v>0</v>
      </c>
      <c r="T180" s="1">
        <v>89</v>
      </c>
      <c r="U180" s="1">
        <f t="shared" si="91"/>
        <v>13.35</v>
      </c>
      <c r="V180" s="292">
        <f t="shared" si="75"/>
        <v>74.099999999999994</v>
      </c>
      <c r="W180" s="254">
        <f t="shared" si="76"/>
        <v>768.75</v>
      </c>
      <c r="X180" s="1">
        <v>1695121472</v>
      </c>
      <c r="Y180" s="1">
        <v>6956</v>
      </c>
      <c r="Z180" s="264">
        <f t="shared" si="77"/>
        <v>243691.99</v>
      </c>
      <c r="AA180" s="293">
        <f t="shared" si="78"/>
        <v>1.3052589999999999</v>
      </c>
      <c r="AB180" s="1">
        <v>95583</v>
      </c>
      <c r="AC180" s="293">
        <f t="shared" si="79"/>
        <v>0.83007699999999995</v>
      </c>
      <c r="AD180" s="293">
        <f t="shared" si="80"/>
        <v>-0.16270399999999999</v>
      </c>
      <c r="AE180" s="294">
        <f t="shared" si="81"/>
        <v>0.01</v>
      </c>
      <c r="AF180" s="295">
        <f t="shared" si="92"/>
        <v>0</v>
      </c>
      <c r="AG180" s="296">
        <f t="shared" si="93"/>
        <v>0.01</v>
      </c>
      <c r="AH180" s="1">
        <v>0</v>
      </c>
      <c r="AI180" s="1">
        <v>0</v>
      </c>
      <c r="AJ180" s="254">
        <f t="shared" si="82"/>
        <v>0</v>
      </c>
      <c r="AK180" s="9">
        <f t="shared" si="83"/>
        <v>0</v>
      </c>
      <c r="AL180" s="9">
        <f t="shared" si="84"/>
        <v>88598</v>
      </c>
      <c r="AM180" s="9">
        <f t="shared" si="85"/>
        <v>88598</v>
      </c>
      <c r="AN180" s="9">
        <f t="shared" si="94"/>
        <v>88598</v>
      </c>
      <c r="AO180" s="291">
        <v>70393</v>
      </c>
      <c r="AP180" s="9">
        <f t="shared" si="95"/>
        <v>18205</v>
      </c>
      <c r="AQ180" s="297" t="str">
        <f t="shared" si="96"/>
        <v>Yes</v>
      </c>
      <c r="AR180" s="291">
        <v>73038</v>
      </c>
      <c r="AS180" s="291">
        <f t="shared" si="86"/>
        <v>1940.653</v>
      </c>
      <c r="AT180" s="291">
        <f t="shared" si="87"/>
        <v>74978.653000000006</v>
      </c>
      <c r="AU180" s="291">
        <f t="shared" si="88"/>
        <v>74978.653000000006</v>
      </c>
      <c r="AV180" s="291"/>
      <c r="AW180" s="291">
        <f t="shared" si="97"/>
        <v>76919.306000000011</v>
      </c>
      <c r="AX180" s="291">
        <f t="shared" si="100"/>
        <v>78859.959000000017</v>
      </c>
      <c r="AY180" s="291">
        <f t="shared" si="100"/>
        <v>80800.612000000023</v>
      </c>
      <c r="AZ180" s="291">
        <f t="shared" si="100"/>
        <v>82741.265000000029</v>
      </c>
      <c r="BA180" s="291">
        <f t="shared" si="100"/>
        <v>84681.918000000034</v>
      </c>
      <c r="BB180" s="291">
        <f t="shared" si="100"/>
        <v>86622.57100000004</v>
      </c>
      <c r="BC180" s="291">
        <f t="shared" si="99"/>
        <v>88598</v>
      </c>
      <c r="BD180" s="298"/>
      <c r="BE180" s="291">
        <f t="shared" si="102"/>
        <v>76919.306000000011</v>
      </c>
      <c r="BF180" s="291">
        <f t="shared" si="102"/>
        <v>78859.959000000017</v>
      </c>
      <c r="BG180" s="291">
        <f t="shared" si="102"/>
        <v>80800.612000000023</v>
      </c>
      <c r="BH180" s="291">
        <f t="shared" si="101"/>
        <v>82741.265000000029</v>
      </c>
      <c r="BI180" s="291">
        <f t="shared" si="101"/>
        <v>84681.918000000034</v>
      </c>
      <c r="BJ180" s="291">
        <f t="shared" si="101"/>
        <v>86622.57100000004</v>
      </c>
      <c r="BK180" s="291">
        <f t="shared" si="101"/>
        <v>88598</v>
      </c>
      <c r="BL180" s="298"/>
      <c r="BM180" s="298"/>
      <c r="BN180" s="298"/>
      <c r="BO180" s="298"/>
    </row>
    <row r="181" spans="1:67" x14ac:dyDescent="0.15">
      <c r="A181" s="10" t="s">
        <v>10</v>
      </c>
      <c r="B181" s="10"/>
      <c r="C181" s="276"/>
      <c r="D181" s="276" t="str">
        <f t="shared" si="89"/>
        <v>No</v>
      </c>
      <c r="E181" s="276"/>
      <c r="F181" s="276"/>
      <c r="G181" s="8">
        <v>7</v>
      </c>
      <c r="H181" s="1">
        <v>85</v>
      </c>
      <c r="I181" s="10">
        <v>155</v>
      </c>
      <c r="J181" s="7" t="s">
        <v>167</v>
      </c>
      <c r="K181" s="287"/>
      <c r="L181" s="1">
        <v>9746.0499999999993</v>
      </c>
      <c r="M181" s="300"/>
      <c r="N181" s="289"/>
      <c r="O181" s="1">
        <v>2498</v>
      </c>
      <c r="P181" s="290">
        <f t="shared" si="72"/>
        <v>0.25630896619656168</v>
      </c>
      <c r="Q181" s="290">
        <f t="shared" si="73"/>
        <v>0</v>
      </c>
      <c r="R181" s="291">
        <f t="shared" si="74"/>
        <v>0</v>
      </c>
      <c r="S181" s="291">
        <f t="shared" si="90"/>
        <v>0</v>
      </c>
      <c r="T181" s="1">
        <v>627</v>
      </c>
      <c r="U181" s="1">
        <f t="shared" si="91"/>
        <v>94.05</v>
      </c>
      <c r="V181" s="292">
        <f t="shared" si="75"/>
        <v>749.4</v>
      </c>
      <c r="W181" s="254">
        <f t="shared" si="76"/>
        <v>10589.499999999998</v>
      </c>
      <c r="X181" s="1">
        <v>9255165861.3299999</v>
      </c>
      <c r="Y181" s="1">
        <v>63133</v>
      </c>
      <c r="Z181" s="264">
        <f t="shared" si="77"/>
        <v>146597.91</v>
      </c>
      <c r="AA181" s="293">
        <f t="shared" si="78"/>
        <v>0.78520500000000004</v>
      </c>
      <c r="AB181" s="1">
        <v>95298</v>
      </c>
      <c r="AC181" s="293">
        <f t="shared" si="79"/>
        <v>0.82760199999999995</v>
      </c>
      <c r="AD181" s="293">
        <f t="shared" si="80"/>
        <v>0.20207600000000001</v>
      </c>
      <c r="AE181" s="294">
        <f t="shared" si="81"/>
        <v>0.20207600000000001</v>
      </c>
      <c r="AF181" s="295">
        <f t="shared" si="92"/>
        <v>0</v>
      </c>
      <c r="AG181" s="296">
        <f t="shared" si="93"/>
        <v>0.20207600000000001</v>
      </c>
      <c r="AH181" s="1">
        <v>0</v>
      </c>
      <c r="AI181" s="1">
        <v>0</v>
      </c>
      <c r="AJ181" s="254">
        <f t="shared" si="82"/>
        <v>0</v>
      </c>
      <c r="AK181" s="9">
        <f t="shared" si="83"/>
        <v>0</v>
      </c>
      <c r="AL181" s="9">
        <f t="shared" si="84"/>
        <v>24662161</v>
      </c>
      <c r="AM181" s="9">
        <f t="shared" si="85"/>
        <v>24662161</v>
      </c>
      <c r="AN181" s="9">
        <f t="shared" si="94"/>
        <v>24662161</v>
      </c>
      <c r="AO181" s="291">
        <v>20961352</v>
      </c>
      <c r="AP181" s="9">
        <f t="shared" si="95"/>
        <v>3700809</v>
      </c>
      <c r="AQ181" s="297" t="str">
        <f t="shared" si="96"/>
        <v>Yes</v>
      </c>
      <c r="AR181" s="291">
        <v>21486317</v>
      </c>
      <c r="AS181" s="291">
        <f t="shared" si="86"/>
        <v>394506.23940000002</v>
      </c>
      <c r="AT181" s="291">
        <f t="shared" si="87"/>
        <v>21880823.239399999</v>
      </c>
      <c r="AU181" s="291">
        <f t="shared" si="88"/>
        <v>21880823.239399999</v>
      </c>
      <c r="AV181" s="291"/>
      <c r="AW181" s="291">
        <f t="shared" si="97"/>
        <v>22275329.478799999</v>
      </c>
      <c r="AX181" s="291">
        <f t="shared" si="100"/>
        <v>22669835.718199998</v>
      </c>
      <c r="AY181" s="291">
        <f t="shared" si="100"/>
        <v>23064341.957599998</v>
      </c>
      <c r="AZ181" s="291">
        <f t="shared" si="100"/>
        <v>23458848.196999997</v>
      </c>
      <c r="BA181" s="291">
        <f t="shared" si="100"/>
        <v>23853354.436399996</v>
      </c>
      <c r="BB181" s="291">
        <f t="shared" si="100"/>
        <v>24247860.675799996</v>
      </c>
      <c r="BC181" s="291">
        <f t="shared" si="99"/>
        <v>24662161</v>
      </c>
      <c r="BD181" s="298"/>
      <c r="BE181" s="291">
        <f t="shared" si="102"/>
        <v>22275329.478799999</v>
      </c>
      <c r="BF181" s="291">
        <f t="shared" si="102"/>
        <v>22669835.718199998</v>
      </c>
      <c r="BG181" s="291">
        <f t="shared" si="102"/>
        <v>23064341.957599998</v>
      </c>
      <c r="BH181" s="291">
        <f t="shared" si="101"/>
        <v>23458848.196999997</v>
      </c>
      <c r="BI181" s="291">
        <f t="shared" si="101"/>
        <v>23853354.436399996</v>
      </c>
      <c r="BJ181" s="291">
        <f t="shared" si="101"/>
        <v>24247860.675799996</v>
      </c>
      <c r="BK181" s="291">
        <f t="shared" si="101"/>
        <v>24662161</v>
      </c>
      <c r="BL181" s="298"/>
      <c r="BM181" s="298"/>
      <c r="BN181" s="298"/>
      <c r="BO181" s="298"/>
    </row>
    <row r="182" spans="1:67" x14ac:dyDescent="0.15">
      <c r="A182" s="10" t="s">
        <v>6</v>
      </c>
      <c r="B182" s="10"/>
      <c r="C182" s="276">
        <v>1</v>
      </c>
      <c r="D182" s="276" t="str">
        <f t="shared" si="89"/>
        <v>Yes</v>
      </c>
      <c r="E182" s="276">
        <v>1</v>
      </c>
      <c r="F182" s="276"/>
      <c r="G182" s="8">
        <v>10</v>
      </c>
      <c r="H182" s="1">
        <v>14</v>
      </c>
      <c r="I182" s="10">
        <v>156</v>
      </c>
      <c r="J182" s="7" t="s">
        <v>168</v>
      </c>
      <c r="K182" s="287"/>
      <c r="L182" s="1">
        <v>6852.76</v>
      </c>
      <c r="M182" s="300"/>
      <c r="N182" s="289"/>
      <c r="O182" s="1">
        <v>4368</v>
      </c>
      <c r="P182" s="290">
        <f t="shared" si="72"/>
        <v>0.63740740956928299</v>
      </c>
      <c r="Q182" s="290">
        <f t="shared" si="73"/>
        <v>0</v>
      </c>
      <c r="R182" s="291">
        <f t="shared" si="74"/>
        <v>0</v>
      </c>
      <c r="S182" s="291">
        <f t="shared" si="90"/>
        <v>0</v>
      </c>
      <c r="T182" s="1">
        <v>940</v>
      </c>
      <c r="U182" s="1">
        <f t="shared" si="91"/>
        <v>141</v>
      </c>
      <c r="V182" s="292">
        <f t="shared" si="75"/>
        <v>1310.4000000000001</v>
      </c>
      <c r="W182" s="254">
        <f t="shared" si="76"/>
        <v>8304.16</v>
      </c>
      <c r="X182" s="1">
        <v>3971740885</v>
      </c>
      <c r="Y182" s="1">
        <v>54843</v>
      </c>
      <c r="Z182" s="264">
        <f t="shared" si="77"/>
        <v>72420.2</v>
      </c>
      <c r="AA182" s="293">
        <f t="shared" si="78"/>
        <v>0.38789600000000002</v>
      </c>
      <c r="AB182" s="1">
        <v>55299</v>
      </c>
      <c r="AC182" s="293">
        <f t="shared" si="79"/>
        <v>0.480236</v>
      </c>
      <c r="AD182" s="293">
        <f t="shared" si="80"/>
        <v>0.58440199999999998</v>
      </c>
      <c r="AE182" s="294">
        <f t="shared" si="81"/>
        <v>0.58440199999999998</v>
      </c>
      <c r="AF182" s="295">
        <f t="shared" si="92"/>
        <v>0.04</v>
      </c>
      <c r="AG182" s="296">
        <f t="shared" si="93"/>
        <v>0.62440200000000001</v>
      </c>
      <c r="AH182" s="1">
        <v>0</v>
      </c>
      <c r="AI182" s="1">
        <v>0</v>
      </c>
      <c r="AJ182" s="254">
        <f t="shared" si="82"/>
        <v>0</v>
      </c>
      <c r="AK182" s="9">
        <f t="shared" si="83"/>
        <v>0</v>
      </c>
      <c r="AL182" s="9">
        <f t="shared" si="84"/>
        <v>59758671</v>
      </c>
      <c r="AM182" s="9">
        <f t="shared" si="85"/>
        <v>59758671</v>
      </c>
      <c r="AN182" s="9">
        <f t="shared" si="94"/>
        <v>59758671</v>
      </c>
      <c r="AO182" s="291">
        <v>45140487</v>
      </c>
      <c r="AP182" s="9">
        <f t="shared" si="95"/>
        <v>14618184</v>
      </c>
      <c r="AQ182" s="297" t="str">
        <f t="shared" si="96"/>
        <v>Yes</v>
      </c>
      <c r="AR182" s="291">
        <v>47400376</v>
      </c>
      <c r="AS182" s="291">
        <f t="shared" si="86"/>
        <v>1558298.4143999999</v>
      </c>
      <c r="AT182" s="291">
        <f t="shared" si="87"/>
        <v>48958674.414399996</v>
      </c>
      <c r="AU182" s="291">
        <f t="shared" si="88"/>
        <v>48958674.414399996</v>
      </c>
      <c r="AV182" s="291"/>
      <c r="AW182" s="291">
        <f t="shared" si="97"/>
        <v>50516972.828799993</v>
      </c>
      <c r="AX182" s="291">
        <f t="shared" si="100"/>
        <v>52075271.243199989</v>
      </c>
      <c r="AY182" s="291">
        <f t="shared" si="100"/>
        <v>53633569.657599986</v>
      </c>
      <c r="AZ182" s="291">
        <f t="shared" si="100"/>
        <v>55191868.071999982</v>
      </c>
      <c r="BA182" s="291">
        <f t="shared" si="100"/>
        <v>56750166.486399978</v>
      </c>
      <c r="BB182" s="291">
        <f t="shared" si="100"/>
        <v>58308464.900799975</v>
      </c>
      <c r="BC182" s="291">
        <f t="shared" si="99"/>
        <v>59758671</v>
      </c>
      <c r="BD182" s="298"/>
      <c r="BE182" s="291">
        <f t="shared" si="102"/>
        <v>50516972.828799993</v>
      </c>
      <c r="BF182" s="291">
        <f t="shared" si="102"/>
        <v>52075271.243199989</v>
      </c>
      <c r="BG182" s="291">
        <f t="shared" si="102"/>
        <v>53633569.657599986</v>
      </c>
      <c r="BH182" s="291">
        <f t="shared" si="101"/>
        <v>55191868.071999982</v>
      </c>
      <c r="BI182" s="291">
        <f t="shared" si="101"/>
        <v>56750166.486399978</v>
      </c>
      <c r="BJ182" s="291">
        <f t="shared" si="101"/>
        <v>58308464.900799975</v>
      </c>
      <c r="BK182" s="291">
        <f t="shared" si="101"/>
        <v>59758671</v>
      </c>
      <c r="BL182" s="298"/>
      <c r="BM182" s="298"/>
      <c r="BN182" s="298"/>
      <c r="BO182" s="298"/>
    </row>
    <row r="183" spans="1:67" x14ac:dyDescent="0.15">
      <c r="A183" s="10" t="s">
        <v>46</v>
      </c>
      <c r="B183" s="10"/>
      <c r="C183" s="276"/>
      <c r="D183" s="276" t="str">
        <f t="shared" si="89"/>
        <v>No</v>
      </c>
      <c r="E183" s="276"/>
      <c r="F183" s="276"/>
      <c r="G183" s="8">
        <v>1</v>
      </c>
      <c r="H183" s="1">
        <v>161</v>
      </c>
      <c r="I183" s="10">
        <v>157</v>
      </c>
      <c r="J183" s="7" t="s">
        <v>169</v>
      </c>
      <c r="K183" s="287"/>
      <c r="L183" s="1">
        <v>2258.58</v>
      </c>
      <c r="M183" s="288"/>
      <c r="N183" s="289"/>
      <c r="O183" s="1">
        <v>49</v>
      </c>
      <c r="P183" s="290">
        <f t="shared" si="72"/>
        <v>2.1695047330623666E-2</v>
      </c>
      <c r="Q183" s="290">
        <f t="shared" si="73"/>
        <v>0</v>
      </c>
      <c r="R183" s="291">
        <f t="shared" si="74"/>
        <v>0</v>
      </c>
      <c r="S183" s="291">
        <f t="shared" si="90"/>
        <v>0</v>
      </c>
      <c r="T183" s="1">
        <v>16</v>
      </c>
      <c r="U183" s="1">
        <f t="shared" si="91"/>
        <v>2.4</v>
      </c>
      <c r="V183" s="292">
        <f t="shared" si="75"/>
        <v>14.7</v>
      </c>
      <c r="W183" s="254">
        <f t="shared" si="76"/>
        <v>2275.6799999999998</v>
      </c>
      <c r="X183" s="1">
        <v>3453669461</v>
      </c>
      <c r="Y183" s="1">
        <v>10331</v>
      </c>
      <c r="Z183" s="264">
        <f t="shared" si="77"/>
        <v>334301.56</v>
      </c>
      <c r="AA183" s="293">
        <f t="shared" si="78"/>
        <v>1.7905800000000001</v>
      </c>
      <c r="AB183" s="1">
        <v>219868</v>
      </c>
      <c r="AC183" s="293">
        <f t="shared" si="79"/>
        <v>1.9094120000000001</v>
      </c>
      <c r="AD183" s="293">
        <f t="shared" si="80"/>
        <v>-0.82623000000000002</v>
      </c>
      <c r="AE183" s="294">
        <f t="shared" si="81"/>
        <v>0.01</v>
      </c>
      <c r="AF183" s="295">
        <f t="shared" si="92"/>
        <v>0</v>
      </c>
      <c r="AG183" s="296">
        <f t="shared" si="93"/>
        <v>0.01</v>
      </c>
      <c r="AH183" s="1">
        <v>0</v>
      </c>
      <c r="AI183" s="1">
        <v>0</v>
      </c>
      <c r="AJ183" s="254">
        <f t="shared" si="82"/>
        <v>0</v>
      </c>
      <c r="AK183" s="9">
        <f t="shared" si="83"/>
        <v>0</v>
      </c>
      <c r="AL183" s="9">
        <f t="shared" si="84"/>
        <v>262272</v>
      </c>
      <c r="AM183" s="9">
        <f t="shared" si="85"/>
        <v>262272</v>
      </c>
      <c r="AN183" s="9">
        <f t="shared" si="94"/>
        <v>262272</v>
      </c>
      <c r="AO183" s="291">
        <v>263431</v>
      </c>
      <c r="AP183" s="9">
        <f t="shared" si="95"/>
        <v>1159</v>
      </c>
      <c r="AQ183" s="297" t="str">
        <f t="shared" si="96"/>
        <v>No</v>
      </c>
      <c r="AR183" s="291">
        <v>263889</v>
      </c>
      <c r="AS183" s="291">
        <f t="shared" si="86"/>
        <v>96.544700000000006</v>
      </c>
      <c r="AT183" s="291">
        <f t="shared" si="87"/>
        <v>263792.45529999997</v>
      </c>
      <c r="AU183" s="291">
        <f t="shared" si="88"/>
        <v>263792.45529999997</v>
      </c>
      <c r="AV183" s="291"/>
      <c r="AW183" s="291">
        <f t="shared" si="97"/>
        <v>263695.91059999994</v>
      </c>
      <c r="AX183" s="291">
        <f t="shared" si="100"/>
        <v>263599.36589999992</v>
      </c>
      <c r="AY183" s="291">
        <f t="shared" si="100"/>
        <v>263502.82119999989</v>
      </c>
      <c r="AZ183" s="291">
        <f t="shared" si="100"/>
        <v>263406.27649999986</v>
      </c>
      <c r="BA183" s="291">
        <f t="shared" si="100"/>
        <v>263309.73179999983</v>
      </c>
      <c r="BB183" s="291">
        <f t="shared" si="100"/>
        <v>263213.18709999981</v>
      </c>
      <c r="BC183" s="291">
        <f t="shared" si="99"/>
        <v>262272</v>
      </c>
      <c r="BD183" s="298"/>
      <c r="BE183" s="291">
        <f t="shared" si="102"/>
        <v>263695.91059999994</v>
      </c>
      <c r="BF183" s="291">
        <f t="shared" si="102"/>
        <v>263599.36589999992</v>
      </c>
      <c r="BG183" s="291">
        <f t="shared" si="102"/>
        <v>263502.82119999989</v>
      </c>
      <c r="BH183" s="291">
        <f t="shared" si="101"/>
        <v>263406.27649999986</v>
      </c>
      <c r="BI183" s="291">
        <f t="shared" si="101"/>
        <v>263309.73179999983</v>
      </c>
      <c r="BJ183" s="291">
        <f t="shared" si="101"/>
        <v>263213.18709999981</v>
      </c>
      <c r="BK183" s="291">
        <f t="shared" si="101"/>
        <v>262272</v>
      </c>
      <c r="BL183" s="298"/>
      <c r="BM183" s="298"/>
      <c r="BN183" s="298"/>
      <c r="BO183" s="298"/>
    </row>
    <row r="184" spans="1:67" x14ac:dyDescent="0.15">
      <c r="A184" s="10" t="s">
        <v>46</v>
      </c>
      <c r="B184" s="10"/>
      <c r="C184" s="276"/>
      <c r="D184" s="276" t="str">
        <f t="shared" si="89"/>
        <v>No</v>
      </c>
      <c r="E184" s="276"/>
      <c r="F184" s="276"/>
      <c r="G184" s="8">
        <v>1</v>
      </c>
      <c r="H184" s="1">
        <v>166</v>
      </c>
      <c r="I184" s="10">
        <v>158</v>
      </c>
      <c r="J184" s="7" t="s">
        <v>170</v>
      </c>
      <c r="K184" s="287"/>
      <c r="L184" s="1">
        <v>5324.11</v>
      </c>
      <c r="M184" s="288"/>
      <c r="N184" s="289"/>
      <c r="O184" s="1">
        <v>171</v>
      </c>
      <c r="P184" s="290">
        <f t="shared" si="72"/>
        <v>3.2118044142589092E-2</v>
      </c>
      <c r="Q184" s="290">
        <f t="shared" si="73"/>
        <v>0</v>
      </c>
      <c r="R184" s="291">
        <f t="shared" si="74"/>
        <v>0</v>
      </c>
      <c r="S184" s="291">
        <f t="shared" si="90"/>
        <v>0</v>
      </c>
      <c r="T184" s="1">
        <v>62</v>
      </c>
      <c r="U184" s="1">
        <f t="shared" si="91"/>
        <v>9.2999999999999989</v>
      </c>
      <c r="V184" s="292">
        <f t="shared" si="75"/>
        <v>51.3</v>
      </c>
      <c r="W184" s="254">
        <f t="shared" si="76"/>
        <v>5384.71</v>
      </c>
      <c r="X184" s="1">
        <v>15942393016.67</v>
      </c>
      <c r="Y184" s="1">
        <v>28042</v>
      </c>
      <c r="Z184" s="264">
        <f t="shared" si="77"/>
        <v>568518.40000000002</v>
      </c>
      <c r="AA184" s="293">
        <f t="shared" si="78"/>
        <v>3.0450879999999998</v>
      </c>
      <c r="AB184" s="1">
        <v>181360</v>
      </c>
      <c r="AC184" s="293">
        <f t="shared" si="79"/>
        <v>1.5749949999999999</v>
      </c>
      <c r="AD184" s="293">
        <f t="shared" si="80"/>
        <v>-1.60406</v>
      </c>
      <c r="AE184" s="294">
        <f t="shared" si="81"/>
        <v>0.01</v>
      </c>
      <c r="AF184" s="295">
        <f t="shared" si="92"/>
        <v>0</v>
      </c>
      <c r="AG184" s="296">
        <f t="shared" si="93"/>
        <v>0.01</v>
      </c>
      <c r="AH184" s="1">
        <v>0</v>
      </c>
      <c r="AI184" s="1">
        <v>0</v>
      </c>
      <c r="AJ184" s="254">
        <f t="shared" si="82"/>
        <v>0</v>
      </c>
      <c r="AK184" s="9">
        <f t="shared" si="83"/>
        <v>0</v>
      </c>
      <c r="AL184" s="9">
        <f t="shared" si="84"/>
        <v>620588</v>
      </c>
      <c r="AM184" s="9">
        <f t="shared" si="85"/>
        <v>620588</v>
      </c>
      <c r="AN184" s="9">
        <f t="shared" si="94"/>
        <v>620588</v>
      </c>
      <c r="AO184" s="291">
        <v>465334</v>
      </c>
      <c r="AP184" s="9">
        <f t="shared" si="95"/>
        <v>155254</v>
      </c>
      <c r="AQ184" s="297" t="str">
        <f t="shared" si="96"/>
        <v>Yes</v>
      </c>
      <c r="AR184" s="291">
        <v>491178</v>
      </c>
      <c r="AS184" s="291">
        <f t="shared" si="86"/>
        <v>16550.076400000002</v>
      </c>
      <c r="AT184" s="291">
        <f t="shared" si="87"/>
        <v>507728.07640000002</v>
      </c>
      <c r="AU184" s="291">
        <f t="shared" si="88"/>
        <v>507728.07640000002</v>
      </c>
      <c r="AV184" s="291"/>
      <c r="AW184" s="291">
        <f t="shared" si="97"/>
        <v>524278.15280000004</v>
      </c>
      <c r="AX184" s="291">
        <f t="shared" si="100"/>
        <v>540828.22920000006</v>
      </c>
      <c r="AY184" s="291">
        <f t="shared" si="100"/>
        <v>557378.30560000008</v>
      </c>
      <c r="AZ184" s="291">
        <f t="shared" si="100"/>
        <v>573928.3820000001</v>
      </c>
      <c r="BA184" s="291">
        <f t="shared" si="100"/>
        <v>590478.45840000012</v>
      </c>
      <c r="BB184" s="291">
        <f t="shared" si="100"/>
        <v>607028.53480000014</v>
      </c>
      <c r="BC184" s="291">
        <f t="shared" si="99"/>
        <v>620588</v>
      </c>
      <c r="BD184" s="298"/>
      <c r="BE184" s="291">
        <f t="shared" si="102"/>
        <v>524278.15280000004</v>
      </c>
      <c r="BF184" s="291">
        <f t="shared" si="102"/>
        <v>540828.22920000006</v>
      </c>
      <c r="BG184" s="291">
        <f t="shared" si="102"/>
        <v>557378.30560000008</v>
      </c>
      <c r="BH184" s="291">
        <f t="shared" si="101"/>
        <v>573928.3820000001</v>
      </c>
      <c r="BI184" s="291">
        <f t="shared" si="101"/>
        <v>590478.45840000012</v>
      </c>
      <c r="BJ184" s="291">
        <f t="shared" si="101"/>
        <v>607028.53480000014</v>
      </c>
      <c r="BK184" s="291">
        <f t="shared" si="101"/>
        <v>620588</v>
      </c>
      <c r="BL184" s="298"/>
      <c r="BM184" s="298"/>
      <c r="BN184" s="298"/>
      <c r="BO184" s="298"/>
    </row>
    <row r="185" spans="1:67" x14ac:dyDescent="0.15">
      <c r="A185" s="10" t="s">
        <v>14</v>
      </c>
      <c r="B185" s="10"/>
      <c r="C185" s="276"/>
      <c r="D185" s="276" t="str">
        <f t="shared" si="89"/>
        <v>No</v>
      </c>
      <c r="E185" s="276"/>
      <c r="F185" s="276"/>
      <c r="G185" s="8">
        <v>8</v>
      </c>
      <c r="H185" s="1">
        <v>49</v>
      </c>
      <c r="I185" s="10">
        <v>159</v>
      </c>
      <c r="J185" s="7" t="s">
        <v>171</v>
      </c>
      <c r="K185" s="287"/>
      <c r="L185" s="1">
        <v>3845</v>
      </c>
      <c r="M185" s="288"/>
      <c r="N185" s="289"/>
      <c r="O185" s="1">
        <v>931</v>
      </c>
      <c r="P185" s="290">
        <f t="shared" si="72"/>
        <v>0.24213263979193758</v>
      </c>
      <c r="Q185" s="290">
        <f t="shared" si="73"/>
        <v>0</v>
      </c>
      <c r="R185" s="291">
        <f t="shared" si="74"/>
        <v>0</v>
      </c>
      <c r="S185" s="291">
        <f t="shared" si="90"/>
        <v>0</v>
      </c>
      <c r="T185" s="1">
        <v>342</v>
      </c>
      <c r="U185" s="1">
        <f t="shared" si="91"/>
        <v>51.3</v>
      </c>
      <c r="V185" s="292">
        <f t="shared" si="75"/>
        <v>279.3</v>
      </c>
      <c r="W185" s="254">
        <f t="shared" si="76"/>
        <v>4175.6000000000004</v>
      </c>
      <c r="X185" s="1">
        <v>3315542456.3299999</v>
      </c>
      <c r="Y185" s="1">
        <v>26195</v>
      </c>
      <c r="Z185" s="264">
        <f t="shared" si="77"/>
        <v>126571.58</v>
      </c>
      <c r="AA185" s="293">
        <f t="shared" si="78"/>
        <v>0.67793999999999999</v>
      </c>
      <c r="AB185" s="1">
        <v>81452</v>
      </c>
      <c r="AC185" s="293">
        <f t="shared" si="79"/>
        <v>0.70735800000000004</v>
      </c>
      <c r="AD185" s="293">
        <f t="shared" si="80"/>
        <v>0.31323499999999999</v>
      </c>
      <c r="AE185" s="294">
        <f t="shared" si="81"/>
        <v>0.31323499999999999</v>
      </c>
      <c r="AF185" s="295">
        <f t="shared" si="92"/>
        <v>0</v>
      </c>
      <c r="AG185" s="296">
        <f t="shared" si="93"/>
        <v>0.31323499999999999</v>
      </c>
      <c r="AH185" s="1">
        <v>0</v>
      </c>
      <c r="AI185" s="1">
        <v>0</v>
      </c>
      <c r="AJ185" s="254">
        <f t="shared" si="82"/>
        <v>0</v>
      </c>
      <c r="AK185" s="9">
        <f t="shared" si="83"/>
        <v>0</v>
      </c>
      <c r="AL185" s="9">
        <f t="shared" si="84"/>
        <v>15074055</v>
      </c>
      <c r="AM185" s="9">
        <f t="shared" si="85"/>
        <v>15074055</v>
      </c>
      <c r="AN185" s="9">
        <f t="shared" si="94"/>
        <v>15074055</v>
      </c>
      <c r="AO185" s="291">
        <v>9348852</v>
      </c>
      <c r="AP185" s="9">
        <f t="shared" si="95"/>
        <v>5725203</v>
      </c>
      <c r="AQ185" s="297" t="str">
        <f t="shared" si="96"/>
        <v>Yes</v>
      </c>
      <c r="AR185" s="291">
        <v>10274870</v>
      </c>
      <c r="AS185" s="291">
        <f t="shared" si="86"/>
        <v>610306.6398</v>
      </c>
      <c r="AT185" s="291">
        <f t="shared" si="87"/>
        <v>10885176.639800001</v>
      </c>
      <c r="AU185" s="291">
        <f t="shared" si="88"/>
        <v>10885176.639800001</v>
      </c>
      <c r="AV185" s="291"/>
      <c r="AW185" s="291">
        <f t="shared" si="97"/>
        <v>11495483.279600002</v>
      </c>
      <c r="AX185" s="291">
        <f t="shared" si="100"/>
        <v>12105789.919400003</v>
      </c>
      <c r="AY185" s="291">
        <f t="shared" si="100"/>
        <v>12716096.559200004</v>
      </c>
      <c r="AZ185" s="291">
        <f t="shared" si="100"/>
        <v>13326403.199000005</v>
      </c>
      <c r="BA185" s="291">
        <f t="shared" si="100"/>
        <v>13936709.838800006</v>
      </c>
      <c r="BB185" s="291">
        <f t="shared" si="100"/>
        <v>14547016.478600007</v>
      </c>
      <c r="BC185" s="291">
        <f t="shared" si="99"/>
        <v>15074055</v>
      </c>
      <c r="BD185" s="298"/>
      <c r="BE185" s="291">
        <f t="shared" si="102"/>
        <v>11495483.279600002</v>
      </c>
      <c r="BF185" s="291">
        <f t="shared" si="102"/>
        <v>12105789.919400003</v>
      </c>
      <c r="BG185" s="291">
        <f t="shared" si="102"/>
        <v>12716096.559200004</v>
      </c>
      <c r="BH185" s="291">
        <f t="shared" si="101"/>
        <v>13326403.199000005</v>
      </c>
      <c r="BI185" s="291">
        <f t="shared" si="101"/>
        <v>13936709.838800006</v>
      </c>
      <c r="BJ185" s="291">
        <f t="shared" si="101"/>
        <v>14547016.478600007</v>
      </c>
      <c r="BK185" s="291">
        <f t="shared" si="101"/>
        <v>15074055</v>
      </c>
      <c r="BL185" s="298"/>
      <c r="BM185" s="298"/>
      <c r="BN185" s="298"/>
      <c r="BO185" s="298"/>
    </row>
    <row r="186" spans="1:67" x14ac:dyDescent="0.15">
      <c r="A186" s="10" t="s">
        <v>8</v>
      </c>
      <c r="B186" s="10"/>
      <c r="C186" s="276"/>
      <c r="D186" s="276" t="str">
        <f t="shared" si="89"/>
        <v>No</v>
      </c>
      <c r="E186" s="276"/>
      <c r="F186" s="276"/>
      <c r="G186" s="8">
        <v>8</v>
      </c>
      <c r="H186" s="1">
        <v>76</v>
      </c>
      <c r="I186" s="10">
        <v>160</v>
      </c>
      <c r="J186" s="7" t="s">
        <v>172</v>
      </c>
      <c r="K186" s="287"/>
      <c r="L186" s="1">
        <v>622.96</v>
      </c>
      <c r="M186" s="288"/>
      <c r="N186" s="289"/>
      <c r="O186" s="1">
        <v>211</v>
      </c>
      <c r="P186" s="290">
        <f t="shared" si="72"/>
        <v>0.33870553486580196</v>
      </c>
      <c r="Q186" s="290">
        <f t="shared" si="73"/>
        <v>0</v>
      </c>
      <c r="R186" s="291">
        <f t="shared" si="74"/>
        <v>0</v>
      </c>
      <c r="S186" s="291">
        <f t="shared" si="90"/>
        <v>0</v>
      </c>
      <c r="T186" s="1">
        <v>7</v>
      </c>
      <c r="U186" s="1">
        <f t="shared" si="91"/>
        <v>1.05</v>
      </c>
      <c r="V186" s="292">
        <f t="shared" si="75"/>
        <v>63.3</v>
      </c>
      <c r="W186" s="254">
        <f t="shared" si="76"/>
        <v>687.31</v>
      </c>
      <c r="X186" s="1">
        <v>635525722.66999996</v>
      </c>
      <c r="Y186" s="1">
        <v>5921</v>
      </c>
      <c r="Z186" s="264">
        <f t="shared" si="77"/>
        <v>107334.19</v>
      </c>
      <c r="AA186" s="293">
        <f t="shared" si="78"/>
        <v>0.574901</v>
      </c>
      <c r="AB186" s="1">
        <v>75885</v>
      </c>
      <c r="AC186" s="293">
        <f t="shared" si="79"/>
        <v>0.65901200000000004</v>
      </c>
      <c r="AD186" s="293">
        <f t="shared" si="80"/>
        <v>0.399866</v>
      </c>
      <c r="AE186" s="294">
        <f t="shared" si="81"/>
        <v>0.399866</v>
      </c>
      <c r="AF186" s="295">
        <f t="shared" si="92"/>
        <v>0</v>
      </c>
      <c r="AG186" s="296">
        <f t="shared" si="93"/>
        <v>0.399866</v>
      </c>
      <c r="AH186" s="1">
        <v>175</v>
      </c>
      <c r="AI186" s="1">
        <v>4</v>
      </c>
      <c r="AJ186" s="254">
        <f t="shared" si="82"/>
        <v>30.77</v>
      </c>
      <c r="AK186" s="9">
        <f t="shared" si="83"/>
        <v>5385</v>
      </c>
      <c r="AL186" s="9">
        <f t="shared" si="84"/>
        <v>3167438</v>
      </c>
      <c r="AM186" s="9">
        <f t="shared" si="85"/>
        <v>3172823</v>
      </c>
      <c r="AN186" s="9">
        <f t="shared" si="94"/>
        <v>3172823</v>
      </c>
      <c r="AO186" s="291">
        <v>3637161</v>
      </c>
      <c r="AP186" s="9">
        <f t="shared" si="95"/>
        <v>464338</v>
      </c>
      <c r="AQ186" s="297" t="str">
        <f t="shared" si="96"/>
        <v>No</v>
      </c>
      <c r="AR186" s="291">
        <v>3495273</v>
      </c>
      <c r="AS186" s="291">
        <f t="shared" si="86"/>
        <v>38679.3554</v>
      </c>
      <c r="AT186" s="291">
        <f t="shared" si="87"/>
        <v>3456593.6446000002</v>
      </c>
      <c r="AU186" s="291">
        <f t="shared" si="88"/>
        <v>3456593.6446000002</v>
      </c>
      <c r="AV186" s="291"/>
      <c r="AW186" s="291">
        <f t="shared" si="97"/>
        <v>3417914.2892000005</v>
      </c>
      <c r="AX186" s="291">
        <f t="shared" si="100"/>
        <v>3379234.9338000007</v>
      </c>
      <c r="AY186" s="291">
        <f t="shared" si="100"/>
        <v>3340555.5784000009</v>
      </c>
      <c r="AZ186" s="291">
        <f t="shared" si="100"/>
        <v>3301876.2230000012</v>
      </c>
      <c r="BA186" s="291">
        <f t="shared" si="100"/>
        <v>3263196.8676000014</v>
      </c>
      <c r="BB186" s="291">
        <f t="shared" si="100"/>
        <v>3224517.5122000016</v>
      </c>
      <c r="BC186" s="291">
        <f t="shared" si="99"/>
        <v>3172823</v>
      </c>
      <c r="BD186" s="298"/>
      <c r="BE186" s="291">
        <f t="shared" si="102"/>
        <v>3417914.2892000005</v>
      </c>
      <c r="BF186" s="291">
        <f t="shared" si="102"/>
        <v>3379234.9338000007</v>
      </c>
      <c r="BG186" s="291">
        <f t="shared" si="102"/>
        <v>3340555.5784000009</v>
      </c>
      <c r="BH186" s="291">
        <f t="shared" si="101"/>
        <v>3301876.2230000012</v>
      </c>
      <c r="BI186" s="291">
        <f t="shared" si="101"/>
        <v>3263196.8676000014</v>
      </c>
      <c r="BJ186" s="291">
        <f t="shared" si="101"/>
        <v>3224517.5122000016</v>
      </c>
      <c r="BK186" s="291">
        <f t="shared" si="101"/>
        <v>3172823</v>
      </c>
      <c r="BL186" s="298"/>
      <c r="BM186" s="298"/>
      <c r="BN186" s="298"/>
      <c r="BO186" s="298"/>
    </row>
    <row r="187" spans="1:67" x14ac:dyDescent="0.15">
      <c r="A187" s="10" t="s">
        <v>46</v>
      </c>
      <c r="B187" s="10"/>
      <c r="C187" s="276"/>
      <c r="D187" s="276" t="str">
        <f t="shared" si="89"/>
        <v>No</v>
      </c>
      <c r="E187" s="276"/>
      <c r="F187" s="276"/>
      <c r="G187" s="8">
        <v>1</v>
      </c>
      <c r="H187" s="1">
        <v>160</v>
      </c>
      <c r="I187" s="10">
        <v>161</v>
      </c>
      <c r="J187" s="7" t="s">
        <v>173</v>
      </c>
      <c r="K187" s="287"/>
      <c r="L187" s="1">
        <v>3840.16</v>
      </c>
      <c r="M187" s="288"/>
      <c r="N187" s="289"/>
      <c r="O187" s="1">
        <v>191</v>
      </c>
      <c r="P187" s="290">
        <f t="shared" si="72"/>
        <v>4.9737510937044295E-2</v>
      </c>
      <c r="Q187" s="290">
        <f t="shared" si="73"/>
        <v>0</v>
      </c>
      <c r="R187" s="291">
        <f t="shared" si="74"/>
        <v>0</v>
      </c>
      <c r="S187" s="291">
        <f t="shared" si="90"/>
        <v>0</v>
      </c>
      <c r="T187" s="1">
        <v>31</v>
      </c>
      <c r="U187" s="1">
        <f t="shared" si="91"/>
        <v>4.6499999999999995</v>
      </c>
      <c r="V187" s="292">
        <f t="shared" si="75"/>
        <v>57.3</v>
      </c>
      <c r="W187" s="254">
        <f t="shared" si="76"/>
        <v>3902.11</v>
      </c>
      <c r="X187" s="1">
        <v>6290202172</v>
      </c>
      <c r="Y187" s="1">
        <v>18581</v>
      </c>
      <c r="Z187" s="264">
        <f t="shared" si="77"/>
        <v>338528.72</v>
      </c>
      <c r="AA187" s="293">
        <f t="shared" si="78"/>
        <v>1.813221</v>
      </c>
      <c r="AB187" s="1">
        <v>180313</v>
      </c>
      <c r="AC187" s="293">
        <f t="shared" si="79"/>
        <v>1.5659019999999999</v>
      </c>
      <c r="AD187" s="293">
        <f t="shared" si="80"/>
        <v>-0.73902500000000004</v>
      </c>
      <c r="AE187" s="294">
        <f t="shared" si="81"/>
        <v>0.01</v>
      </c>
      <c r="AF187" s="295">
        <f t="shared" si="92"/>
        <v>0</v>
      </c>
      <c r="AG187" s="296">
        <f t="shared" si="93"/>
        <v>0.01</v>
      </c>
      <c r="AH187" s="1">
        <v>0</v>
      </c>
      <c r="AI187" s="1">
        <v>0</v>
      </c>
      <c r="AJ187" s="254">
        <f t="shared" si="82"/>
        <v>0</v>
      </c>
      <c r="AK187" s="9">
        <f t="shared" si="83"/>
        <v>0</v>
      </c>
      <c r="AL187" s="9">
        <f t="shared" si="84"/>
        <v>449718</v>
      </c>
      <c r="AM187" s="9">
        <f t="shared" si="85"/>
        <v>449718</v>
      </c>
      <c r="AN187" s="9">
        <f t="shared" si="94"/>
        <v>449718</v>
      </c>
      <c r="AO187" s="291">
        <v>462941</v>
      </c>
      <c r="AP187" s="9">
        <f t="shared" si="95"/>
        <v>13223</v>
      </c>
      <c r="AQ187" s="297" t="str">
        <f t="shared" si="96"/>
        <v>No</v>
      </c>
      <c r="AR187" s="291">
        <v>462897</v>
      </c>
      <c r="AS187" s="291">
        <f t="shared" si="86"/>
        <v>1101.4758999999999</v>
      </c>
      <c r="AT187" s="291">
        <f t="shared" si="87"/>
        <v>461795.52409999998</v>
      </c>
      <c r="AU187" s="291">
        <f t="shared" si="88"/>
        <v>461795.52409999998</v>
      </c>
      <c r="AV187" s="291"/>
      <c r="AW187" s="291">
        <f t="shared" si="97"/>
        <v>460694.04819999996</v>
      </c>
      <c r="AX187" s="291">
        <f t="shared" si="100"/>
        <v>459592.57229999994</v>
      </c>
      <c r="AY187" s="291">
        <f t="shared" si="100"/>
        <v>458491.09639999992</v>
      </c>
      <c r="AZ187" s="291">
        <f t="shared" si="100"/>
        <v>457389.6204999999</v>
      </c>
      <c r="BA187" s="291">
        <f t="shared" si="100"/>
        <v>456288.14459999988</v>
      </c>
      <c r="BB187" s="291">
        <f t="shared" si="100"/>
        <v>455186.66869999986</v>
      </c>
      <c r="BC187" s="291">
        <f t="shared" si="99"/>
        <v>449718</v>
      </c>
      <c r="BD187" s="298"/>
      <c r="BE187" s="291">
        <f t="shared" si="102"/>
        <v>460694.04819999996</v>
      </c>
      <c r="BF187" s="291">
        <f t="shared" si="102"/>
        <v>459592.57229999994</v>
      </c>
      <c r="BG187" s="291">
        <f t="shared" si="102"/>
        <v>458491.09639999992</v>
      </c>
      <c r="BH187" s="291">
        <f t="shared" si="101"/>
        <v>457389.6204999999</v>
      </c>
      <c r="BI187" s="291">
        <f t="shared" si="101"/>
        <v>456288.14459999988</v>
      </c>
      <c r="BJ187" s="291">
        <f t="shared" si="101"/>
        <v>455186.66869999986</v>
      </c>
      <c r="BK187" s="291">
        <f t="shared" si="101"/>
        <v>449718</v>
      </c>
      <c r="BL187" s="298"/>
      <c r="BM187" s="298"/>
      <c r="BN187" s="298"/>
      <c r="BO187" s="298"/>
    </row>
    <row r="188" spans="1:67" x14ac:dyDescent="0.15">
      <c r="A188" s="10" t="s">
        <v>19</v>
      </c>
      <c r="B188" s="10"/>
      <c r="C188" s="276">
        <v>1</v>
      </c>
      <c r="D188" s="276" t="str">
        <f t="shared" si="89"/>
        <v>Yes</v>
      </c>
      <c r="E188" s="276">
        <v>1</v>
      </c>
      <c r="F188" s="276"/>
      <c r="G188" s="8">
        <v>9</v>
      </c>
      <c r="H188" s="1">
        <v>28</v>
      </c>
      <c r="I188" s="10">
        <v>162</v>
      </c>
      <c r="J188" s="7" t="s">
        <v>174</v>
      </c>
      <c r="K188" s="287"/>
      <c r="L188" s="1">
        <v>1109.98</v>
      </c>
      <c r="M188" s="300"/>
      <c r="N188" s="289"/>
      <c r="O188" s="1">
        <v>612</v>
      </c>
      <c r="P188" s="290">
        <f t="shared" si="72"/>
        <v>0.55136128578893318</v>
      </c>
      <c r="Q188" s="290">
        <f t="shared" si="73"/>
        <v>0</v>
      </c>
      <c r="R188" s="291">
        <f t="shared" si="74"/>
        <v>0</v>
      </c>
      <c r="S188" s="291">
        <f t="shared" si="90"/>
        <v>0</v>
      </c>
      <c r="T188" s="1">
        <v>37</v>
      </c>
      <c r="U188" s="1">
        <f t="shared" si="91"/>
        <v>5.55</v>
      </c>
      <c r="V188" s="292">
        <f t="shared" si="75"/>
        <v>183.6</v>
      </c>
      <c r="W188" s="254">
        <f t="shared" si="76"/>
        <v>1299.1299999999999</v>
      </c>
      <c r="X188" s="1">
        <v>1023064340</v>
      </c>
      <c r="Y188" s="1">
        <v>10739</v>
      </c>
      <c r="Z188" s="264">
        <f t="shared" si="77"/>
        <v>95266.26</v>
      </c>
      <c r="AA188" s="293">
        <f t="shared" si="78"/>
        <v>0.51026300000000002</v>
      </c>
      <c r="AB188" s="1">
        <v>57468</v>
      </c>
      <c r="AC188" s="293">
        <f t="shared" si="79"/>
        <v>0.49907299999999999</v>
      </c>
      <c r="AD188" s="293">
        <f t="shared" si="80"/>
        <v>0.49309399999999998</v>
      </c>
      <c r="AE188" s="294">
        <f t="shared" si="81"/>
        <v>0.49309399999999998</v>
      </c>
      <c r="AF188" s="295">
        <f t="shared" si="92"/>
        <v>0</v>
      </c>
      <c r="AG188" s="296">
        <f t="shared" si="93"/>
        <v>0.49309399999999998</v>
      </c>
      <c r="AH188" s="1">
        <v>0</v>
      </c>
      <c r="AI188" s="1">
        <v>0</v>
      </c>
      <c r="AJ188" s="254">
        <f t="shared" si="82"/>
        <v>0</v>
      </c>
      <c r="AK188" s="9">
        <f t="shared" si="83"/>
        <v>0</v>
      </c>
      <c r="AL188" s="9">
        <f t="shared" si="84"/>
        <v>7382837</v>
      </c>
      <c r="AM188" s="9">
        <f t="shared" si="85"/>
        <v>7382837</v>
      </c>
      <c r="AN188" s="9">
        <f t="shared" si="94"/>
        <v>8024957</v>
      </c>
      <c r="AO188" s="291">
        <v>8024957</v>
      </c>
      <c r="AP188" s="9">
        <f t="shared" si="95"/>
        <v>642120</v>
      </c>
      <c r="AQ188" s="297" t="str">
        <f t="shared" si="96"/>
        <v>No</v>
      </c>
      <c r="AR188" s="291">
        <v>8024957</v>
      </c>
      <c r="AS188" s="291">
        <f t="shared" si="86"/>
        <v>53488.595999999998</v>
      </c>
      <c r="AT188" s="291">
        <f t="shared" si="87"/>
        <v>7971468.4040000001</v>
      </c>
      <c r="AU188" s="291">
        <f t="shared" si="88"/>
        <v>8024957</v>
      </c>
      <c r="AV188" s="291"/>
      <c r="AW188" s="291">
        <f t="shared" si="97"/>
        <v>7971468.4040000001</v>
      </c>
      <c r="AX188" s="291">
        <f t="shared" ref="AX188:BB195" si="103">IF($AQ188="Yes",AW188+$AS188,AW188-$AS188)</f>
        <v>7917979.8080000002</v>
      </c>
      <c r="AY188" s="291">
        <f t="shared" si="103"/>
        <v>7864491.2120000003</v>
      </c>
      <c r="AZ188" s="291">
        <f t="shared" si="103"/>
        <v>7811002.6160000004</v>
      </c>
      <c r="BA188" s="291">
        <f t="shared" si="103"/>
        <v>7757514.0200000005</v>
      </c>
      <c r="BB188" s="291">
        <f t="shared" si="103"/>
        <v>7704025.4240000006</v>
      </c>
      <c r="BC188" s="291">
        <f t="shared" si="99"/>
        <v>7382837</v>
      </c>
      <c r="BD188" s="298"/>
      <c r="BE188" s="291">
        <f t="shared" si="102"/>
        <v>8024957</v>
      </c>
      <c r="BF188" s="291">
        <f t="shared" si="102"/>
        <v>8024957</v>
      </c>
      <c r="BG188" s="291">
        <f t="shared" si="102"/>
        <v>8024957</v>
      </c>
      <c r="BH188" s="291">
        <f t="shared" si="101"/>
        <v>8024957</v>
      </c>
      <c r="BI188" s="291">
        <f t="shared" si="101"/>
        <v>8024957</v>
      </c>
      <c r="BJ188" s="291">
        <f t="shared" si="101"/>
        <v>8024957</v>
      </c>
      <c r="BK188" s="291">
        <f t="shared" si="101"/>
        <v>8024957</v>
      </c>
      <c r="BL188" s="298"/>
      <c r="BM188" s="298"/>
      <c r="BN188" s="298"/>
      <c r="BO188" s="298"/>
    </row>
    <row r="189" spans="1:67" x14ac:dyDescent="0.15">
      <c r="A189" s="10" t="s">
        <v>24</v>
      </c>
      <c r="B189" s="10">
        <v>1</v>
      </c>
      <c r="C189" s="276">
        <v>1</v>
      </c>
      <c r="D189" s="276" t="str">
        <f t="shared" si="89"/>
        <v>Yes</v>
      </c>
      <c r="E189" s="276">
        <v>0</v>
      </c>
      <c r="F189" s="276">
        <v>1</v>
      </c>
      <c r="G189" s="8">
        <v>10</v>
      </c>
      <c r="H189" s="1">
        <v>6</v>
      </c>
      <c r="I189" s="10">
        <v>163</v>
      </c>
      <c r="J189" s="7" t="s">
        <v>175</v>
      </c>
      <c r="K189" s="287"/>
      <c r="L189" s="1">
        <v>3299.23</v>
      </c>
      <c r="M189" s="300"/>
      <c r="N189" s="289"/>
      <c r="O189" s="1">
        <v>2478</v>
      </c>
      <c r="P189" s="290">
        <f t="shared" si="72"/>
        <v>0.75108434392267287</v>
      </c>
      <c r="Q189" s="290">
        <f t="shared" si="73"/>
        <v>1.0843439226728702E-3</v>
      </c>
      <c r="R189" s="291">
        <f t="shared" si="74"/>
        <v>3.5775000000000134</v>
      </c>
      <c r="S189" s="291">
        <f t="shared" si="90"/>
        <v>0.17887500000000067</v>
      </c>
      <c r="T189" s="1">
        <v>965</v>
      </c>
      <c r="U189" s="1">
        <f t="shared" si="91"/>
        <v>144.75</v>
      </c>
      <c r="V189" s="292">
        <f t="shared" si="75"/>
        <v>743.4</v>
      </c>
      <c r="W189" s="254">
        <f t="shared" si="76"/>
        <v>4187.5588749999997</v>
      </c>
      <c r="X189" s="1">
        <v>1344850080.6700001</v>
      </c>
      <c r="Y189" s="1">
        <v>24686</v>
      </c>
      <c r="Z189" s="264">
        <f t="shared" si="77"/>
        <v>54478.25</v>
      </c>
      <c r="AA189" s="293">
        <f t="shared" si="78"/>
        <v>0.29179500000000003</v>
      </c>
      <c r="AB189" s="1">
        <v>41293</v>
      </c>
      <c r="AC189" s="293">
        <f t="shared" si="79"/>
        <v>0.35860300000000001</v>
      </c>
      <c r="AD189" s="293">
        <f t="shared" si="80"/>
        <v>0.68816299999999997</v>
      </c>
      <c r="AE189" s="294">
        <f t="shared" si="81"/>
        <v>0.68816299999999997</v>
      </c>
      <c r="AF189" s="295">
        <f t="shared" si="92"/>
        <v>0.05</v>
      </c>
      <c r="AG189" s="296">
        <f t="shared" si="93"/>
        <v>0.73816300000000001</v>
      </c>
      <c r="AH189" s="1">
        <v>0</v>
      </c>
      <c r="AI189" s="1">
        <v>0</v>
      </c>
      <c r="AJ189" s="254">
        <f t="shared" si="82"/>
        <v>0</v>
      </c>
      <c r="AK189" s="9">
        <f t="shared" si="83"/>
        <v>0</v>
      </c>
      <c r="AL189" s="9">
        <f t="shared" si="84"/>
        <v>35624939</v>
      </c>
      <c r="AM189" s="9">
        <f t="shared" si="85"/>
        <v>35624939</v>
      </c>
      <c r="AN189" s="9">
        <f t="shared" si="94"/>
        <v>35624939</v>
      </c>
      <c r="AO189" s="291">
        <v>26582071</v>
      </c>
      <c r="AP189" s="9">
        <f t="shared" si="95"/>
        <v>9042868</v>
      </c>
      <c r="AQ189" s="297" t="str">
        <f t="shared" si="96"/>
        <v>Yes</v>
      </c>
      <c r="AR189" s="291">
        <v>27999008</v>
      </c>
      <c r="AS189" s="291">
        <f t="shared" si="86"/>
        <v>963969.72880000004</v>
      </c>
      <c r="AT189" s="291">
        <f t="shared" si="87"/>
        <v>28962977.728799999</v>
      </c>
      <c r="AU189" s="291">
        <f t="shared" si="88"/>
        <v>28962977.728799999</v>
      </c>
      <c r="AV189" s="291"/>
      <c r="AW189" s="291">
        <f t="shared" si="97"/>
        <v>29926947.457599998</v>
      </c>
      <c r="AX189" s="291">
        <f t="shared" si="103"/>
        <v>30890917.186399996</v>
      </c>
      <c r="AY189" s="291">
        <f t="shared" si="103"/>
        <v>31854886.915199995</v>
      </c>
      <c r="AZ189" s="291">
        <f t="shared" si="103"/>
        <v>32818856.643999994</v>
      </c>
      <c r="BA189" s="291">
        <f t="shared" si="103"/>
        <v>33782826.372799993</v>
      </c>
      <c r="BB189" s="291">
        <f t="shared" si="103"/>
        <v>34746796.101599991</v>
      </c>
      <c r="BC189" s="291">
        <f t="shared" si="99"/>
        <v>35624939</v>
      </c>
      <c r="BD189" s="298"/>
      <c r="BE189" s="291">
        <f t="shared" si="102"/>
        <v>29926947.457599998</v>
      </c>
      <c r="BF189" s="291">
        <f t="shared" si="102"/>
        <v>30890917.186399996</v>
      </c>
      <c r="BG189" s="291">
        <f t="shared" si="102"/>
        <v>31854886.915199995</v>
      </c>
      <c r="BH189" s="291">
        <f t="shared" si="101"/>
        <v>32818856.643999994</v>
      </c>
      <c r="BI189" s="291">
        <f t="shared" si="101"/>
        <v>33782826.372799993</v>
      </c>
      <c r="BJ189" s="291">
        <f t="shared" si="101"/>
        <v>34746796.101599991</v>
      </c>
      <c r="BK189" s="291">
        <f t="shared" si="101"/>
        <v>35624939</v>
      </c>
      <c r="BL189" s="298"/>
      <c r="BM189" s="298"/>
      <c r="BN189" s="298"/>
      <c r="BO189" s="298"/>
    </row>
    <row r="190" spans="1:67" x14ac:dyDescent="0.15">
      <c r="A190" s="10" t="s">
        <v>14</v>
      </c>
      <c r="B190" s="10"/>
      <c r="C190" s="276">
        <v>1</v>
      </c>
      <c r="D190" s="276" t="str">
        <f t="shared" si="89"/>
        <v>Yes</v>
      </c>
      <c r="E190" s="276">
        <v>1</v>
      </c>
      <c r="F190" s="276"/>
      <c r="G190" s="8">
        <v>6</v>
      </c>
      <c r="H190" s="1">
        <v>41</v>
      </c>
      <c r="I190" s="10">
        <v>164</v>
      </c>
      <c r="J190" s="7" t="s">
        <v>176</v>
      </c>
      <c r="K190" s="287"/>
      <c r="L190" s="1">
        <v>3917.95</v>
      </c>
      <c r="M190" s="300"/>
      <c r="N190" s="289"/>
      <c r="O190" s="1">
        <v>1616</v>
      </c>
      <c r="P190" s="290">
        <f t="shared" si="72"/>
        <v>0.41246059801682006</v>
      </c>
      <c r="Q190" s="290">
        <f t="shared" si="73"/>
        <v>0</v>
      </c>
      <c r="R190" s="291">
        <f t="shared" si="74"/>
        <v>0</v>
      </c>
      <c r="S190" s="291">
        <f t="shared" si="90"/>
        <v>0</v>
      </c>
      <c r="T190" s="1">
        <v>134</v>
      </c>
      <c r="U190" s="1">
        <f t="shared" si="91"/>
        <v>20.099999999999998</v>
      </c>
      <c r="V190" s="292">
        <f t="shared" si="75"/>
        <v>484.8</v>
      </c>
      <c r="W190" s="254">
        <f t="shared" si="76"/>
        <v>4422.8500000000004</v>
      </c>
      <c r="X190" s="1">
        <v>4400387937.6700001</v>
      </c>
      <c r="Y190" s="1">
        <v>28898</v>
      </c>
      <c r="Z190" s="264">
        <f t="shared" si="77"/>
        <v>152273.1</v>
      </c>
      <c r="AA190" s="293">
        <f t="shared" si="78"/>
        <v>0.81560200000000005</v>
      </c>
      <c r="AB190" s="1">
        <v>89565</v>
      </c>
      <c r="AC190" s="293">
        <f t="shared" si="79"/>
        <v>0.77781400000000001</v>
      </c>
      <c r="AD190" s="293">
        <f t="shared" si="80"/>
        <v>0.19573399999999999</v>
      </c>
      <c r="AE190" s="294">
        <f t="shared" si="81"/>
        <v>0.19573399999999999</v>
      </c>
      <c r="AF190" s="295">
        <f t="shared" si="92"/>
        <v>0</v>
      </c>
      <c r="AG190" s="296">
        <f t="shared" si="93"/>
        <v>0.19573399999999999</v>
      </c>
      <c r="AH190" s="1">
        <v>0</v>
      </c>
      <c r="AI190" s="1">
        <v>0</v>
      </c>
      <c r="AJ190" s="254">
        <f t="shared" si="82"/>
        <v>0</v>
      </c>
      <c r="AK190" s="9">
        <f t="shared" si="83"/>
        <v>0</v>
      </c>
      <c r="AL190" s="9">
        <f t="shared" si="84"/>
        <v>9977217</v>
      </c>
      <c r="AM190" s="9">
        <f t="shared" si="85"/>
        <v>9977217</v>
      </c>
      <c r="AN190" s="9">
        <f t="shared" si="94"/>
        <v>12130392</v>
      </c>
      <c r="AO190" s="291">
        <v>12130392</v>
      </c>
      <c r="AP190" s="9">
        <f t="shared" si="95"/>
        <v>2153175</v>
      </c>
      <c r="AQ190" s="297" t="str">
        <f t="shared" si="96"/>
        <v>No</v>
      </c>
      <c r="AR190" s="291">
        <v>12130392</v>
      </c>
      <c r="AS190" s="291">
        <f t="shared" si="86"/>
        <v>179359.47750000001</v>
      </c>
      <c r="AT190" s="291">
        <f t="shared" si="87"/>
        <v>11951032.522500001</v>
      </c>
      <c r="AU190" s="291">
        <f t="shared" si="88"/>
        <v>12130392</v>
      </c>
      <c r="AV190" s="291"/>
      <c r="AW190" s="291">
        <f t="shared" si="97"/>
        <v>11951032.522500001</v>
      </c>
      <c r="AX190" s="291">
        <f t="shared" si="103"/>
        <v>11771673.045000002</v>
      </c>
      <c r="AY190" s="291">
        <f t="shared" si="103"/>
        <v>11592313.567500003</v>
      </c>
      <c r="AZ190" s="291">
        <f t="shared" si="103"/>
        <v>11412954.090000004</v>
      </c>
      <c r="BA190" s="291">
        <f t="shared" si="103"/>
        <v>11233594.612500004</v>
      </c>
      <c r="BB190" s="291">
        <f t="shared" si="103"/>
        <v>11054235.135000005</v>
      </c>
      <c r="BC190" s="291">
        <f t="shared" si="99"/>
        <v>9977217</v>
      </c>
      <c r="BD190" s="298"/>
      <c r="BE190" s="291">
        <f t="shared" si="102"/>
        <v>12130392</v>
      </c>
      <c r="BF190" s="291">
        <f t="shared" si="102"/>
        <v>12130392</v>
      </c>
      <c r="BG190" s="291">
        <f t="shared" si="102"/>
        <v>12130392</v>
      </c>
      <c r="BH190" s="291">
        <f t="shared" si="101"/>
        <v>12130392</v>
      </c>
      <c r="BI190" s="291">
        <f t="shared" si="101"/>
        <v>12130392</v>
      </c>
      <c r="BJ190" s="291">
        <f t="shared" si="101"/>
        <v>12130392</v>
      </c>
      <c r="BK190" s="291">
        <f t="shared" si="101"/>
        <v>12130392</v>
      </c>
      <c r="BL190" s="298"/>
      <c r="BM190" s="298"/>
      <c r="BN190" s="298"/>
      <c r="BO190" s="298"/>
    </row>
    <row r="191" spans="1:67" x14ac:dyDescent="0.15">
      <c r="A191" s="10" t="s">
        <v>32</v>
      </c>
      <c r="B191" s="10"/>
      <c r="C191" s="276">
        <v>1</v>
      </c>
      <c r="D191" s="276" t="str">
        <f t="shared" si="89"/>
        <v>Yes</v>
      </c>
      <c r="E191" s="276">
        <v>1</v>
      </c>
      <c r="F191" s="276"/>
      <c r="G191" s="8">
        <v>7</v>
      </c>
      <c r="H191" s="1">
        <v>51</v>
      </c>
      <c r="I191" s="10">
        <v>165</v>
      </c>
      <c r="J191" s="7" t="s">
        <v>177</v>
      </c>
      <c r="K191" s="287"/>
      <c r="L191" s="1">
        <v>1634.74</v>
      </c>
      <c r="M191" s="288"/>
      <c r="N191" s="289"/>
      <c r="O191" s="1">
        <v>687</v>
      </c>
      <c r="P191" s="290">
        <f t="shared" si="72"/>
        <v>0.42025031503480675</v>
      </c>
      <c r="Q191" s="290">
        <f t="shared" si="73"/>
        <v>0</v>
      </c>
      <c r="R191" s="291">
        <f t="shared" si="74"/>
        <v>0</v>
      </c>
      <c r="S191" s="291">
        <f t="shared" si="90"/>
        <v>0</v>
      </c>
      <c r="T191" s="1">
        <v>100</v>
      </c>
      <c r="U191" s="1">
        <f t="shared" si="91"/>
        <v>15</v>
      </c>
      <c r="V191" s="292">
        <f t="shared" si="75"/>
        <v>206.1</v>
      </c>
      <c r="W191" s="254">
        <f t="shared" si="76"/>
        <v>1855.84</v>
      </c>
      <c r="X191" s="1">
        <v>1967422458.6700001</v>
      </c>
      <c r="Y191" s="1">
        <v>12554</v>
      </c>
      <c r="Z191" s="264">
        <f t="shared" si="77"/>
        <v>156716.78</v>
      </c>
      <c r="AA191" s="293">
        <f t="shared" si="78"/>
        <v>0.83940400000000004</v>
      </c>
      <c r="AB191" s="1">
        <v>67072</v>
      </c>
      <c r="AC191" s="293">
        <f t="shared" si="79"/>
        <v>0.58247700000000002</v>
      </c>
      <c r="AD191" s="293">
        <f t="shared" si="80"/>
        <v>0.237674</v>
      </c>
      <c r="AE191" s="294">
        <f t="shared" si="81"/>
        <v>0.237674</v>
      </c>
      <c r="AF191" s="295">
        <f t="shared" si="92"/>
        <v>0</v>
      </c>
      <c r="AG191" s="296">
        <f t="shared" si="93"/>
        <v>0.237674</v>
      </c>
      <c r="AH191" s="1">
        <v>0</v>
      </c>
      <c r="AI191" s="1">
        <v>0</v>
      </c>
      <c r="AJ191" s="254">
        <f t="shared" si="82"/>
        <v>0</v>
      </c>
      <c r="AK191" s="9">
        <f t="shared" si="83"/>
        <v>0</v>
      </c>
      <c r="AL191" s="9">
        <f t="shared" si="84"/>
        <v>5083504</v>
      </c>
      <c r="AM191" s="9">
        <f t="shared" si="85"/>
        <v>5083504</v>
      </c>
      <c r="AN191" s="9">
        <f t="shared" si="94"/>
        <v>5167806</v>
      </c>
      <c r="AO191" s="291">
        <v>5167806</v>
      </c>
      <c r="AP191" s="9">
        <f t="shared" si="95"/>
        <v>84302</v>
      </c>
      <c r="AQ191" s="297" t="str">
        <f t="shared" si="96"/>
        <v>No</v>
      </c>
      <c r="AR191" s="291">
        <v>5232321</v>
      </c>
      <c r="AS191" s="291">
        <f t="shared" si="86"/>
        <v>7022.3566000000001</v>
      </c>
      <c r="AT191" s="291">
        <f t="shared" si="87"/>
        <v>5225298.6434000004</v>
      </c>
      <c r="AU191" s="291">
        <f t="shared" si="88"/>
        <v>5225298.6434000004</v>
      </c>
      <c r="AV191" s="291"/>
      <c r="AW191" s="291">
        <f t="shared" si="97"/>
        <v>5218276.2868000008</v>
      </c>
      <c r="AX191" s="291">
        <f t="shared" si="103"/>
        <v>5211253.9302000012</v>
      </c>
      <c r="AY191" s="291">
        <f t="shared" si="103"/>
        <v>5204231.5736000016</v>
      </c>
      <c r="AZ191" s="291">
        <f t="shared" si="103"/>
        <v>5197209.217000002</v>
      </c>
      <c r="BA191" s="291">
        <f t="shared" si="103"/>
        <v>5190186.8604000024</v>
      </c>
      <c r="BB191" s="291">
        <f t="shared" si="103"/>
        <v>5183164.5038000029</v>
      </c>
      <c r="BC191" s="291">
        <f t="shared" si="99"/>
        <v>5083504</v>
      </c>
      <c r="BD191" s="298"/>
      <c r="BE191" s="291">
        <f t="shared" si="102"/>
        <v>5218276.2868000008</v>
      </c>
      <c r="BF191" s="291">
        <f t="shared" si="102"/>
        <v>5211253.9302000012</v>
      </c>
      <c r="BG191" s="291">
        <f t="shared" si="102"/>
        <v>5204231.5736000016</v>
      </c>
      <c r="BH191" s="291">
        <f t="shared" si="101"/>
        <v>5197209.217000002</v>
      </c>
      <c r="BI191" s="291">
        <f t="shared" si="101"/>
        <v>5190186.8604000024</v>
      </c>
      <c r="BJ191" s="291">
        <f t="shared" si="101"/>
        <v>5183164.5038000029</v>
      </c>
      <c r="BK191" s="291">
        <f t="shared" si="101"/>
        <v>5167806</v>
      </c>
      <c r="BL191" s="298"/>
      <c r="BM191" s="298"/>
      <c r="BN191" s="298"/>
      <c r="BO191" s="298"/>
    </row>
    <row r="192" spans="1:67" ht="15.75" customHeight="1" x14ac:dyDescent="0.15">
      <c r="A192" s="10" t="s">
        <v>32</v>
      </c>
      <c r="B192" s="10"/>
      <c r="C192" s="276"/>
      <c r="D192" s="276" t="str">
        <f t="shared" si="89"/>
        <v>No</v>
      </c>
      <c r="E192" s="276"/>
      <c r="F192" s="276"/>
      <c r="G192" s="8">
        <v>7</v>
      </c>
      <c r="H192" s="1">
        <v>57</v>
      </c>
      <c r="I192" s="10">
        <v>166</v>
      </c>
      <c r="J192" s="7" t="s">
        <v>178</v>
      </c>
      <c r="K192" s="287"/>
      <c r="L192" s="1">
        <v>2395.84</v>
      </c>
      <c r="M192" s="288"/>
      <c r="N192" s="289"/>
      <c r="O192" s="1">
        <v>706</v>
      </c>
      <c r="P192" s="290">
        <f t="shared" si="72"/>
        <v>0.29467744089755576</v>
      </c>
      <c r="Q192" s="290">
        <f t="shared" si="73"/>
        <v>0</v>
      </c>
      <c r="R192" s="291">
        <f t="shared" si="74"/>
        <v>0</v>
      </c>
      <c r="S192" s="291">
        <f t="shared" si="90"/>
        <v>0</v>
      </c>
      <c r="T192" s="1">
        <v>72</v>
      </c>
      <c r="U192" s="1">
        <f t="shared" si="91"/>
        <v>10.799999999999999</v>
      </c>
      <c r="V192" s="292">
        <f t="shared" si="75"/>
        <v>211.8</v>
      </c>
      <c r="W192" s="254">
        <f t="shared" si="76"/>
        <v>2618.4400000000005</v>
      </c>
      <c r="X192" s="1">
        <v>1818529085.6700001</v>
      </c>
      <c r="Y192" s="1">
        <v>16672</v>
      </c>
      <c r="Z192" s="264">
        <f t="shared" si="77"/>
        <v>109076.84</v>
      </c>
      <c r="AA192" s="293">
        <f t="shared" si="78"/>
        <v>0.58423499999999995</v>
      </c>
      <c r="AB192" s="1">
        <v>87045</v>
      </c>
      <c r="AC192" s="293">
        <f t="shared" si="79"/>
        <v>0.75592999999999999</v>
      </c>
      <c r="AD192" s="293">
        <f t="shared" si="80"/>
        <v>0.364257</v>
      </c>
      <c r="AE192" s="294">
        <f t="shared" si="81"/>
        <v>0.364257</v>
      </c>
      <c r="AF192" s="295">
        <f t="shared" si="92"/>
        <v>0</v>
      </c>
      <c r="AG192" s="296">
        <f t="shared" si="93"/>
        <v>0.364257</v>
      </c>
      <c r="AH192" s="1">
        <v>0</v>
      </c>
      <c r="AI192" s="1">
        <v>0</v>
      </c>
      <c r="AJ192" s="254">
        <f t="shared" si="82"/>
        <v>0</v>
      </c>
      <c r="AK192" s="9">
        <f t="shared" si="83"/>
        <v>0</v>
      </c>
      <c r="AL192" s="9">
        <f t="shared" si="84"/>
        <v>10992373</v>
      </c>
      <c r="AM192" s="9">
        <f t="shared" si="85"/>
        <v>10992373</v>
      </c>
      <c r="AN192" s="9">
        <f t="shared" si="94"/>
        <v>10992373</v>
      </c>
      <c r="AO192" s="291">
        <v>13423576</v>
      </c>
      <c r="AP192" s="9">
        <f t="shared" si="95"/>
        <v>2431203</v>
      </c>
      <c r="AQ192" s="297" t="str">
        <f t="shared" si="96"/>
        <v>No</v>
      </c>
      <c r="AR192" s="291">
        <v>12589693</v>
      </c>
      <c r="AS192" s="291">
        <f t="shared" si="86"/>
        <v>202519.20989999999</v>
      </c>
      <c r="AT192" s="291">
        <f t="shared" si="87"/>
        <v>12387173.790100001</v>
      </c>
      <c r="AU192" s="291">
        <f t="shared" si="88"/>
        <v>12387173.790100001</v>
      </c>
      <c r="AV192" s="291"/>
      <c r="AW192" s="291">
        <f t="shared" si="97"/>
        <v>12184654.580200002</v>
      </c>
      <c r="AX192" s="291">
        <f t="shared" si="103"/>
        <v>11982135.370300002</v>
      </c>
      <c r="AY192" s="291">
        <f t="shared" si="103"/>
        <v>11779616.160400003</v>
      </c>
      <c r="AZ192" s="291">
        <f t="shared" si="103"/>
        <v>11577096.950500004</v>
      </c>
      <c r="BA192" s="291">
        <f t="shared" si="103"/>
        <v>11374577.740600005</v>
      </c>
      <c r="BB192" s="291">
        <f t="shared" si="103"/>
        <v>11172058.530700006</v>
      </c>
      <c r="BC192" s="291">
        <f t="shared" si="99"/>
        <v>10992373</v>
      </c>
      <c r="BD192" s="298"/>
      <c r="BE192" s="291">
        <f t="shared" si="102"/>
        <v>12184654.580200002</v>
      </c>
      <c r="BF192" s="291">
        <f t="shared" si="102"/>
        <v>11982135.370300002</v>
      </c>
      <c r="BG192" s="291">
        <f t="shared" si="102"/>
        <v>11779616.160400003</v>
      </c>
      <c r="BH192" s="291">
        <f t="shared" si="101"/>
        <v>11577096.950500004</v>
      </c>
      <c r="BI192" s="291">
        <f t="shared" si="101"/>
        <v>11374577.740600005</v>
      </c>
      <c r="BJ192" s="291">
        <f t="shared" si="101"/>
        <v>11172058.530700006</v>
      </c>
      <c r="BK192" s="291">
        <f t="shared" si="101"/>
        <v>10992373</v>
      </c>
      <c r="BL192" s="298"/>
      <c r="BM192" s="298"/>
      <c r="BN192" s="298"/>
      <c r="BO192" s="298"/>
    </row>
    <row r="193" spans="1:67" x14ac:dyDescent="0.15">
      <c r="A193" s="10" t="s">
        <v>10</v>
      </c>
      <c r="B193" s="10"/>
      <c r="C193" s="276"/>
      <c r="D193" s="276" t="str">
        <f t="shared" si="89"/>
        <v>No</v>
      </c>
      <c r="E193" s="276"/>
      <c r="F193" s="276"/>
      <c r="G193" s="8">
        <v>2</v>
      </c>
      <c r="H193" s="1">
        <v>129</v>
      </c>
      <c r="I193" s="10">
        <v>167</v>
      </c>
      <c r="J193" s="7" t="s">
        <v>179</v>
      </c>
      <c r="K193" s="287"/>
      <c r="L193" s="1">
        <v>1556.94</v>
      </c>
      <c r="M193" s="288"/>
      <c r="N193" s="289"/>
      <c r="O193" s="1">
        <v>182</v>
      </c>
      <c r="P193" s="290">
        <f t="shared" si="72"/>
        <v>0.11689596259329196</v>
      </c>
      <c r="Q193" s="290">
        <f t="shared" si="73"/>
        <v>0</v>
      </c>
      <c r="R193" s="291">
        <f t="shared" si="74"/>
        <v>0</v>
      </c>
      <c r="S193" s="291">
        <f t="shared" si="90"/>
        <v>0</v>
      </c>
      <c r="T193" s="1">
        <v>33</v>
      </c>
      <c r="U193" s="1">
        <f t="shared" si="91"/>
        <v>4.95</v>
      </c>
      <c r="V193" s="292">
        <f t="shared" si="75"/>
        <v>54.6</v>
      </c>
      <c r="W193" s="254">
        <f t="shared" si="76"/>
        <v>1616.49</v>
      </c>
      <c r="X193" s="1">
        <v>1680045093.6700001</v>
      </c>
      <c r="Y193" s="1">
        <v>8853</v>
      </c>
      <c r="Z193" s="264">
        <f t="shared" si="77"/>
        <v>189771.27</v>
      </c>
      <c r="AA193" s="293">
        <f t="shared" si="78"/>
        <v>1.0164489999999999</v>
      </c>
      <c r="AB193" s="1">
        <v>138320</v>
      </c>
      <c r="AC193" s="293">
        <f t="shared" si="79"/>
        <v>1.20122</v>
      </c>
      <c r="AD193" s="293">
        <f t="shared" si="80"/>
        <v>-7.1879999999999999E-2</v>
      </c>
      <c r="AE193" s="294">
        <f t="shared" si="81"/>
        <v>0.01</v>
      </c>
      <c r="AF193" s="295">
        <f t="shared" si="92"/>
        <v>0</v>
      </c>
      <c r="AG193" s="296">
        <f t="shared" si="93"/>
        <v>0.01</v>
      </c>
      <c r="AH193" s="1">
        <v>692</v>
      </c>
      <c r="AI193" s="1">
        <v>6</v>
      </c>
      <c r="AJ193" s="254">
        <f t="shared" si="82"/>
        <v>46.15</v>
      </c>
      <c r="AK193" s="9">
        <f t="shared" si="83"/>
        <v>31936</v>
      </c>
      <c r="AL193" s="9">
        <f t="shared" si="84"/>
        <v>186300</v>
      </c>
      <c r="AM193" s="9">
        <f t="shared" si="85"/>
        <v>218236</v>
      </c>
      <c r="AN193" s="9">
        <f t="shared" si="94"/>
        <v>218236</v>
      </c>
      <c r="AO193" s="291">
        <v>656185</v>
      </c>
      <c r="AP193" s="9">
        <f t="shared" si="95"/>
        <v>437949</v>
      </c>
      <c r="AQ193" s="297" t="str">
        <f t="shared" si="96"/>
        <v>No</v>
      </c>
      <c r="AR193" s="291">
        <v>508056</v>
      </c>
      <c r="AS193" s="291">
        <f t="shared" si="86"/>
        <v>36481.151700000002</v>
      </c>
      <c r="AT193" s="291">
        <f t="shared" si="87"/>
        <v>471574.84830000001</v>
      </c>
      <c r="AU193" s="291">
        <f t="shared" si="88"/>
        <v>471574.84830000001</v>
      </c>
      <c r="AV193" s="291"/>
      <c r="AW193" s="291">
        <f t="shared" si="97"/>
        <v>435093.69660000002</v>
      </c>
      <c r="AX193" s="291">
        <f t="shared" si="103"/>
        <v>398612.54490000004</v>
      </c>
      <c r="AY193" s="291">
        <f t="shared" si="103"/>
        <v>362131.39320000005</v>
      </c>
      <c r="AZ193" s="291">
        <f t="shared" si="103"/>
        <v>325650.24150000006</v>
      </c>
      <c r="BA193" s="291">
        <f t="shared" si="103"/>
        <v>289169.08980000007</v>
      </c>
      <c r="BB193" s="291">
        <f t="shared" si="103"/>
        <v>252687.93810000009</v>
      </c>
      <c r="BC193" s="291">
        <f t="shared" si="99"/>
        <v>218236</v>
      </c>
      <c r="BD193" s="298"/>
      <c r="BE193" s="291">
        <f t="shared" si="102"/>
        <v>435093.69660000002</v>
      </c>
      <c r="BF193" s="291">
        <f t="shared" si="102"/>
        <v>398612.54490000004</v>
      </c>
      <c r="BG193" s="291">
        <f t="shared" si="102"/>
        <v>362131.39320000005</v>
      </c>
      <c r="BH193" s="291">
        <f t="shared" si="101"/>
        <v>325650.24150000006</v>
      </c>
      <c r="BI193" s="291">
        <f t="shared" si="101"/>
        <v>289169.08980000007</v>
      </c>
      <c r="BJ193" s="291">
        <f t="shared" si="101"/>
        <v>252687.93810000009</v>
      </c>
      <c r="BK193" s="291">
        <f t="shared" si="101"/>
        <v>218236</v>
      </c>
      <c r="BL193" s="298"/>
      <c r="BM193" s="298"/>
      <c r="BN193" s="298"/>
      <c r="BO193" s="298"/>
    </row>
    <row r="194" spans="1:67" x14ac:dyDescent="0.15">
      <c r="A194" s="10" t="s">
        <v>4</v>
      </c>
      <c r="B194" s="10"/>
      <c r="C194" s="276"/>
      <c r="D194" s="276" t="str">
        <f t="shared" si="89"/>
        <v>No</v>
      </c>
      <c r="E194" s="276"/>
      <c r="F194" s="276"/>
      <c r="G194" s="8">
        <v>4</v>
      </c>
      <c r="H194" s="1">
        <v>117</v>
      </c>
      <c r="I194" s="10">
        <v>168</v>
      </c>
      <c r="J194" s="7" t="s">
        <v>180</v>
      </c>
      <c r="K194" s="287"/>
      <c r="L194" s="1">
        <v>1024.8399999999999</v>
      </c>
      <c r="M194" s="288"/>
      <c r="N194" s="289"/>
      <c r="O194" s="1">
        <v>163</v>
      </c>
      <c r="P194" s="290">
        <f t="shared" si="72"/>
        <v>0.15904921743881972</v>
      </c>
      <c r="Q194" s="290">
        <f t="shared" si="73"/>
        <v>0</v>
      </c>
      <c r="R194" s="291">
        <f t="shared" si="74"/>
        <v>0</v>
      </c>
      <c r="S194" s="291">
        <f t="shared" si="90"/>
        <v>0</v>
      </c>
      <c r="T194" s="1">
        <v>17</v>
      </c>
      <c r="U194" s="1">
        <f t="shared" si="91"/>
        <v>2.5499999999999998</v>
      </c>
      <c r="V194" s="292">
        <f t="shared" si="75"/>
        <v>48.9</v>
      </c>
      <c r="W194" s="254">
        <f t="shared" si="76"/>
        <v>1076.29</v>
      </c>
      <c r="X194" s="1">
        <v>1542511356.6700001</v>
      </c>
      <c r="Y194" s="1">
        <v>9557</v>
      </c>
      <c r="Z194" s="264">
        <f t="shared" si="77"/>
        <v>161401.21</v>
      </c>
      <c r="AA194" s="293">
        <f t="shared" si="78"/>
        <v>0.86449399999999998</v>
      </c>
      <c r="AB194" s="1">
        <v>82923</v>
      </c>
      <c r="AC194" s="293">
        <f t="shared" si="79"/>
        <v>0.72013300000000002</v>
      </c>
      <c r="AD194" s="293">
        <f t="shared" si="80"/>
        <v>0.178814</v>
      </c>
      <c r="AE194" s="294">
        <f t="shared" si="81"/>
        <v>0.178814</v>
      </c>
      <c r="AF194" s="295">
        <f t="shared" si="92"/>
        <v>0</v>
      </c>
      <c r="AG194" s="296">
        <f t="shared" si="93"/>
        <v>0.178814</v>
      </c>
      <c r="AH194" s="1">
        <v>1015</v>
      </c>
      <c r="AI194" s="1">
        <v>13</v>
      </c>
      <c r="AJ194" s="254">
        <f t="shared" si="82"/>
        <v>100</v>
      </c>
      <c r="AK194" s="9">
        <f t="shared" si="83"/>
        <v>101500</v>
      </c>
      <c r="AL194" s="9">
        <f t="shared" si="84"/>
        <v>2218052</v>
      </c>
      <c r="AM194" s="9">
        <f t="shared" si="85"/>
        <v>2319552</v>
      </c>
      <c r="AN194" s="9">
        <f t="shared" si="94"/>
        <v>2319552</v>
      </c>
      <c r="AO194" s="291">
        <v>1276811</v>
      </c>
      <c r="AP194" s="9">
        <f t="shared" si="95"/>
        <v>1042741</v>
      </c>
      <c r="AQ194" s="297" t="str">
        <f t="shared" si="96"/>
        <v>Yes</v>
      </c>
      <c r="AR194" s="291">
        <v>1428703</v>
      </c>
      <c r="AS194" s="291">
        <f t="shared" si="86"/>
        <v>111156.1906</v>
      </c>
      <c r="AT194" s="291">
        <f t="shared" si="87"/>
        <v>1539859.1906000001</v>
      </c>
      <c r="AU194" s="291">
        <f t="shared" si="88"/>
        <v>1539859.1906000001</v>
      </c>
      <c r="AV194" s="291"/>
      <c r="AW194" s="291">
        <f t="shared" si="97"/>
        <v>1651015.3812000002</v>
      </c>
      <c r="AX194" s="291">
        <f t="shared" si="103"/>
        <v>1762171.5718000003</v>
      </c>
      <c r="AY194" s="291">
        <f t="shared" si="103"/>
        <v>1873327.7624000004</v>
      </c>
      <c r="AZ194" s="291">
        <f t="shared" si="103"/>
        <v>1984483.9530000004</v>
      </c>
      <c r="BA194" s="291">
        <f t="shared" si="103"/>
        <v>2095640.1436000005</v>
      </c>
      <c r="BB194" s="291">
        <f t="shared" si="103"/>
        <v>2206796.3342000004</v>
      </c>
      <c r="BC194" s="291">
        <f t="shared" si="99"/>
        <v>2319552</v>
      </c>
      <c r="BD194" s="298"/>
      <c r="BE194" s="291">
        <f t="shared" si="102"/>
        <v>1651015.3812000002</v>
      </c>
      <c r="BF194" s="291">
        <f t="shared" si="102"/>
        <v>1762171.5718000003</v>
      </c>
      <c r="BG194" s="291">
        <f t="shared" si="102"/>
        <v>1873327.7624000004</v>
      </c>
      <c r="BH194" s="291">
        <f t="shared" si="101"/>
        <v>1984483.9530000004</v>
      </c>
      <c r="BI194" s="291">
        <f t="shared" si="101"/>
        <v>2095640.1436000005</v>
      </c>
      <c r="BJ194" s="291">
        <f t="shared" si="101"/>
        <v>2206796.3342000004</v>
      </c>
      <c r="BK194" s="291">
        <f t="shared" si="101"/>
        <v>2319552</v>
      </c>
      <c r="BL194" s="298"/>
      <c r="BM194" s="298"/>
      <c r="BN194" s="298"/>
      <c r="BO194" s="298"/>
    </row>
    <row r="195" spans="1:67" x14ac:dyDescent="0.15">
      <c r="A195" s="10" t="s">
        <v>8</v>
      </c>
      <c r="B195" s="10"/>
      <c r="C195" s="276"/>
      <c r="D195" s="276" t="str">
        <f t="shared" si="89"/>
        <v>No</v>
      </c>
      <c r="E195" s="276"/>
      <c r="F195" s="276"/>
      <c r="G195" s="8">
        <v>7</v>
      </c>
      <c r="H195" s="1">
        <v>93</v>
      </c>
      <c r="I195" s="10">
        <v>169</v>
      </c>
      <c r="J195" s="7" t="s">
        <v>181</v>
      </c>
      <c r="K195" s="287"/>
      <c r="L195" s="1">
        <v>1300.26</v>
      </c>
      <c r="M195" s="288"/>
      <c r="N195" s="289"/>
      <c r="O195" s="1">
        <v>184</v>
      </c>
      <c r="P195" s="290">
        <f t="shared" si="72"/>
        <v>0.14151015950656023</v>
      </c>
      <c r="Q195" s="290">
        <f t="shared" si="73"/>
        <v>0</v>
      </c>
      <c r="R195" s="291">
        <f t="shared" si="74"/>
        <v>0</v>
      </c>
      <c r="S195" s="291">
        <f t="shared" si="90"/>
        <v>0</v>
      </c>
      <c r="T195" s="1">
        <v>5</v>
      </c>
      <c r="U195" s="1">
        <f t="shared" si="91"/>
        <v>0.75</v>
      </c>
      <c r="V195" s="292">
        <f t="shared" si="75"/>
        <v>55.2</v>
      </c>
      <c r="W195" s="254">
        <f t="shared" si="76"/>
        <v>1356.21</v>
      </c>
      <c r="X195" s="1">
        <v>1063892355</v>
      </c>
      <c r="Y195" s="1">
        <v>7809</v>
      </c>
      <c r="Z195" s="264">
        <f t="shared" si="77"/>
        <v>136239.26</v>
      </c>
      <c r="AA195" s="293">
        <f t="shared" si="78"/>
        <v>0.72972199999999998</v>
      </c>
      <c r="AB195" s="1">
        <v>81441</v>
      </c>
      <c r="AC195" s="293">
        <f t="shared" si="79"/>
        <v>0.70726299999999998</v>
      </c>
      <c r="AD195" s="293">
        <f t="shared" si="80"/>
        <v>0.27701599999999998</v>
      </c>
      <c r="AE195" s="294">
        <f t="shared" si="81"/>
        <v>0.27701599999999998</v>
      </c>
      <c r="AF195" s="295">
        <f t="shared" si="92"/>
        <v>0</v>
      </c>
      <c r="AG195" s="296">
        <f t="shared" si="93"/>
        <v>0.27701599999999998</v>
      </c>
      <c r="AH195" s="1">
        <v>0</v>
      </c>
      <c r="AI195" s="1">
        <v>0</v>
      </c>
      <c r="AJ195" s="254">
        <f t="shared" si="82"/>
        <v>0</v>
      </c>
      <c r="AK195" s="9">
        <f t="shared" si="83"/>
        <v>0</v>
      </c>
      <c r="AL195" s="9">
        <f t="shared" si="84"/>
        <v>4329849</v>
      </c>
      <c r="AM195" s="9">
        <f t="shared" si="85"/>
        <v>4329849</v>
      </c>
      <c r="AN195" s="9">
        <f t="shared" si="94"/>
        <v>4329849</v>
      </c>
      <c r="AO195" s="291">
        <v>5356542</v>
      </c>
      <c r="AP195" s="9">
        <f t="shared" si="95"/>
        <v>1026693</v>
      </c>
      <c r="AQ195" s="297" t="str">
        <f t="shared" si="96"/>
        <v>No</v>
      </c>
      <c r="AR195" s="291">
        <v>5076056</v>
      </c>
      <c r="AS195" s="291">
        <f t="shared" si="86"/>
        <v>85523.526899999997</v>
      </c>
      <c r="AT195" s="291">
        <f t="shared" si="87"/>
        <v>4990532.4731000001</v>
      </c>
      <c r="AU195" s="291">
        <f t="shared" si="88"/>
        <v>4990532.4731000001</v>
      </c>
      <c r="AV195" s="291"/>
      <c r="AW195" s="291">
        <f t="shared" si="97"/>
        <v>4905008.9462000001</v>
      </c>
      <c r="AX195" s="291">
        <f t="shared" si="103"/>
        <v>4819485.4193000002</v>
      </c>
      <c r="AY195" s="291">
        <f t="shared" si="103"/>
        <v>4733961.8924000002</v>
      </c>
      <c r="AZ195" s="291">
        <f t="shared" si="103"/>
        <v>4648438.3655000003</v>
      </c>
      <c r="BA195" s="291">
        <f t="shared" si="103"/>
        <v>4562914.8386000004</v>
      </c>
      <c r="BB195" s="291">
        <f t="shared" si="103"/>
        <v>4477391.3117000004</v>
      </c>
      <c r="BC195" s="291">
        <f t="shared" si="99"/>
        <v>4329849</v>
      </c>
      <c r="BD195" s="298"/>
      <c r="BE195" s="291">
        <f t="shared" si="102"/>
        <v>4905008.9462000001</v>
      </c>
      <c r="BF195" s="291">
        <f t="shared" si="102"/>
        <v>4819485.4193000002</v>
      </c>
      <c r="BG195" s="291">
        <f t="shared" si="102"/>
        <v>4733961.8924000002</v>
      </c>
      <c r="BH195" s="291">
        <f t="shared" si="101"/>
        <v>4648438.3655000003</v>
      </c>
      <c r="BI195" s="291">
        <f t="shared" si="101"/>
        <v>4562914.8386000004</v>
      </c>
      <c r="BJ195" s="291">
        <f t="shared" si="101"/>
        <v>4477391.3117000004</v>
      </c>
      <c r="BK195" s="291">
        <f t="shared" si="101"/>
        <v>4329849</v>
      </c>
      <c r="BL195" s="298"/>
      <c r="BM195" s="298"/>
      <c r="BN195" s="298"/>
      <c r="BO195" s="298"/>
    </row>
    <row r="196" spans="1:67" x14ac:dyDescent="0.15">
      <c r="X196" s="8"/>
      <c r="Z196" s="8"/>
      <c r="AH196" s="9"/>
    </row>
    <row r="197" spans="1:67" ht="15.75" customHeight="1" x14ac:dyDescent="0.15">
      <c r="A197" s="10"/>
      <c r="B197" s="10"/>
      <c r="C197" s="276"/>
      <c r="D197" s="276"/>
      <c r="E197" s="276"/>
      <c r="F197" s="276"/>
      <c r="G197" s="8"/>
      <c r="H197" s="1"/>
      <c r="I197" s="10"/>
      <c r="K197" s="287"/>
      <c r="L197" s="1"/>
      <c r="M197" s="288"/>
      <c r="N197" s="289"/>
      <c r="O197" s="1"/>
      <c r="P197" s="290"/>
      <c r="Q197" s="290"/>
      <c r="R197" s="291"/>
      <c r="S197" s="291"/>
      <c r="T197" s="1"/>
      <c r="U197" s="1"/>
      <c r="V197" s="292"/>
      <c r="W197" s="254"/>
      <c r="X197" s="1"/>
      <c r="Y197" s="1"/>
      <c r="Z197" s="264"/>
      <c r="AA197" s="293"/>
      <c r="AB197" s="1"/>
      <c r="AC197" s="293"/>
      <c r="AD197" s="293"/>
      <c r="AE197" s="294"/>
      <c r="AF197" s="295"/>
      <c r="AG197" s="296"/>
      <c r="AH197" s="1"/>
      <c r="AI197" s="1"/>
      <c r="AJ197" s="254"/>
      <c r="AK197" s="9"/>
      <c r="AL197" s="9"/>
      <c r="AM197" s="9"/>
      <c r="AN197" s="9"/>
      <c r="AO197" s="9"/>
      <c r="AP197" s="9"/>
      <c r="AQ197" s="9"/>
      <c r="AR197" s="291"/>
      <c r="AS197" s="291"/>
      <c r="AT197" s="291"/>
      <c r="AU197" s="291"/>
      <c r="AV197" s="291"/>
      <c r="AW197" s="291"/>
      <c r="AX197" s="301"/>
      <c r="AY197" s="301"/>
      <c r="AZ197" s="301"/>
      <c r="BA197" s="301"/>
      <c r="BB197" s="302"/>
      <c r="BC197" s="291"/>
      <c r="BD197" s="298"/>
      <c r="BF197" s="298"/>
      <c r="BG197" s="298"/>
      <c r="BK197" s="298"/>
      <c r="BL197" s="298"/>
      <c r="BM197" s="298"/>
      <c r="BN197" s="298"/>
      <c r="BO197" s="298"/>
    </row>
    <row r="198" spans="1:67" x14ac:dyDescent="0.15">
      <c r="L198" s="254"/>
      <c r="M198" s="254"/>
      <c r="N198" s="254"/>
      <c r="W198" s="254"/>
      <c r="AH198" s="9"/>
    </row>
    <row r="199" spans="1:67" x14ac:dyDescent="0.15">
      <c r="L199" s="254"/>
      <c r="M199" s="254"/>
      <c r="N199" s="254"/>
      <c r="W199" s="254"/>
      <c r="AH199" s="9"/>
    </row>
    <row r="200" spans="1:67" x14ac:dyDescent="0.15">
      <c r="L200" s="254"/>
      <c r="M200" s="254"/>
      <c r="N200" s="254"/>
      <c r="W200" s="254"/>
      <c r="AH200" s="9"/>
    </row>
    <row r="201" spans="1:67" x14ac:dyDescent="0.15">
      <c r="L201" s="254"/>
      <c r="M201" s="254"/>
      <c r="N201" s="254"/>
      <c r="W201" s="254"/>
    </row>
    <row r="202" spans="1:67" x14ac:dyDescent="0.15">
      <c r="L202" s="254"/>
      <c r="M202" s="254"/>
      <c r="N202" s="254"/>
      <c r="W202" s="254"/>
    </row>
    <row r="203" spans="1:67" x14ac:dyDescent="0.15">
      <c r="L203" s="254"/>
      <c r="M203" s="254"/>
      <c r="N203" s="254"/>
      <c r="W203" s="254"/>
    </row>
    <row r="204" spans="1:67" x14ac:dyDescent="0.15">
      <c r="L204" s="254"/>
      <c r="M204" s="254"/>
      <c r="N204" s="254"/>
      <c r="W204" s="254"/>
    </row>
    <row r="205" spans="1:67" x14ac:dyDescent="0.15">
      <c r="L205" s="254"/>
      <c r="M205" s="254"/>
      <c r="N205" s="254"/>
      <c r="W205" s="254"/>
    </row>
    <row r="206" spans="1:67" x14ac:dyDescent="0.15">
      <c r="A206" s="8"/>
      <c r="B206" s="8"/>
      <c r="C206" s="8"/>
      <c r="D206" s="8"/>
      <c r="E206" s="8"/>
      <c r="F206" s="8"/>
      <c r="G206" s="8"/>
      <c r="H206" s="8"/>
      <c r="I206" s="8"/>
      <c r="J206" s="8"/>
      <c r="K206" s="8"/>
      <c r="L206" s="254"/>
      <c r="M206" s="254"/>
      <c r="N206" s="254"/>
      <c r="W206" s="254"/>
    </row>
    <row r="207" spans="1:67" x14ac:dyDescent="0.15">
      <c r="A207" s="8"/>
      <c r="B207" s="8"/>
      <c r="C207" s="8"/>
      <c r="D207" s="8"/>
      <c r="E207" s="8"/>
      <c r="F207" s="8"/>
      <c r="G207" s="8"/>
      <c r="H207" s="8"/>
      <c r="I207" s="8"/>
      <c r="J207" s="8"/>
      <c r="K207" s="8"/>
      <c r="L207" s="254"/>
      <c r="M207" s="254"/>
      <c r="N207" s="254"/>
      <c r="W207" s="254"/>
    </row>
    <row r="208" spans="1:67" x14ac:dyDescent="0.15">
      <c r="A208" s="8"/>
      <c r="B208" s="8"/>
      <c r="C208" s="8"/>
      <c r="D208" s="8"/>
      <c r="E208" s="8"/>
      <c r="F208" s="8"/>
      <c r="G208" s="8"/>
      <c r="H208" s="8"/>
      <c r="I208" s="8"/>
      <c r="J208" s="8"/>
      <c r="K208" s="8"/>
      <c r="L208" s="254"/>
      <c r="M208" s="254"/>
      <c r="N208" s="254"/>
      <c r="W208" s="254"/>
    </row>
    <row r="209" spans="12:54" s="8" customFormat="1" x14ac:dyDescent="0.15">
      <c r="L209" s="254"/>
      <c r="M209" s="254"/>
      <c r="N209" s="254"/>
      <c r="O209" s="7"/>
      <c r="P209" s="7"/>
      <c r="Q209" s="7"/>
      <c r="R209" s="7"/>
      <c r="S209" s="7"/>
      <c r="T209" s="7"/>
      <c r="U209" s="7"/>
      <c r="V209" s="7"/>
      <c r="W209" s="254"/>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17"/>
      <c r="BB209" s="17"/>
    </row>
    <row r="210" spans="12:54" s="8" customFormat="1" x14ac:dyDescent="0.15">
      <c r="L210" s="254"/>
      <c r="M210" s="254"/>
      <c r="N210" s="254"/>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17"/>
      <c r="BB210" s="17"/>
    </row>
    <row r="211" spans="12:54" s="8" customFormat="1" x14ac:dyDescent="0.15">
      <c r="L211" s="254"/>
      <c r="M211" s="254"/>
      <c r="N211" s="254"/>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17"/>
      <c r="BB211" s="17"/>
    </row>
    <row r="212" spans="12:54" s="8" customFormat="1" x14ac:dyDescent="0.15">
      <c r="L212" s="254"/>
      <c r="M212" s="254"/>
      <c r="N212" s="254"/>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17"/>
      <c r="BB212" s="17"/>
    </row>
    <row r="213" spans="12:54" s="8" customFormat="1" x14ac:dyDescent="0.15">
      <c r="L213" s="254"/>
      <c r="M213" s="254"/>
      <c r="N213" s="254"/>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17"/>
      <c r="BB213" s="17"/>
    </row>
    <row r="214" spans="12:54" s="8" customFormat="1" x14ac:dyDescent="0.15">
      <c r="L214" s="254"/>
      <c r="M214" s="254"/>
      <c r="N214" s="254"/>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17"/>
      <c r="BB214" s="17"/>
    </row>
    <row r="215" spans="12:54" s="8" customFormat="1" x14ac:dyDescent="0.15">
      <c r="L215" s="254"/>
      <c r="M215" s="254"/>
      <c r="N215" s="254"/>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17"/>
      <c r="BB215" s="17"/>
    </row>
    <row r="216" spans="12:54" s="8" customFormat="1" x14ac:dyDescent="0.15">
      <c r="L216" s="254"/>
      <c r="M216" s="254"/>
      <c r="N216" s="254"/>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17"/>
      <c r="BB216" s="17"/>
    </row>
    <row r="217" spans="12:54" s="8" customFormat="1" x14ac:dyDescent="0.15">
      <c r="L217" s="254"/>
      <c r="M217" s="254"/>
      <c r="N217" s="254"/>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17"/>
      <c r="BB217" s="17"/>
    </row>
    <row r="218" spans="12:54" s="8" customFormat="1" x14ac:dyDescent="0.15">
      <c r="L218" s="254"/>
      <c r="M218" s="254"/>
      <c r="N218" s="254"/>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17"/>
      <c r="BB218" s="17"/>
    </row>
    <row r="219" spans="12:54" s="8" customFormat="1" x14ac:dyDescent="0.15">
      <c r="L219" s="254"/>
      <c r="M219" s="254"/>
      <c r="N219" s="254"/>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17"/>
      <c r="BB219" s="17"/>
    </row>
    <row r="220" spans="12:54" s="8" customFormat="1" x14ac:dyDescent="0.15">
      <c r="L220" s="254"/>
      <c r="M220" s="254"/>
      <c r="N220" s="254"/>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17"/>
      <c r="BB220" s="17"/>
    </row>
    <row r="221" spans="12:54" s="8" customFormat="1" x14ac:dyDescent="0.15">
      <c r="L221" s="254"/>
      <c r="M221" s="254"/>
      <c r="N221" s="254"/>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17"/>
      <c r="BB221" s="17"/>
    </row>
    <row r="222" spans="12:54" s="7" customFormat="1" x14ac:dyDescent="0.15">
      <c r="L222" s="254"/>
      <c r="M222" s="254"/>
      <c r="N222" s="254"/>
    </row>
    <row r="223" spans="12:54" s="7" customFormat="1" x14ac:dyDescent="0.15">
      <c r="L223" s="254"/>
      <c r="M223" s="254"/>
      <c r="N223" s="254"/>
    </row>
    <row r="224" spans="12:54" s="7" customFormat="1" x14ac:dyDescent="0.15">
      <c r="L224" s="254"/>
      <c r="M224" s="254"/>
      <c r="N224" s="254"/>
    </row>
    <row r="225" spans="1:55" s="7" customFormat="1" x14ac:dyDescent="0.15">
      <c r="L225" s="254"/>
      <c r="M225" s="254"/>
      <c r="N225" s="254"/>
    </row>
    <row r="226" spans="1:55" s="7" customFormat="1" x14ac:dyDescent="0.15">
      <c r="L226" s="254"/>
      <c r="M226" s="254"/>
      <c r="N226" s="254"/>
    </row>
    <row r="227" spans="1:55" s="7" customFormat="1" x14ac:dyDescent="0.15">
      <c r="L227" s="254"/>
      <c r="M227" s="254"/>
      <c r="N227" s="254"/>
    </row>
    <row r="228" spans="1:55" s="7" customFormat="1" x14ac:dyDescent="0.15">
      <c r="L228" s="254"/>
      <c r="M228" s="254"/>
      <c r="N228" s="254"/>
    </row>
    <row r="229" spans="1:55" s="7" customFormat="1" x14ac:dyDescent="0.15">
      <c r="L229" s="254"/>
      <c r="M229" s="254"/>
      <c r="N229" s="254"/>
    </row>
    <row r="230" spans="1:55" s="7" customFormat="1" x14ac:dyDescent="0.15">
      <c r="A230" s="8"/>
      <c r="B230" s="8"/>
      <c r="L230" s="254"/>
      <c r="M230" s="254"/>
      <c r="N230" s="254"/>
    </row>
    <row r="231" spans="1:55" s="7" customFormat="1" x14ac:dyDescent="0.15">
      <c r="A231" s="8"/>
      <c r="B231" s="8"/>
      <c r="L231" s="254"/>
      <c r="M231" s="254"/>
      <c r="N231" s="254"/>
    </row>
    <row r="232" spans="1:55" s="7" customFormat="1" x14ac:dyDescent="0.15">
      <c r="A232" s="8"/>
      <c r="B232" s="8"/>
      <c r="L232" s="254"/>
      <c r="M232" s="254"/>
      <c r="N232" s="254"/>
    </row>
    <row r="233" spans="1:55" s="7" customFormat="1" x14ac:dyDescent="0.15">
      <c r="A233" s="8"/>
      <c r="B233" s="8"/>
      <c r="L233" s="254"/>
      <c r="M233" s="254"/>
      <c r="N233" s="254"/>
    </row>
    <row r="234" spans="1:55" s="7" customFormat="1" x14ac:dyDescent="0.15">
      <c r="L234" s="254"/>
      <c r="M234" s="254"/>
      <c r="N234" s="254"/>
    </row>
    <row r="235" spans="1:55" s="7" customFormat="1" x14ac:dyDescent="0.15">
      <c r="L235" s="254"/>
      <c r="M235" s="254"/>
      <c r="N235" s="254"/>
    </row>
    <row r="236" spans="1:55" s="7" customFormat="1" x14ac:dyDescent="0.15">
      <c r="L236" s="254"/>
      <c r="M236" s="254"/>
      <c r="N236" s="254"/>
    </row>
    <row r="237" spans="1:55" s="7" customFormat="1" x14ac:dyDescent="0.15">
      <c r="L237" s="254"/>
      <c r="M237" s="254"/>
      <c r="N237" s="254"/>
    </row>
    <row r="238" spans="1:55" x14ac:dyDescent="0.15">
      <c r="A238" s="8"/>
      <c r="B238" s="8"/>
      <c r="C238" s="8"/>
      <c r="D238" s="8"/>
      <c r="E238" s="8"/>
      <c r="F238" s="8"/>
      <c r="G238" s="8"/>
      <c r="H238" s="8"/>
      <c r="I238" s="8"/>
      <c r="J238" s="8"/>
      <c r="K238" s="8"/>
      <c r="L238" s="254"/>
      <c r="M238" s="254"/>
      <c r="N238" s="254"/>
      <c r="BA238" s="17"/>
      <c r="BB238" s="17"/>
      <c r="BC238" s="8"/>
    </row>
    <row r="239" spans="1:55" x14ac:dyDescent="0.15">
      <c r="A239" s="8"/>
      <c r="B239" s="8"/>
      <c r="C239" s="8"/>
      <c r="D239" s="8"/>
      <c r="E239" s="8"/>
      <c r="F239" s="8"/>
      <c r="G239" s="8"/>
      <c r="H239" s="8"/>
      <c r="I239" s="8"/>
      <c r="J239" s="8"/>
      <c r="K239" s="8"/>
      <c r="L239" s="254"/>
      <c r="M239" s="254"/>
      <c r="N239" s="254"/>
      <c r="BA239" s="17"/>
      <c r="BB239" s="17"/>
      <c r="BC239" s="8"/>
    </row>
    <row r="240" spans="1:55" x14ac:dyDescent="0.15">
      <c r="A240" s="8"/>
      <c r="B240" s="8"/>
      <c r="C240" s="8"/>
      <c r="D240" s="8"/>
      <c r="E240" s="8"/>
      <c r="F240" s="8"/>
      <c r="G240" s="8"/>
      <c r="H240" s="8"/>
      <c r="I240" s="8"/>
      <c r="J240" s="8"/>
      <c r="K240" s="8"/>
      <c r="L240" s="254"/>
      <c r="M240" s="254"/>
      <c r="N240" s="254"/>
      <c r="BA240" s="17"/>
      <c r="BB240" s="17"/>
      <c r="BC240" s="8"/>
    </row>
    <row r="241" spans="12:54" s="8" customFormat="1" x14ac:dyDescent="0.15">
      <c r="L241" s="254"/>
      <c r="M241" s="254"/>
      <c r="N241" s="254"/>
      <c r="AX241" s="17"/>
      <c r="AY241" s="17"/>
      <c r="AZ241" s="17"/>
      <c r="BA241" s="17"/>
      <c r="BB241" s="17"/>
    </row>
    <row r="242" spans="12:54" s="8" customFormat="1" x14ac:dyDescent="0.15">
      <c r="L242" s="254"/>
      <c r="M242" s="254"/>
      <c r="N242" s="254"/>
      <c r="AX242" s="17"/>
      <c r="AY242" s="17"/>
      <c r="AZ242" s="17"/>
      <c r="BA242" s="17"/>
      <c r="BB242" s="17"/>
    </row>
    <row r="243" spans="12:54" s="8" customFormat="1" x14ac:dyDescent="0.15">
      <c r="L243" s="254"/>
      <c r="M243" s="254"/>
      <c r="N243" s="254"/>
      <c r="AX243" s="17"/>
      <c r="AY243" s="17"/>
      <c r="AZ243" s="17"/>
      <c r="BA243" s="17"/>
      <c r="BB243" s="17"/>
    </row>
    <row r="244" spans="12:54" s="8" customFormat="1" x14ac:dyDescent="0.15">
      <c r="L244" s="254"/>
      <c r="M244" s="254"/>
      <c r="N244" s="254"/>
      <c r="AX244" s="17"/>
      <c r="AY244" s="17"/>
      <c r="AZ244" s="17"/>
      <c r="BA244" s="17"/>
      <c r="BB244" s="17"/>
    </row>
    <row r="245" spans="12:54" s="8" customFormat="1" x14ac:dyDescent="0.15">
      <c r="L245" s="254"/>
      <c r="M245" s="254"/>
      <c r="N245" s="254"/>
      <c r="AX245" s="17"/>
      <c r="AY245" s="17"/>
      <c r="AZ245" s="17"/>
      <c r="BA245" s="17"/>
      <c r="BB245" s="17"/>
    </row>
    <row r="246" spans="12:54" s="8" customFormat="1" x14ac:dyDescent="0.15">
      <c r="L246" s="254"/>
      <c r="M246" s="254"/>
      <c r="N246" s="254"/>
      <c r="AX246" s="17"/>
      <c r="AY246" s="17"/>
      <c r="AZ246" s="17"/>
      <c r="BA246" s="17"/>
      <c r="BB246" s="17"/>
    </row>
    <row r="247" spans="12:54" s="8" customFormat="1" x14ac:dyDescent="0.15">
      <c r="L247" s="254"/>
      <c r="M247" s="254"/>
      <c r="N247" s="254"/>
      <c r="AX247" s="17"/>
      <c r="AY247" s="17"/>
      <c r="AZ247" s="17"/>
      <c r="BA247" s="17"/>
      <c r="BB247" s="17"/>
    </row>
    <row r="248" spans="12:54" s="8" customFormat="1" x14ac:dyDescent="0.15">
      <c r="L248" s="254"/>
      <c r="M248" s="254"/>
      <c r="N248" s="254"/>
      <c r="AX248" s="17"/>
      <c r="AY248" s="17"/>
      <c r="AZ248" s="17"/>
      <c r="BA248" s="17"/>
      <c r="BB248" s="17"/>
    </row>
    <row r="249" spans="12:54" s="8" customFormat="1" x14ac:dyDescent="0.15">
      <c r="L249" s="254"/>
      <c r="M249" s="254"/>
      <c r="N249" s="254"/>
      <c r="AX249" s="17"/>
      <c r="AY249" s="17"/>
      <c r="AZ249" s="17"/>
      <c r="BA249" s="17"/>
      <c r="BB249" s="17"/>
    </row>
    <row r="250" spans="12:54" s="8" customFormat="1" x14ac:dyDescent="0.15">
      <c r="L250" s="254"/>
      <c r="M250" s="254"/>
      <c r="N250" s="254"/>
      <c r="AX250" s="17"/>
      <c r="AY250" s="17"/>
      <c r="AZ250" s="17"/>
      <c r="BA250" s="17"/>
      <c r="BB250" s="17"/>
    </row>
    <row r="251" spans="12:54" s="8" customFormat="1" x14ac:dyDescent="0.15">
      <c r="L251" s="254"/>
      <c r="M251" s="254"/>
      <c r="N251" s="254"/>
      <c r="AX251" s="17"/>
      <c r="AY251" s="17"/>
      <c r="AZ251" s="17"/>
      <c r="BA251" s="17"/>
      <c r="BB251" s="17"/>
    </row>
    <row r="252" spans="12:54" s="8" customFormat="1" x14ac:dyDescent="0.15">
      <c r="L252" s="254"/>
      <c r="M252" s="254"/>
      <c r="N252" s="254"/>
      <c r="AX252" s="17"/>
      <c r="AY252" s="17"/>
      <c r="AZ252" s="17"/>
      <c r="BA252" s="17"/>
      <c r="BB252" s="17"/>
    </row>
    <row r="253" spans="12:54" s="8" customFormat="1" x14ac:dyDescent="0.15">
      <c r="L253" s="254"/>
      <c r="M253" s="254"/>
      <c r="N253" s="254"/>
      <c r="AX253" s="17"/>
      <c r="AY253" s="17"/>
      <c r="AZ253" s="17"/>
      <c r="BA253" s="17"/>
      <c r="BB253" s="17"/>
    </row>
    <row r="254" spans="12:54" s="8" customFormat="1" x14ac:dyDescent="0.15">
      <c r="L254" s="254"/>
      <c r="M254" s="254"/>
      <c r="N254" s="254"/>
      <c r="AX254" s="17"/>
      <c r="AY254" s="17"/>
      <c r="AZ254" s="17"/>
      <c r="BA254" s="17"/>
      <c r="BB254" s="17"/>
    </row>
    <row r="255" spans="12:54" s="8" customFormat="1" x14ac:dyDescent="0.15">
      <c r="L255" s="254"/>
      <c r="M255" s="254"/>
      <c r="N255" s="254"/>
      <c r="AX255" s="17"/>
      <c r="AY255" s="17"/>
      <c r="AZ255" s="17"/>
      <c r="BA255" s="17"/>
      <c r="BB255" s="17"/>
    </row>
    <row r="256" spans="12:54" s="8" customFormat="1" x14ac:dyDescent="0.15">
      <c r="L256" s="254"/>
      <c r="M256" s="254"/>
      <c r="N256" s="254"/>
      <c r="AX256" s="17"/>
      <c r="AY256" s="17"/>
      <c r="AZ256" s="17"/>
      <c r="BA256" s="17"/>
      <c r="BB256" s="17"/>
    </row>
    <row r="257" spans="12:54" s="8" customFormat="1" x14ac:dyDescent="0.15">
      <c r="L257" s="254"/>
      <c r="M257" s="254"/>
      <c r="N257" s="254"/>
      <c r="O257" s="7"/>
      <c r="P257" s="7"/>
      <c r="Q257" s="7"/>
      <c r="R257" s="7"/>
      <c r="S257" s="7"/>
      <c r="T257" s="7"/>
      <c r="U257" s="7"/>
      <c r="V257" s="7"/>
      <c r="W257" s="7"/>
      <c r="X257" s="7"/>
      <c r="Y257" s="7"/>
      <c r="Z257" s="7"/>
      <c r="AA257" s="7"/>
      <c r="AB257" s="7"/>
      <c r="AC257" s="7"/>
      <c r="AD257" s="7"/>
      <c r="AE257" s="7"/>
      <c r="AF257" s="7"/>
      <c r="AG257" s="7"/>
      <c r="AX257" s="17"/>
      <c r="AY257" s="17"/>
      <c r="AZ257" s="17"/>
      <c r="BA257" s="17"/>
      <c r="BB257" s="17"/>
    </row>
    <row r="258" spans="12:54" s="8" customFormat="1" x14ac:dyDescent="0.15">
      <c r="L258" s="254"/>
      <c r="M258" s="254"/>
      <c r="N258" s="254"/>
      <c r="O258" s="7"/>
      <c r="P258" s="7"/>
      <c r="Q258" s="7"/>
      <c r="R258" s="7"/>
      <c r="S258" s="7"/>
      <c r="T258" s="7"/>
      <c r="U258" s="7"/>
      <c r="V258" s="7"/>
      <c r="W258" s="7"/>
      <c r="X258" s="7"/>
      <c r="Y258" s="7"/>
      <c r="Z258" s="7"/>
      <c r="AA258" s="7"/>
      <c r="AB258" s="7"/>
      <c r="AC258" s="7"/>
      <c r="AD258" s="7"/>
      <c r="AE258" s="7"/>
      <c r="AF258" s="7"/>
      <c r="AG258" s="7"/>
      <c r="AX258" s="17"/>
      <c r="AY258" s="17"/>
      <c r="AZ258" s="17"/>
      <c r="BA258" s="17"/>
      <c r="BB258" s="17"/>
    </row>
    <row r="259" spans="12:54" s="8" customFormat="1" x14ac:dyDescent="0.15">
      <c r="L259" s="254"/>
      <c r="M259" s="254"/>
      <c r="N259" s="254"/>
      <c r="O259" s="7"/>
      <c r="P259" s="7"/>
      <c r="Q259" s="7"/>
      <c r="R259" s="7"/>
      <c r="S259" s="7"/>
      <c r="T259" s="7"/>
      <c r="U259" s="7"/>
      <c r="V259" s="7"/>
      <c r="W259" s="7"/>
      <c r="X259" s="7"/>
      <c r="Y259" s="7"/>
      <c r="Z259" s="7"/>
      <c r="AA259" s="7"/>
      <c r="AB259" s="7"/>
      <c r="AC259" s="7"/>
      <c r="AD259" s="7"/>
      <c r="AX259" s="17"/>
      <c r="AY259" s="17"/>
      <c r="AZ259" s="17"/>
      <c r="BA259" s="17"/>
      <c r="BB259" s="17"/>
    </row>
    <row r="260" spans="12:54" s="8" customFormat="1" x14ac:dyDescent="0.15">
      <c r="L260" s="254"/>
      <c r="M260" s="254"/>
      <c r="N260" s="254"/>
      <c r="O260" s="7"/>
      <c r="P260" s="7"/>
      <c r="Q260" s="7"/>
      <c r="R260" s="7"/>
      <c r="S260" s="7"/>
      <c r="T260" s="7"/>
      <c r="U260" s="7"/>
      <c r="V260" s="7"/>
      <c r="W260" s="7"/>
      <c r="X260" s="7"/>
      <c r="Y260" s="7"/>
      <c r="Z260" s="7"/>
      <c r="AA260" s="7"/>
      <c r="AB260" s="7"/>
      <c r="AC260" s="7"/>
      <c r="AD260" s="7"/>
      <c r="AX260" s="17"/>
      <c r="AY260" s="17"/>
      <c r="AZ260" s="17"/>
      <c r="BA260" s="17"/>
      <c r="BB260" s="17"/>
    </row>
    <row r="261" spans="12:54" s="8" customFormat="1" x14ac:dyDescent="0.15">
      <c r="L261" s="254"/>
      <c r="M261" s="254"/>
      <c r="N261" s="254"/>
      <c r="O261" s="7"/>
      <c r="P261" s="7"/>
      <c r="Q261" s="7"/>
      <c r="R261" s="7"/>
      <c r="S261" s="7"/>
      <c r="T261" s="7"/>
      <c r="U261" s="7"/>
      <c r="V261" s="7"/>
      <c r="W261" s="7"/>
      <c r="X261" s="7"/>
      <c r="Y261" s="7"/>
      <c r="Z261" s="7"/>
      <c r="AA261" s="7"/>
      <c r="AB261" s="7"/>
      <c r="AC261" s="7"/>
      <c r="AD261" s="7"/>
      <c r="AX261" s="17"/>
      <c r="AY261" s="17"/>
      <c r="AZ261" s="17"/>
      <c r="BA261" s="17"/>
      <c r="BB261" s="17"/>
    </row>
    <row r="262" spans="12:54" s="8" customFormat="1" x14ac:dyDescent="0.15">
      <c r="L262" s="254"/>
      <c r="M262" s="254"/>
      <c r="N262" s="254"/>
      <c r="O262" s="7"/>
      <c r="P262" s="7"/>
      <c r="Q262" s="7"/>
      <c r="R262" s="7"/>
      <c r="S262" s="7"/>
      <c r="T262" s="7"/>
      <c r="U262" s="7"/>
      <c r="V262" s="7"/>
      <c r="W262" s="7"/>
      <c r="X262" s="7"/>
      <c r="Y262" s="7"/>
      <c r="Z262" s="7"/>
      <c r="AA262" s="7"/>
      <c r="AB262" s="7"/>
      <c r="AC262" s="7"/>
      <c r="AD262" s="7"/>
      <c r="AE262" s="7"/>
      <c r="AF262" s="7"/>
      <c r="AG262" s="7"/>
      <c r="AX262" s="17"/>
      <c r="AY262" s="17"/>
      <c r="AZ262" s="17"/>
      <c r="BA262" s="17"/>
      <c r="BB262" s="17"/>
    </row>
    <row r="263" spans="12:54" s="8" customFormat="1" x14ac:dyDescent="0.15">
      <c r="L263" s="254"/>
      <c r="M263" s="254"/>
      <c r="N263" s="254"/>
      <c r="O263" s="7"/>
      <c r="P263" s="7"/>
      <c r="Q263" s="7"/>
      <c r="R263" s="7"/>
      <c r="S263" s="7"/>
      <c r="T263" s="7"/>
      <c r="U263" s="7"/>
      <c r="V263" s="7"/>
      <c r="W263" s="7"/>
      <c r="X263" s="7"/>
      <c r="Y263" s="7"/>
      <c r="Z263" s="7"/>
      <c r="AA263" s="7"/>
      <c r="AB263" s="7"/>
      <c r="AC263" s="7"/>
      <c r="AD263" s="7"/>
      <c r="AE263" s="7"/>
      <c r="AF263" s="7"/>
      <c r="AG263" s="7"/>
      <c r="AX263" s="17"/>
      <c r="AY263" s="17"/>
      <c r="AZ263" s="17"/>
      <c r="BA263" s="17"/>
      <c r="BB263" s="17"/>
    </row>
    <row r="264" spans="12:54" s="8" customFormat="1" x14ac:dyDescent="0.15">
      <c r="L264" s="254"/>
      <c r="M264" s="254"/>
      <c r="N264" s="254"/>
      <c r="O264" s="7"/>
      <c r="P264" s="7"/>
      <c r="Q264" s="7"/>
      <c r="R264" s="7"/>
      <c r="S264" s="7"/>
      <c r="T264" s="7"/>
      <c r="U264" s="7"/>
      <c r="V264" s="7"/>
      <c r="W264" s="7"/>
      <c r="X264" s="7"/>
      <c r="Y264" s="7"/>
      <c r="Z264" s="7"/>
      <c r="AA264" s="7"/>
      <c r="AB264" s="7"/>
      <c r="AC264" s="7"/>
      <c r="AD264" s="7"/>
      <c r="AE264" s="7"/>
      <c r="AF264" s="7"/>
      <c r="AG264" s="7"/>
      <c r="AX264" s="17"/>
      <c r="AY264" s="17"/>
      <c r="AZ264" s="17"/>
      <c r="BA264" s="17"/>
      <c r="BB264" s="17"/>
    </row>
    <row r="265" spans="12:54" s="8" customFormat="1" x14ac:dyDescent="0.15">
      <c r="L265" s="254"/>
      <c r="M265" s="254"/>
      <c r="N265" s="254"/>
      <c r="O265" s="7"/>
      <c r="P265" s="7"/>
      <c r="Q265" s="7"/>
      <c r="R265" s="7"/>
      <c r="S265" s="7"/>
      <c r="T265" s="7"/>
      <c r="U265" s="7"/>
      <c r="V265" s="7"/>
      <c r="W265" s="7"/>
      <c r="X265" s="7"/>
      <c r="Y265" s="7"/>
      <c r="Z265" s="7"/>
      <c r="AA265" s="7"/>
      <c r="AB265" s="7"/>
      <c r="AC265" s="7"/>
      <c r="AD265" s="7"/>
      <c r="AE265" s="7"/>
      <c r="AF265" s="7"/>
      <c r="AG265" s="7"/>
      <c r="AX265" s="17"/>
      <c r="AY265" s="17"/>
      <c r="AZ265" s="17"/>
      <c r="BA265" s="17"/>
      <c r="BB265" s="17"/>
    </row>
    <row r="266" spans="12:54" s="8" customFormat="1" x14ac:dyDescent="0.15">
      <c r="L266" s="254"/>
      <c r="M266" s="254"/>
      <c r="N266" s="254"/>
      <c r="O266" s="7"/>
      <c r="P266" s="7"/>
      <c r="Q266" s="7"/>
      <c r="R266" s="7"/>
      <c r="S266" s="7"/>
      <c r="T266" s="7"/>
      <c r="U266" s="7"/>
      <c r="V266" s="7"/>
      <c r="W266" s="7"/>
      <c r="X266" s="7"/>
      <c r="Y266" s="7"/>
      <c r="Z266" s="7"/>
      <c r="AA266" s="7"/>
      <c r="AB266" s="7"/>
      <c r="AC266" s="7"/>
      <c r="AD266" s="7"/>
      <c r="AE266" s="7"/>
      <c r="AF266" s="7"/>
      <c r="AG266" s="7"/>
      <c r="AX266" s="17"/>
      <c r="AY266" s="17"/>
      <c r="AZ266" s="17"/>
      <c r="BA266" s="17"/>
      <c r="BB266" s="17"/>
    </row>
    <row r="267" spans="12:54" s="8" customFormat="1" x14ac:dyDescent="0.15">
      <c r="L267" s="254"/>
      <c r="M267" s="254"/>
      <c r="N267" s="254"/>
      <c r="O267" s="7"/>
      <c r="P267" s="7"/>
      <c r="Q267" s="7"/>
      <c r="R267" s="7"/>
      <c r="S267" s="7"/>
      <c r="T267" s="7"/>
      <c r="U267" s="7"/>
      <c r="V267" s="7"/>
      <c r="W267" s="7"/>
      <c r="X267" s="7"/>
      <c r="Y267" s="7"/>
      <c r="Z267" s="7"/>
      <c r="AA267" s="7"/>
      <c r="AB267" s="7"/>
      <c r="AC267" s="7"/>
      <c r="AD267" s="7"/>
      <c r="AE267" s="7"/>
      <c r="AF267" s="7"/>
      <c r="AG267" s="7"/>
      <c r="AX267" s="17"/>
      <c r="AY267" s="17"/>
      <c r="AZ267" s="17"/>
      <c r="BA267" s="17"/>
      <c r="BB267" s="17"/>
    </row>
    <row r="268" spans="12:54" s="8" customFormat="1" x14ac:dyDescent="0.15">
      <c r="L268" s="254"/>
      <c r="M268" s="254"/>
      <c r="N268" s="254"/>
      <c r="O268" s="7"/>
      <c r="P268" s="7"/>
      <c r="Q268" s="7"/>
      <c r="R268" s="7"/>
      <c r="S268" s="7"/>
      <c r="T268" s="7"/>
      <c r="U268" s="7"/>
      <c r="V268" s="7"/>
      <c r="W268" s="7"/>
      <c r="X268" s="7"/>
      <c r="Y268" s="7"/>
      <c r="Z268" s="7"/>
      <c r="AA268" s="7"/>
      <c r="AB268" s="7"/>
      <c r="AC268" s="7"/>
      <c r="AD268" s="7"/>
      <c r="AE268" s="7"/>
      <c r="AF268" s="7"/>
      <c r="AG268" s="7"/>
      <c r="AX268" s="17"/>
      <c r="AY268" s="17"/>
      <c r="AZ268" s="17"/>
      <c r="BA268" s="17"/>
      <c r="BB268" s="17"/>
    </row>
    <row r="269" spans="12:54" s="8" customFormat="1" x14ac:dyDescent="0.15">
      <c r="L269" s="254"/>
      <c r="M269" s="254"/>
      <c r="N269" s="254"/>
      <c r="O269" s="7"/>
      <c r="P269" s="7"/>
      <c r="Q269" s="7"/>
      <c r="R269" s="7"/>
      <c r="S269" s="7"/>
      <c r="T269" s="7"/>
      <c r="U269" s="7"/>
      <c r="V269" s="7"/>
      <c r="W269" s="7"/>
      <c r="X269" s="7"/>
      <c r="Y269" s="7"/>
      <c r="Z269" s="7"/>
      <c r="AA269" s="7"/>
      <c r="AB269" s="7"/>
      <c r="AC269" s="7"/>
      <c r="AD269" s="7"/>
      <c r="AE269" s="7"/>
      <c r="AF269" s="7"/>
      <c r="AG269" s="7"/>
      <c r="AX269" s="17"/>
      <c r="AY269" s="17"/>
      <c r="AZ269" s="17"/>
      <c r="BA269" s="17"/>
      <c r="BB269" s="17"/>
    </row>
    <row r="270" spans="12:54" s="8" customFormat="1" x14ac:dyDescent="0.15">
      <c r="L270" s="254"/>
      <c r="M270" s="254"/>
      <c r="N270" s="254"/>
      <c r="O270" s="7"/>
      <c r="P270" s="7"/>
      <c r="Q270" s="7"/>
      <c r="R270" s="7"/>
      <c r="S270" s="7"/>
      <c r="T270" s="7"/>
      <c r="U270" s="7"/>
      <c r="V270" s="7"/>
      <c r="W270" s="7"/>
      <c r="X270" s="7"/>
      <c r="Y270" s="7"/>
      <c r="Z270" s="7"/>
      <c r="AA270" s="7"/>
      <c r="AB270" s="7"/>
      <c r="AC270" s="7"/>
      <c r="AD270" s="7"/>
      <c r="AE270" s="7"/>
      <c r="AF270" s="7"/>
      <c r="AG270" s="7"/>
      <c r="AX270" s="17"/>
      <c r="AY270" s="17"/>
      <c r="AZ270" s="17"/>
      <c r="BA270" s="17"/>
      <c r="BB270" s="17"/>
    </row>
    <row r="271" spans="12:54" s="8" customFormat="1" x14ac:dyDescent="0.15">
      <c r="L271" s="254"/>
      <c r="M271" s="254"/>
      <c r="N271" s="254"/>
      <c r="O271" s="7"/>
      <c r="P271" s="7"/>
      <c r="Q271" s="7"/>
      <c r="R271" s="7"/>
      <c r="S271" s="7"/>
      <c r="T271" s="7"/>
      <c r="U271" s="7"/>
      <c r="V271" s="7"/>
      <c r="W271" s="7"/>
      <c r="X271" s="7"/>
      <c r="Y271" s="7"/>
      <c r="Z271" s="7"/>
      <c r="AA271" s="7"/>
      <c r="AB271" s="7"/>
      <c r="AC271" s="7"/>
      <c r="AD271" s="7"/>
      <c r="AE271" s="7"/>
      <c r="AF271" s="7"/>
      <c r="AG271" s="7"/>
      <c r="AX271" s="17"/>
      <c r="AY271" s="17"/>
      <c r="AZ271" s="17"/>
      <c r="BA271" s="17"/>
      <c r="BB271" s="17"/>
    </row>
    <row r="272" spans="12:54" s="8" customFormat="1" x14ac:dyDescent="0.15">
      <c r="L272" s="254"/>
      <c r="M272" s="254"/>
      <c r="N272" s="254"/>
      <c r="O272" s="7"/>
      <c r="P272" s="7"/>
      <c r="Q272" s="7"/>
      <c r="R272" s="7"/>
      <c r="S272" s="7"/>
      <c r="T272" s="7"/>
      <c r="U272" s="7"/>
      <c r="V272" s="7"/>
      <c r="W272" s="7"/>
      <c r="X272" s="7"/>
      <c r="Y272" s="7"/>
      <c r="Z272" s="7"/>
      <c r="AA272" s="7"/>
      <c r="AB272" s="7"/>
      <c r="AC272" s="7"/>
      <c r="AD272" s="7"/>
      <c r="AE272" s="7"/>
      <c r="AF272" s="7"/>
      <c r="AG272" s="7"/>
      <c r="AX272" s="17"/>
      <c r="AY272" s="17"/>
      <c r="AZ272" s="17"/>
      <c r="BA272" s="17"/>
      <c r="BB272" s="17"/>
    </row>
    <row r="273" spans="12:54" s="8" customFormat="1" x14ac:dyDescent="0.15">
      <c r="L273" s="254"/>
      <c r="M273" s="254"/>
      <c r="N273" s="254"/>
      <c r="AX273" s="17"/>
      <c r="AY273" s="17"/>
      <c r="AZ273" s="17"/>
      <c r="BA273" s="17"/>
      <c r="BB273" s="17"/>
    </row>
    <row r="274" spans="12:54" s="8" customFormat="1" x14ac:dyDescent="0.15">
      <c r="L274" s="254"/>
      <c r="M274" s="254"/>
      <c r="N274" s="254"/>
      <c r="AX274" s="17"/>
      <c r="AY274" s="17"/>
      <c r="AZ274" s="17"/>
      <c r="BA274" s="17"/>
      <c r="BB274" s="17"/>
    </row>
    <row r="275" spans="12:54" s="8" customFormat="1" x14ac:dyDescent="0.15">
      <c r="L275" s="254"/>
      <c r="M275" s="254"/>
      <c r="N275" s="254"/>
      <c r="AX275" s="17"/>
      <c r="AY275" s="17"/>
      <c r="AZ275" s="17"/>
      <c r="BA275" s="17"/>
      <c r="BB275" s="17"/>
    </row>
    <row r="276" spans="12:54" s="8" customFormat="1" x14ac:dyDescent="0.15">
      <c r="L276" s="254"/>
      <c r="M276" s="254"/>
      <c r="N276" s="254"/>
      <c r="AX276" s="17"/>
      <c r="AY276" s="17"/>
      <c r="AZ276" s="17"/>
      <c r="BA276" s="17"/>
      <c r="BB276" s="17"/>
    </row>
    <row r="277" spans="12:54" s="8" customFormat="1" x14ac:dyDescent="0.15">
      <c r="L277" s="254"/>
      <c r="M277" s="254"/>
      <c r="N277" s="254"/>
      <c r="AX277" s="17"/>
      <c r="AY277" s="17"/>
      <c r="AZ277" s="17"/>
      <c r="BA277" s="17"/>
      <c r="BB277" s="17"/>
    </row>
    <row r="278" spans="12:54" s="8" customFormat="1" x14ac:dyDescent="0.15">
      <c r="L278" s="254"/>
      <c r="M278" s="254"/>
      <c r="N278" s="254"/>
      <c r="AX278" s="17"/>
      <c r="AY278" s="17"/>
      <c r="AZ278" s="17"/>
      <c r="BA278" s="17"/>
      <c r="BB278" s="17"/>
    </row>
    <row r="279" spans="12:54" s="8" customFormat="1" x14ac:dyDescent="0.15">
      <c r="L279" s="254"/>
      <c r="M279" s="254"/>
      <c r="N279" s="254"/>
      <c r="AX279" s="17"/>
      <c r="AY279" s="17"/>
      <c r="AZ279" s="17"/>
      <c r="BA279" s="17"/>
      <c r="BB279" s="17"/>
    </row>
    <row r="280" spans="12:54" s="8" customFormat="1" x14ac:dyDescent="0.15">
      <c r="L280" s="254"/>
      <c r="M280" s="254"/>
      <c r="N280" s="254"/>
      <c r="AX280" s="17"/>
      <c r="AY280" s="17"/>
      <c r="AZ280" s="17"/>
      <c r="BA280" s="17"/>
      <c r="BB280" s="17"/>
    </row>
    <row r="281" spans="12:54" s="8" customFormat="1" x14ac:dyDescent="0.15">
      <c r="L281" s="254"/>
      <c r="M281" s="254"/>
      <c r="N281" s="254"/>
      <c r="AX281" s="17"/>
      <c r="AY281" s="17"/>
      <c r="AZ281" s="17"/>
      <c r="BA281" s="17"/>
      <c r="BB281" s="17"/>
    </row>
    <row r="282" spans="12:54" s="8" customFormat="1" x14ac:dyDescent="0.15">
      <c r="L282" s="254"/>
      <c r="M282" s="254"/>
      <c r="N282" s="254"/>
      <c r="AX282" s="17"/>
      <c r="AY282" s="17"/>
      <c r="AZ282" s="17"/>
      <c r="BA282" s="17"/>
      <c r="BB282" s="17"/>
    </row>
    <row r="283" spans="12:54" s="8" customFormat="1" x14ac:dyDescent="0.15">
      <c r="L283" s="254"/>
      <c r="M283" s="254"/>
      <c r="N283" s="254"/>
      <c r="AX283" s="17"/>
      <c r="AY283" s="17"/>
      <c r="AZ283" s="17"/>
      <c r="BA283" s="17"/>
      <c r="BB283" s="17"/>
    </row>
    <row r="284" spans="12:54" s="8" customFormat="1" x14ac:dyDescent="0.15">
      <c r="L284" s="254"/>
      <c r="M284" s="254"/>
      <c r="N284" s="254"/>
      <c r="AX284" s="17"/>
      <c r="AY284" s="17"/>
      <c r="AZ284" s="17"/>
      <c r="BA284" s="17"/>
      <c r="BB284" s="17"/>
    </row>
    <row r="285" spans="12:54" s="8" customFormat="1" x14ac:dyDescent="0.15">
      <c r="L285" s="254"/>
      <c r="M285" s="254"/>
      <c r="N285" s="254"/>
      <c r="AX285" s="17"/>
      <c r="AY285" s="17"/>
      <c r="AZ285" s="17"/>
      <c r="BA285" s="17"/>
      <c r="BB285" s="17"/>
    </row>
    <row r="286" spans="12:54" s="8" customFormat="1" x14ac:dyDescent="0.15">
      <c r="L286" s="254"/>
      <c r="M286" s="254"/>
      <c r="N286" s="254"/>
      <c r="AX286" s="17"/>
      <c r="AY286" s="17"/>
      <c r="AZ286" s="17"/>
      <c r="BA286" s="17"/>
      <c r="BB286" s="17"/>
    </row>
    <row r="287" spans="12:54" s="8" customFormat="1" x14ac:dyDescent="0.15">
      <c r="L287" s="254"/>
      <c r="M287" s="254"/>
      <c r="N287" s="254"/>
      <c r="AX287" s="17"/>
      <c r="AY287" s="17"/>
      <c r="AZ287" s="17"/>
      <c r="BA287" s="17"/>
      <c r="BB287" s="17"/>
    </row>
    <row r="288" spans="12:54" s="8" customFormat="1" x14ac:dyDescent="0.15">
      <c r="L288" s="254"/>
      <c r="M288" s="254"/>
      <c r="N288" s="254"/>
      <c r="AX288" s="17"/>
      <c r="AY288" s="17"/>
      <c r="AZ288" s="17"/>
      <c r="BA288" s="17"/>
      <c r="BB288" s="17"/>
    </row>
    <row r="289" spans="12:54" s="8" customFormat="1" x14ac:dyDescent="0.15">
      <c r="L289" s="254"/>
      <c r="M289" s="254"/>
      <c r="N289" s="254"/>
      <c r="AX289" s="17"/>
      <c r="AY289" s="17"/>
      <c r="AZ289" s="17"/>
      <c r="BA289" s="17"/>
      <c r="BB289" s="17"/>
    </row>
    <row r="290" spans="12:54" s="8" customFormat="1" x14ac:dyDescent="0.15">
      <c r="L290" s="254"/>
      <c r="M290" s="254"/>
      <c r="N290" s="254"/>
      <c r="AX290" s="17"/>
      <c r="AY290" s="17"/>
      <c r="AZ290" s="17"/>
      <c r="BA290" s="17"/>
      <c r="BB290" s="17"/>
    </row>
    <row r="291" spans="12:54" s="8" customFormat="1" x14ac:dyDescent="0.15">
      <c r="L291" s="254"/>
      <c r="M291" s="254"/>
      <c r="N291" s="254"/>
      <c r="AX291" s="17"/>
      <c r="AY291" s="17"/>
      <c r="AZ291" s="17"/>
      <c r="BA291" s="17"/>
      <c r="BB291" s="17"/>
    </row>
    <row r="292" spans="12:54" s="8" customFormat="1" x14ac:dyDescent="0.15">
      <c r="L292" s="254"/>
      <c r="M292" s="254"/>
      <c r="N292" s="254"/>
      <c r="AX292" s="17"/>
      <c r="AY292" s="17"/>
      <c r="AZ292" s="17"/>
      <c r="BA292" s="17"/>
      <c r="BB292" s="17"/>
    </row>
    <row r="293" spans="12:54" s="8" customFormat="1" x14ac:dyDescent="0.15">
      <c r="L293" s="254"/>
      <c r="M293" s="254"/>
      <c r="N293" s="254"/>
      <c r="AX293" s="17"/>
      <c r="AY293" s="17"/>
      <c r="AZ293" s="17"/>
      <c r="BA293" s="17"/>
      <c r="BB293" s="17"/>
    </row>
    <row r="294" spans="12:54" s="8" customFormat="1" x14ac:dyDescent="0.15">
      <c r="L294" s="254"/>
      <c r="M294" s="254"/>
      <c r="N294" s="254"/>
      <c r="AX294" s="17"/>
      <c r="AY294" s="17"/>
      <c r="AZ294" s="17"/>
      <c r="BA294" s="17"/>
      <c r="BB294" s="17"/>
    </row>
    <row r="295" spans="12:54" s="8" customFormat="1" x14ac:dyDescent="0.15">
      <c r="L295" s="254"/>
      <c r="M295" s="254"/>
      <c r="N295" s="254"/>
      <c r="AX295" s="17"/>
      <c r="AY295" s="17"/>
      <c r="AZ295" s="17"/>
      <c r="BA295" s="17"/>
      <c r="BB295" s="17"/>
    </row>
    <row r="296" spans="12:54" s="8" customFormat="1" x14ac:dyDescent="0.15">
      <c r="L296" s="254"/>
      <c r="M296" s="254"/>
      <c r="N296" s="254"/>
      <c r="AX296" s="17"/>
      <c r="AY296" s="17"/>
      <c r="AZ296" s="17"/>
      <c r="BA296" s="17"/>
      <c r="BB296" s="17"/>
    </row>
    <row r="297" spans="12:54" s="8" customFormat="1" x14ac:dyDescent="0.15">
      <c r="L297" s="254"/>
      <c r="M297" s="254"/>
      <c r="N297" s="254"/>
      <c r="AX297" s="17"/>
      <c r="AY297" s="17"/>
      <c r="AZ297" s="17"/>
      <c r="BA297" s="17"/>
      <c r="BB297" s="17"/>
    </row>
    <row r="298" spans="12:54" s="8" customFormat="1" x14ac:dyDescent="0.15">
      <c r="L298" s="254"/>
      <c r="M298" s="254"/>
      <c r="N298" s="254"/>
      <c r="AX298" s="17"/>
      <c r="AY298" s="17"/>
      <c r="AZ298" s="17"/>
      <c r="BA298" s="17"/>
      <c r="BB298" s="17"/>
    </row>
    <row r="299" spans="12:54" s="8" customFormat="1" x14ac:dyDescent="0.15">
      <c r="L299" s="254"/>
      <c r="M299" s="254"/>
      <c r="N299" s="254"/>
      <c r="AX299" s="17"/>
      <c r="AY299" s="17"/>
      <c r="AZ299" s="17"/>
      <c r="BA299" s="17"/>
      <c r="BB299" s="17"/>
    </row>
    <row r="300" spans="12:54" s="8" customFormat="1" x14ac:dyDescent="0.15">
      <c r="L300" s="254"/>
      <c r="M300" s="254"/>
      <c r="N300" s="254"/>
      <c r="AX300" s="17"/>
      <c r="AY300" s="17"/>
      <c r="AZ300" s="17"/>
      <c r="BA300" s="17"/>
      <c r="BB300" s="17"/>
    </row>
    <row r="301" spans="12:54" s="8" customFormat="1" x14ac:dyDescent="0.15">
      <c r="L301" s="254"/>
      <c r="M301" s="254"/>
      <c r="N301" s="254"/>
      <c r="AX301" s="17"/>
      <c r="AY301" s="17"/>
      <c r="AZ301" s="17"/>
      <c r="BA301" s="17"/>
      <c r="BB301" s="17"/>
    </row>
    <row r="302" spans="12:54" s="8" customFormat="1" x14ac:dyDescent="0.15">
      <c r="L302" s="254"/>
      <c r="M302" s="254"/>
      <c r="N302" s="254"/>
      <c r="AX302" s="17"/>
      <c r="AY302" s="17"/>
      <c r="AZ302" s="17"/>
      <c r="BA302" s="17"/>
      <c r="BB302" s="17"/>
    </row>
    <row r="303" spans="12:54" s="8" customFormat="1" x14ac:dyDescent="0.15">
      <c r="L303" s="254"/>
      <c r="M303" s="254"/>
      <c r="N303" s="254"/>
      <c r="AX303" s="17"/>
      <c r="AY303" s="17"/>
      <c r="AZ303" s="17"/>
      <c r="BA303" s="17"/>
      <c r="BB303" s="17"/>
    </row>
    <row r="304" spans="12:54" s="8" customFormat="1" x14ac:dyDescent="0.15">
      <c r="L304" s="254"/>
      <c r="M304" s="254"/>
      <c r="N304" s="254"/>
      <c r="AX304" s="17"/>
      <c r="AY304" s="17"/>
      <c r="AZ304" s="17"/>
      <c r="BA304" s="17"/>
      <c r="BB304" s="17"/>
    </row>
    <row r="305" spans="12:54" s="8" customFormat="1" x14ac:dyDescent="0.15">
      <c r="L305" s="254"/>
      <c r="M305" s="254"/>
      <c r="N305" s="254"/>
      <c r="AX305" s="17"/>
      <c r="AY305" s="17"/>
      <c r="AZ305" s="17"/>
      <c r="BA305" s="17"/>
      <c r="BB305" s="17"/>
    </row>
    <row r="306" spans="12:54" s="8" customFormat="1" x14ac:dyDescent="0.15">
      <c r="L306" s="254"/>
      <c r="M306" s="254"/>
      <c r="N306" s="254"/>
      <c r="AX306" s="17"/>
      <c r="AY306" s="17"/>
      <c r="AZ306" s="17"/>
      <c r="BA306" s="17"/>
      <c r="BB306" s="17"/>
    </row>
    <row r="307" spans="12:54" s="8" customFormat="1" x14ac:dyDescent="0.15">
      <c r="L307" s="254"/>
      <c r="M307" s="254"/>
      <c r="N307" s="254"/>
      <c r="AX307" s="17"/>
      <c r="AY307" s="17"/>
      <c r="AZ307" s="17"/>
      <c r="BA307" s="17"/>
      <c r="BB307" s="17"/>
    </row>
    <row r="308" spans="12:54" s="8" customFormat="1" x14ac:dyDescent="0.15">
      <c r="L308" s="254"/>
      <c r="M308" s="254"/>
      <c r="N308" s="254"/>
      <c r="AX308" s="17"/>
      <c r="AY308" s="17"/>
      <c r="AZ308" s="17"/>
      <c r="BA308" s="17"/>
      <c r="BB308" s="17"/>
    </row>
    <row r="309" spans="12:54" s="8" customFormat="1" x14ac:dyDescent="0.15">
      <c r="L309" s="254"/>
      <c r="M309" s="254"/>
      <c r="N309" s="254"/>
      <c r="AX309" s="17"/>
      <c r="AY309" s="17"/>
      <c r="AZ309" s="17"/>
      <c r="BA309" s="17"/>
      <c r="BB309" s="17"/>
    </row>
    <row r="310" spans="12:54" s="8" customFormat="1" x14ac:dyDescent="0.15">
      <c r="L310" s="254"/>
      <c r="M310" s="254"/>
      <c r="N310" s="254"/>
      <c r="AX310" s="17"/>
      <c r="AY310" s="17"/>
      <c r="AZ310" s="17"/>
      <c r="BA310" s="17"/>
      <c r="BB310" s="17"/>
    </row>
    <row r="311" spans="12:54" s="8" customFormat="1" x14ac:dyDescent="0.15">
      <c r="L311" s="254"/>
      <c r="M311" s="254"/>
      <c r="N311" s="254"/>
      <c r="AX311" s="17"/>
      <c r="AY311" s="17"/>
      <c r="AZ311" s="17"/>
      <c r="BA311" s="17"/>
      <c r="BB311" s="17"/>
    </row>
    <row r="312" spans="12:54" s="8" customFormat="1" x14ac:dyDescent="0.15">
      <c r="L312" s="254"/>
      <c r="M312" s="254"/>
      <c r="N312" s="254"/>
      <c r="AX312" s="17"/>
      <c r="AY312" s="17"/>
      <c r="AZ312" s="17"/>
      <c r="BA312" s="17"/>
      <c r="BB312" s="17"/>
    </row>
    <row r="313" spans="12:54" s="8" customFormat="1" x14ac:dyDescent="0.15">
      <c r="L313" s="254"/>
      <c r="M313" s="254"/>
      <c r="N313" s="254"/>
      <c r="AX313" s="17"/>
      <c r="AY313" s="17"/>
      <c r="AZ313" s="17"/>
      <c r="BA313" s="17"/>
      <c r="BB313" s="17"/>
    </row>
    <row r="314" spans="12:54" s="8" customFormat="1" x14ac:dyDescent="0.15">
      <c r="L314" s="254"/>
      <c r="M314" s="254"/>
      <c r="N314" s="254"/>
      <c r="AX314" s="17"/>
      <c r="AY314" s="17"/>
      <c r="AZ314" s="17"/>
      <c r="BA314" s="17"/>
      <c r="BB314" s="17"/>
    </row>
    <row r="315" spans="12:54" s="8" customFormat="1" x14ac:dyDescent="0.15">
      <c r="L315" s="254"/>
      <c r="M315" s="254"/>
      <c r="N315" s="254"/>
      <c r="AX315" s="17"/>
      <c r="AY315" s="17"/>
      <c r="AZ315" s="17"/>
      <c r="BA315" s="17"/>
      <c r="BB315" s="17"/>
    </row>
    <row r="316" spans="12:54" s="8" customFormat="1" x14ac:dyDescent="0.15">
      <c r="L316" s="254"/>
      <c r="M316" s="254"/>
      <c r="N316" s="254"/>
      <c r="AX316" s="17"/>
      <c r="AY316" s="17"/>
      <c r="AZ316" s="17"/>
      <c r="BA316" s="17"/>
      <c r="BB316" s="17"/>
    </row>
    <row r="317" spans="12:54" s="8" customFormat="1" x14ac:dyDescent="0.15">
      <c r="L317" s="254"/>
      <c r="M317" s="254"/>
      <c r="N317" s="254"/>
      <c r="AX317" s="17"/>
      <c r="AY317" s="17"/>
      <c r="AZ317" s="17"/>
      <c r="BA317" s="17"/>
      <c r="BB317" s="17"/>
    </row>
    <row r="318" spans="12:54" s="8" customFormat="1" x14ac:dyDescent="0.15">
      <c r="L318" s="254"/>
      <c r="M318" s="254"/>
      <c r="N318" s="254"/>
      <c r="AX318" s="17"/>
      <c r="AY318" s="17"/>
      <c r="AZ318" s="17"/>
      <c r="BA318" s="17"/>
      <c r="BB318" s="17"/>
    </row>
    <row r="319" spans="12:54" s="8" customFormat="1" x14ac:dyDescent="0.15">
      <c r="L319" s="254"/>
      <c r="M319" s="254"/>
      <c r="N319" s="254"/>
      <c r="AX319" s="17"/>
      <c r="AY319" s="17"/>
      <c r="AZ319" s="17"/>
      <c r="BA319" s="17"/>
      <c r="BB319" s="17"/>
    </row>
    <row r="320" spans="12:54" s="8" customFormat="1" x14ac:dyDescent="0.15">
      <c r="L320" s="254"/>
      <c r="M320" s="254"/>
      <c r="N320" s="254"/>
      <c r="AX320" s="17"/>
      <c r="AY320" s="17"/>
      <c r="AZ320" s="17"/>
      <c r="BA320" s="17"/>
      <c r="BB320" s="17"/>
    </row>
    <row r="321" spans="12:54" s="8" customFormat="1" x14ac:dyDescent="0.15">
      <c r="L321" s="254"/>
      <c r="M321" s="254"/>
      <c r="N321" s="254"/>
      <c r="AX321" s="17"/>
      <c r="AY321" s="17"/>
      <c r="AZ321" s="17"/>
      <c r="BA321" s="17"/>
      <c r="BB321" s="17"/>
    </row>
    <row r="322" spans="12:54" s="8" customFormat="1" x14ac:dyDescent="0.15">
      <c r="L322" s="254"/>
      <c r="M322" s="254"/>
      <c r="N322" s="254"/>
      <c r="AX322" s="17"/>
      <c r="AY322" s="17"/>
      <c r="AZ322" s="17"/>
      <c r="BA322" s="17"/>
      <c r="BB322" s="17"/>
    </row>
    <row r="323" spans="12:54" s="8" customFormat="1" x14ac:dyDescent="0.15">
      <c r="L323" s="254"/>
      <c r="M323" s="254"/>
      <c r="N323" s="254"/>
      <c r="AX323" s="17"/>
      <c r="AY323" s="17"/>
      <c r="AZ323" s="17"/>
      <c r="BA323" s="17"/>
      <c r="BB323" s="17"/>
    </row>
    <row r="324" spans="12:54" s="8" customFormat="1" x14ac:dyDescent="0.15">
      <c r="L324" s="254"/>
      <c r="M324" s="254"/>
      <c r="N324" s="254"/>
      <c r="AX324" s="17"/>
      <c r="AY324" s="17"/>
      <c r="AZ324" s="17"/>
      <c r="BA324" s="17"/>
      <c r="BB324" s="17"/>
    </row>
    <row r="325" spans="12:54" s="8" customFormat="1" x14ac:dyDescent="0.15">
      <c r="L325" s="254"/>
      <c r="M325" s="254"/>
      <c r="N325" s="254"/>
      <c r="AX325" s="17"/>
      <c r="AY325" s="17"/>
      <c r="AZ325" s="17"/>
      <c r="BA325" s="17"/>
      <c r="BB325" s="17"/>
    </row>
    <row r="326" spans="12:54" s="8" customFormat="1" x14ac:dyDescent="0.15">
      <c r="L326" s="254"/>
      <c r="M326" s="254"/>
      <c r="N326" s="254"/>
      <c r="AX326" s="17"/>
      <c r="AY326" s="17"/>
      <c r="AZ326" s="17"/>
      <c r="BA326" s="17"/>
      <c r="BB326" s="17"/>
    </row>
    <row r="327" spans="12:54" s="8" customFormat="1" x14ac:dyDescent="0.15">
      <c r="L327" s="254"/>
      <c r="M327" s="254"/>
      <c r="N327" s="254"/>
      <c r="AX327" s="17"/>
      <c r="AY327" s="17"/>
      <c r="AZ327" s="17"/>
      <c r="BA327" s="17"/>
      <c r="BB327" s="17"/>
    </row>
    <row r="328" spans="12:54" s="8" customFormat="1" x14ac:dyDescent="0.15">
      <c r="L328" s="254"/>
      <c r="M328" s="254"/>
      <c r="N328" s="254"/>
      <c r="AX328" s="17"/>
      <c r="AY328" s="17"/>
      <c r="AZ328" s="17"/>
      <c r="BA328" s="17"/>
      <c r="BB328" s="17"/>
    </row>
    <row r="329" spans="12:54" s="8" customFormat="1" x14ac:dyDescent="0.15">
      <c r="L329" s="254"/>
      <c r="M329" s="254"/>
      <c r="N329" s="254"/>
      <c r="AX329" s="17"/>
      <c r="AY329" s="17"/>
      <c r="AZ329" s="17"/>
      <c r="BA329" s="17"/>
      <c r="BB329" s="17"/>
    </row>
    <row r="330" spans="12:54" s="8" customFormat="1" x14ac:dyDescent="0.15">
      <c r="L330" s="254"/>
      <c r="M330" s="254"/>
      <c r="N330" s="254"/>
      <c r="AX330" s="17"/>
      <c r="AY330" s="17"/>
      <c r="AZ330" s="17"/>
      <c r="BA330" s="17"/>
      <c r="BB330" s="17"/>
    </row>
    <row r="331" spans="12:54" s="8" customFormat="1" x14ac:dyDescent="0.15">
      <c r="L331" s="254"/>
      <c r="M331" s="254"/>
      <c r="N331" s="254"/>
      <c r="AX331" s="17"/>
      <c r="AY331" s="17"/>
      <c r="AZ331" s="17"/>
      <c r="BA331" s="17"/>
      <c r="BB331" s="17"/>
    </row>
    <row r="332" spans="12:54" s="8" customFormat="1" x14ac:dyDescent="0.15">
      <c r="L332" s="254"/>
      <c r="M332" s="254"/>
      <c r="N332" s="254"/>
      <c r="AX332" s="17"/>
      <c r="AY332" s="17"/>
      <c r="AZ332" s="17"/>
      <c r="BA332" s="17"/>
      <c r="BB332" s="17"/>
    </row>
    <row r="333" spans="12:54" s="8" customFormat="1" x14ac:dyDescent="0.15">
      <c r="L333" s="254"/>
      <c r="M333" s="254"/>
      <c r="N333" s="254"/>
      <c r="AX333" s="17"/>
      <c r="AY333" s="17"/>
      <c r="AZ333" s="17"/>
      <c r="BA333" s="17"/>
      <c r="BB333" s="17"/>
    </row>
    <row r="334" spans="12:54" s="8" customFormat="1" x14ac:dyDescent="0.15">
      <c r="L334" s="254"/>
      <c r="M334" s="254"/>
      <c r="N334" s="254"/>
      <c r="AX334" s="17"/>
      <c r="AY334" s="17"/>
      <c r="AZ334" s="17"/>
      <c r="BA334" s="17"/>
      <c r="BB334" s="17"/>
    </row>
    <row r="335" spans="12:54" s="8" customFormat="1" x14ac:dyDescent="0.15">
      <c r="L335" s="254"/>
      <c r="M335" s="254"/>
      <c r="N335" s="254"/>
      <c r="AX335" s="17"/>
      <c r="AY335" s="17"/>
      <c r="AZ335" s="17"/>
      <c r="BA335" s="17"/>
      <c r="BB335" s="17"/>
    </row>
    <row r="336" spans="12:54" s="8" customFormat="1" x14ac:dyDescent="0.15">
      <c r="L336" s="254"/>
      <c r="M336" s="254"/>
      <c r="N336" s="254"/>
      <c r="AX336" s="17"/>
      <c r="AY336" s="17"/>
      <c r="AZ336" s="17"/>
      <c r="BA336" s="17"/>
      <c r="BB336" s="17"/>
    </row>
    <row r="337" spans="12:54" s="8" customFormat="1" x14ac:dyDescent="0.15">
      <c r="L337" s="254"/>
      <c r="M337" s="254"/>
      <c r="N337" s="254"/>
      <c r="AX337" s="17"/>
      <c r="AY337" s="17"/>
      <c r="AZ337" s="17"/>
      <c r="BA337" s="17"/>
      <c r="BB337" s="17"/>
    </row>
    <row r="338" spans="12:54" s="8" customFormat="1" x14ac:dyDescent="0.15">
      <c r="L338" s="254"/>
      <c r="M338" s="254"/>
      <c r="N338" s="254"/>
      <c r="AX338" s="17"/>
      <c r="AY338" s="17"/>
      <c r="AZ338" s="17"/>
      <c r="BA338" s="17"/>
      <c r="BB338" s="17"/>
    </row>
    <row r="339" spans="12:54" s="8" customFormat="1" x14ac:dyDescent="0.15">
      <c r="L339" s="254"/>
      <c r="M339" s="254"/>
      <c r="N339" s="254"/>
      <c r="AX339" s="17"/>
      <c r="AY339" s="17"/>
      <c r="AZ339" s="17"/>
      <c r="BA339" s="17"/>
      <c r="BB339" s="17"/>
    </row>
    <row r="340" spans="12:54" s="8" customFormat="1" x14ac:dyDescent="0.15">
      <c r="L340" s="254"/>
      <c r="M340" s="254"/>
      <c r="N340" s="254"/>
      <c r="AX340" s="17"/>
      <c r="AY340" s="17"/>
      <c r="AZ340" s="17"/>
      <c r="BA340" s="17"/>
      <c r="BB340" s="17"/>
    </row>
    <row r="341" spans="12:54" s="8" customFormat="1" x14ac:dyDescent="0.15">
      <c r="L341" s="254"/>
      <c r="M341" s="254"/>
      <c r="N341" s="254"/>
      <c r="AX341" s="17"/>
      <c r="AY341" s="17"/>
      <c r="AZ341" s="17"/>
      <c r="BA341" s="17"/>
      <c r="BB341" s="17"/>
    </row>
    <row r="342" spans="12:54" s="8" customFormat="1" x14ac:dyDescent="0.15">
      <c r="L342" s="254"/>
      <c r="M342" s="254"/>
      <c r="N342" s="254"/>
      <c r="AX342" s="17"/>
      <c r="AY342" s="17"/>
      <c r="AZ342" s="17"/>
      <c r="BA342" s="17"/>
      <c r="BB342" s="17"/>
    </row>
    <row r="343" spans="12:54" s="8" customFormat="1" x14ac:dyDescent="0.15">
      <c r="L343" s="254"/>
      <c r="M343" s="254"/>
      <c r="N343" s="254"/>
      <c r="AX343" s="17"/>
      <c r="AY343" s="17"/>
      <c r="AZ343" s="17"/>
      <c r="BA343" s="17"/>
      <c r="BB343" s="17"/>
    </row>
    <row r="344" spans="12:54" s="8" customFormat="1" x14ac:dyDescent="0.15">
      <c r="L344" s="254"/>
      <c r="M344" s="254"/>
      <c r="N344" s="254"/>
      <c r="AX344" s="17"/>
      <c r="AY344" s="17"/>
      <c r="AZ344" s="17"/>
      <c r="BA344" s="17"/>
      <c r="BB344" s="17"/>
    </row>
    <row r="345" spans="12:54" s="8" customFormat="1" x14ac:dyDescent="0.15">
      <c r="L345" s="254"/>
      <c r="M345" s="254"/>
      <c r="N345" s="254"/>
      <c r="AX345" s="17"/>
      <c r="AY345" s="17"/>
      <c r="AZ345" s="17"/>
      <c r="BA345" s="17"/>
      <c r="BB345" s="17"/>
    </row>
    <row r="346" spans="12:54" s="8" customFormat="1" x14ac:dyDescent="0.15">
      <c r="L346" s="254"/>
      <c r="M346" s="254"/>
      <c r="N346" s="254"/>
      <c r="AX346" s="17"/>
      <c r="AY346" s="17"/>
      <c r="AZ346" s="17"/>
      <c r="BA346" s="17"/>
      <c r="BB346" s="17"/>
    </row>
    <row r="347" spans="12:54" s="8" customFormat="1" x14ac:dyDescent="0.15">
      <c r="L347" s="254"/>
      <c r="M347" s="254"/>
      <c r="N347" s="254"/>
      <c r="AX347" s="17"/>
      <c r="AY347" s="17"/>
      <c r="AZ347" s="17"/>
      <c r="BA347" s="17"/>
      <c r="BB347" s="17"/>
    </row>
    <row r="348" spans="12:54" s="8" customFormat="1" x14ac:dyDescent="0.15">
      <c r="L348" s="254"/>
      <c r="M348" s="254"/>
      <c r="N348" s="254"/>
      <c r="AX348" s="17"/>
      <c r="AY348" s="17"/>
      <c r="AZ348" s="17"/>
      <c r="BA348" s="17"/>
      <c r="BB348" s="17"/>
    </row>
    <row r="349" spans="12:54" s="8" customFormat="1" x14ac:dyDescent="0.15">
      <c r="L349" s="254"/>
      <c r="M349" s="254"/>
      <c r="N349" s="254"/>
      <c r="AX349" s="17"/>
      <c r="AY349" s="17"/>
      <c r="AZ349" s="17"/>
      <c r="BA349" s="17"/>
      <c r="BB349" s="17"/>
    </row>
    <row r="350" spans="12:54" s="8" customFormat="1" x14ac:dyDescent="0.15">
      <c r="L350" s="254"/>
      <c r="M350" s="254"/>
      <c r="N350" s="254"/>
      <c r="AX350" s="17"/>
      <c r="AY350" s="17"/>
      <c r="AZ350" s="17"/>
      <c r="BA350" s="17"/>
      <c r="BB350" s="17"/>
    </row>
    <row r="351" spans="12:54" s="8" customFormat="1" x14ac:dyDescent="0.15">
      <c r="L351" s="254"/>
      <c r="M351" s="254"/>
      <c r="N351" s="254"/>
      <c r="AX351" s="17"/>
      <c r="AY351" s="17"/>
      <c r="AZ351" s="17"/>
      <c r="BA351" s="17"/>
      <c r="BB351" s="17"/>
    </row>
    <row r="352" spans="12:54" s="8" customFormat="1" x14ac:dyDescent="0.15">
      <c r="L352" s="254"/>
      <c r="M352" s="254"/>
      <c r="N352" s="254"/>
      <c r="AX352" s="17"/>
      <c r="AY352" s="17"/>
      <c r="AZ352" s="17"/>
      <c r="BA352" s="17"/>
      <c r="BB352" s="17"/>
    </row>
    <row r="353" spans="12:54" s="8" customFormat="1" x14ac:dyDescent="0.15">
      <c r="L353" s="254"/>
      <c r="M353" s="254"/>
      <c r="N353" s="254"/>
      <c r="AX353" s="17"/>
      <c r="AY353" s="17"/>
      <c r="AZ353" s="17"/>
      <c r="BA353" s="17"/>
      <c r="BB353" s="17"/>
    </row>
    <row r="354" spans="12:54" s="8" customFormat="1" x14ac:dyDescent="0.15">
      <c r="L354" s="254"/>
      <c r="M354" s="254"/>
      <c r="N354" s="254"/>
      <c r="AX354" s="17"/>
      <c r="AY354" s="17"/>
      <c r="AZ354" s="17"/>
      <c r="BA354" s="17"/>
      <c r="BB354" s="17"/>
    </row>
    <row r="355" spans="12:54" s="8" customFormat="1" x14ac:dyDescent="0.15">
      <c r="L355" s="254"/>
      <c r="M355" s="254"/>
      <c r="N355" s="254"/>
      <c r="AX355" s="17"/>
      <c r="AY355" s="17"/>
      <c r="AZ355" s="17"/>
      <c r="BA355" s="17"/>
      <c r="BB355" s="17"/>
    </row>
    <row r="356" spans="12:54" s="8" customFormat="1" x14ac:dyDescent="0.15">
      <c r="L356" s="254"/>
      <c r="M356" s="254"/>
      <c r="N356" s="254"/>
      <c r="AX356" s="17"/>
      <c r="AY356" s="17"/>
      <c r="AZ356" s="17"/>
      <c r="BA356" s="17"/>
      <c r="BB356" s="17"/>
    </row>
    <row r="357" spans="12:54" s="8" customFormat="1" x14ac:dyDescent="0.15">
      <c r="L357" s="254"/>
      <c r="M357" s="254"/>
      <c r="N357" s="254"/>
      <c r="AX357" s="17"/>
      <c r="AY357" s="17"/>
      <c r="AZ357" s="17"/>
      <c r="BA357" s="17"/>
      <c r="BB357" s="17"/>
    </row>
    <row r="358" spans="12:54" s="8" customFormat="1" x14ac:dyDescent="0.15">
      <c r="L358" s="254"/>
      <c r="M358" s="254"/>
      <c r="N358" s="254"/>
      <c r="AX358" s="17"/>
      <c r="AY358" s="17"/>
      <c r="AZ358" s="17"/>
      <c r="BA358" s="17"/>
      <c r="BB358" s="17"/>
    </row>
    <row r="359" spans="12:54" s="8" customFormat="1" x14ac:dyDescent="0.15">
      <c r="L359" s="254"/>
      <c r="M359" s="254"/>
      <c r="N359" s="254"/>
      <c r="AX359" s="17"/>
      <c r="AY359" s="17"/>
      <c r="AZ359" s="17"/>
      <c r="BA359" s="17"/>
      <c r="BB359" s="17"/>
    </row>
    <row r="360" spans="12:54" s="8" customFormat="1" x14ac:dyDescent="0.15">
      <c r="L360" s="254"/>
      <c r="M360" s="254"/>
      <c r="N360" s="254"/>
      <c r="AX360" s="17"/>
      <c r="AY360" s="17"/>
      <c r="AZ360" s="17"/>
      <c r="BA360" s="17"/>
      <c r="BB360" s="17"/>
    </row>
    <row r="361" spans="12:54" s="8" customFormat="1" x14ac:dyDescent="0.15">
      <c r="L361" s="254"/>
      <c r="M361" s="254"/>
      <c r="N361" s="254"/>
      <c r="AX361" s="17"/>
      <c r="AY361" s="17"/>
      <c r="AZ361" s="17"/>
      <c r="BA361" s="17"/>
      <c r="BB361" s="17"/>
    </row>
    <row r="362" spans="12:54" s="8" customFormat="1" x14ac:dyDescent="0.15">
      <c r="L362" s="254"/>
      <c r="M362" s="254"/>
      <c r="N362" s="254"/>
      <c r="AX362" s="17"/>
      <c r="AY362" s="17"/>
      <c r="AZ362" s="17"/>
      <c r="BA362" s="17"/>
      <c r="BB362" s="17"/>
    </row>
    <row r="363" spans="12:54" s="8" customFormat="1" x14ac:dyDescent="0.15">
      <c r="L363" s="254"/>
      <c r="M363" s="254"/>
      <c r="N363" s="254"/>
      <c r="AX363" s="17"/>
      <c r="AY363" s="17"/>
      <c r="AZ363" s="17"/>
      <c r="BA363" s="17"/>
      <c r="BB363" s="1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170"/>
  <sheetViews>
    <sheetView workbookViewId="0">
      <selection activeCell="D24" sqref="D24"/>
    </sheetView>
  </sheetViews>
  <sheetFormatPr baseColWidth="10" defaultColWidth="8.83203125" defaultRowHeight="15" x14ac:dyDescent="0.2"/>
  <cols>
    <col min="1" max="1" width="12.33203125" bestFit="1" customWidth="1"/>
    <col min="2" max="2" width="11.83203125" bestFit="1" customWidth="1"/>
    <col min="4" max="4" width="11" bestFit="1" customWidth="1"/>
    <col min="6" max="6" width="24" bestFit="1" customWidth="1"/>
    <col min="7" max="7" width="15.33203125" bestFit="1" customWidth="1"/>
    <col min="11" max="11" width="12" bestFit="1" customWidth="1"/>
    <col min="12" max="12" width="22" bestFit="1" customWidth="1"/>
  </cols>
  <sheetData>
    <row r="1" spans="1:13" x14ac:dyDescent="0.2">
      <c r="A1" s="144" t="s">
        <v>299</v>
      </c>
      <c r="B1" t="s">
        <v>301</v>
      </c>
      <c r="D1" t="s">
        <v>300</v>
      </c>
      <c r="E1" t="s">
        <v>303</v>
      </c>
      <c r="F1" t="s">
        <v>304</v>
      </c>
      <c r="G1" t="s">
        <v>305</v>
      </c>
      <c r="K1" t="s">
        <v>182</v>
      </c>
      <c r="L1" t="s">
        <v>310</v>
      </c>
      <c r="M1" t="s">
        <v>311</v>
      </c>
    </row>
    <row r="2" spans="1:13" x14ac:dyDescent="0.2">
      <c r="A2" t="s">
        <v>5</v>
      </c>
      <c r="B2">
        <f>IF(A2=D2,1,0)</f>
        <v>1</v>
      </c>
      <c r="D2" t="s">
        <v>5</v>
      </c>
      <c r="E2">
        <v>4</v>
      </c>
      <c r="F2">
        <v>252</v>
      </c>
      <c r="G2">
        <v>6</v>
      </c>
      <c r="H2">
        <f>IF(F2="",0,F2)</f>
        <v>252</v>
      </c>
      <c r="K2">
        <v>2064995.7796</v>
      </c>
      <c r="L2" s="152">
        <v>2064996</v>
      </c>
      <c r="M2">
        <f>K2-L2</f>
        <v>-0.2203999999910593</v>
      </c>
    </row>
    <row r="3" spans="1:13" x14ac:dyDescent="0.2">
      <c r="A3" t="s">
        <v>7</v>
      </c>
      <c r="B3">
        <f t="shared" ref="B3:B66" si="0">IF(A3=D3,1,0)</f>
        <v>1</v>
      </c>
      <c r="D3" t="s">
        <v>7</v>
      </c>
      <c r="E3">
        <v>108</v>
      </c>
      <c r="F3">
        <v>0</v>
      </c>
      <c r="G3">
        <v>0</v>
      </c>
      <c r="H3">
        <f t="shared" ref="H3:H66" si="1">IF(F3="",0,F3)</f>
        <v>0</v>
      </c>
      <c r="K3">
        <v>17328188.139400002</v>
      </c>
      <c r="L3" s="152">
        <v>17328188</v>
      </c>
      <c r="M3">
        <f t="shared" ref="M3:M66" si="2">K3-L3</f>
        <v>0.13940000161528587</v>
      </c>
    </row>
    <row r="4" spans="1:13" x14ac:dyDescent="0.2">
      <c r="A4" t="s">
        <v>9</v>
      </c>
      <c r="B4">
        <f t="shared" si="0"/>
        <v>1</v>
      </c>
      <c r="D4" t="s">
        <v>9</v>
      </c>
      <c r="E4">
        <v>10</v>
      </c>
      <c r="F4">
        <v>174</v>
      </c>
      <c r="G4">
        <v>4</v>
      </c>
      <c r="H4">
        <f t="shared" si="1"/>
        <v>174</v>
      </c>
      <c r="K4">
        <v>3528605.6513</v>
      </c>
      <c r="L4" s="152">
        <v>3528605</v>
      </c>
      <c r="M4">
        <f t="shared" si="2"/>
        <v>0.65130000002682209</v>
      </c>
    </row>
    <row r="5" spans="1:13" x14ac:dyDescent="0.2">
      <c r="A5" t="s">
        <v>11</v>
      </c>
      <c r="B5">
        <f t="shared" si="0"/>
        <v>1</v>
      </c>
      <c r="D5" t="s">
        <v>11</v>
      </c>
      <c r="E5">
        <v>106</v>
      </c>
      <c r="F5">
        <v>0</v>
      </c>
      <c r="G5">
        <v>0</v>
      </c>
      <c r="H5">
        <f t="shared" si="1"/>
        <v>0</v>
      </c>
      <c r="K5">
        <v>613535.95279999997</v>
      </c>
      <c r="L5" s="152">
        <v>613536</v>
      </c>
      <c r="M5">
        <f t="shared" si="2"/>
        <v>-4.7200000029988587E-2</v>
      </c>
    </row>
    <row r="6" spans="1:13" x14ac:dyDescent="0.2">
      <c r="A6" t="s">
        <v>12</v>
      </c>
      <c r="B6">
        <f t="shared" si="0"/>
        <v>1</v>
      </c>
      <c r="D6" t="s">
        <v>12</v>
      </c>
      <c r="E6">
        <v>2</v>
      </c>
      <c r="F6">
        <v>298</v>
      </c>
      <c r="G6">
        <v>6</v>
      </c>
      <c r="H6">
        <f t="shared" si="1"/>
        <v>298</v>
      </c>
      <c r="K6">
        <v>1542524.8476</v>
      </c>
      <c r="L6" s="152">
        <v>1542525</v>
      </c>
      <c r="M6">
        <f t="shared" si="2"/>
        <v>-0.15240000002086163</v>
      </c>
    </row>
    <row r="7" spans="1:13" x14ac:dyDescent="0.2">
      <c r="A7" t="s">
        <v>13</v>
      </c>
      <c r="B7">
        <f t="shared" si="0"/>
        <v>1</v>
      </c>
      <c r="D7" t="s">
        <v>13</v>
      </c>
      <c r="E7">
        <v>12</v>
      </c>
      <c r="F7">
        <v>829</v>
      </c>
      <c r="G7">
        <v>13</v>
      </c>
      <c r="H7">
        <f t="shared" si="1"/>
        <v>829</v>
      </c>
      <c r="K7">
        <v>3995129.7779999999</v>
      </c>
      <c r="L7" s="152">
        <v>3995130</v>
      </c>
      <c r="M7">
        <f t="shared" si="2"/>
        <v>-0.22200000006705523</v>
      </c>
    </row>
    <row r="8" spans="1:13" x14ac:dyDescent="0.2">
      <c r="A8" t="s">
        <v>15</v>
      </c>
      <c r="B8">
        <f t="shared" si="0"/>
        <v>1</v>
      </c>
      <c r="D8" t="s">
        <v>15</v>
      </c>
      <c r="E8">
        <v>74</v>
      </c>
      <c r="F8">
        <v>0</v>
      </c>
      <c r="G8">
        <v>0</v>
      </c>
      <c r="H8">
        <f t="shared" si="1"/>
        <v>0</v>
      </c>
      <c r="K8">
        <v>5950709.0464000003</v>
      </c>
      <c r="L8" s="152">
        <v>5950710</v>
      </c>
      <c r="M8">
        <f t="shared" si="2"/>
        <v>-0.95359999965876341</v>
      </c>
    </row>
    <row r="9" spans="1:13" x14ac:dyDescent="0.2">
      <c r="A9" t="s">
        <v>16</v>
      </c>
      <c r="B9">
        <f t="shared" si="0"/>
        <v>1</v>
      </c>
      <c r="D9" t="s">
        <v>16</v>
      </c>
      <c r="E9">
        <v>9</v>
      </c>
      <c r="F9">
        <v>403</v>
      </c>
      <c r="G9">
        <v>6</v>
      </c>
      <c r="H9">
        <f t="shared" si="1"/>
        <v>403</v>
      </c>
      <c r="K9">
        <v>1819778.6510999999</v>
      </c>
      <c r="L9" s="152">
        <v>1819778</v>
      </c>
      <c r="M9">
        <f t="shared" si="2"/>
        <v>0.65109999990090728</v>
      </c>
    </row>
    <row r="10" spans="1:13" x14ac:dyDescent="0.2">
      <c r="A10" t="s">
        <v>17</v>
      </c>
      <c r="B10">
        <f t="shared" si="0"/>
        <v>1</v>
      </c>
      <c r="D10" t="s">
        <v>17</v>
      </c>
      <c r="E10">
        <v>189</v>
      </c>
      <c r="F10">
        <v>0</v>
      </c>
      <c r="G10">
        <v>0</v>
      </c>
      <c r="H10">
        <f t="shared" si="1"/>
        <v>0</v>
      </c>
      <c r="K10">
        <v>7873429.4375</v>
      </c>
      <c r="L10" s="152">
        <v>7873430</v>
      </c>
      <c r="M10">
        <f t="shared" si="2"/>
        <v>-0.5625</v>
      </c>
    </row>
    <row r="11" spans="1:13" x14ac:dyDescent="0.2">
      <c r="A11" t="s">
        <v>18</v>
      </c>
      <c r="B11">
        <f t="shared" si="0"/>
        <v>1</v>
      </c>
      <c r="D11" t="s">
        <v>18</v>
      </c>
      <c r="E11">
        <v>0</v>
      </c>
      <c r="F11">
        <v>359</v>
      </c>
      <c r="G11">
        <v>13</v>
      </c>
      <c r="H11">
        <f t="shared" si="1"/>
        <v>359</v>
      </c>
      <c r="K11">
        <v>1158470.5781</v>
      </c>
      <c r="L11" s="152">
        <v>1158471</v>
      </c>
      <c r="M11">
        <f t="shared" si="2"/>
        <v>-0.42189999995753169</v>
      </c>
    </row>
    <row r="12" spans="1:13" x14ac:dyDescent="0.2">
      <c r="A12" t="s">
        <v>20</v>
      </c>
      <c r="B12">
        <f t="shared" si="0"/>
        <v>1</v>
      </c>
      <c r="D12" t="s">
        <v>20</v>
      </c>
      <c r="E12">
        <v>57</v>
      </c>
      <c r="F12">
        <v>0</v>
      </c>
      <c r="G12">
        <v>0</v>
      </c>
      <c r="H12">
        <f t="shared" si="1"/>
        <v>0</v>
      </c>
      <c r="K12">
        <v>6421767.9536000006</v>
      </c>
      <c r="L12" s="152">
        <v>6421768</v>
      </c>
      <c r="M12">
        <f t="shared" si="2"/>
        <v>-4.6399999409914017E-2</v>
      </c>
    </row>
    <row r="13" spans="1:13" x14ac:dyDescent="0.2">
      <c r="A13" t="s">
        <v>21</v>
      </c>
      <c r="B13">
        <f t="shared" si="0"/>
        <v>1</v>
      </c>
      <c r="D13" t="s">
        <v>21</v>
      </c>
      <c r="E13">
        <v>7</v>
      </c>
      <c r="F13">
        <v>0</v>
      </c>
      <c r="G13">
        <v>0</v>
      </c>
      <c r="H13">
        <f t="shared" si="1"/>
        <v>0</v>
      </c>
      <c r="K13">
        <v>2747057.2069000001</v>
      </c>
      <c r="L13" s="152">
        <v>2747057</v>
      </c>
      <c r="M13">
        <f t="shared" si="2"/>
        <v>0.2069000001065433</v>
      </c>
    </row>
    <row r="14" spans="1:13" x14ac:dyDescent="0.2">
      <c r="A14" t="s">
        <v>22</v>
      </c>
      <c r="B14">
        <f t="shared" si="0"/>
        <v>1</v>
      </c>
      <c r="D14" t="s">
        <v>22</v>
      </c>
      <c r="E14">
        <v>5</v>
      </c>
      <c r="F14">
        <v>0</v>
      </c>
      <c r="G14">
        <v>0</v>
      </c>
      <c r="H14">
        <f t="shared" si="1"/>
        <v>0</v>
      </c>
      <c r="K14">
        <v>1207585.2042</v>
      </c>
      <c r="L14" s="152">
        <v>1207585</v>
      </c>
      <c r="M14">
        <f t="shared" si="2"/>
        <v>0.20420000003650784</v>
      </c>
    </row>
    <row r="15" spans="1:13" x14ac:dyDescent="0.2">
      <c r="A15" t="s">
        <v>23</v>
      </c>
      <c r="B15">
        <f t="shared" si="0"/>
        <v>1</v>
      </c>
      <c r="D15" t="s">
        <v>23</v>
      </c>
      <c r="E15">
        <v>121</v>
      </c>
      <c r="F15">
        <v>0</v>
      </c>
      <c r="G15">
        <v>0</v>
      </c>
      <c r="H15">
        <f t="shared" si="1"/>
        <v>0</v>
      </c>
      <c r="K15">
        <v>2483809.2901999997</v>
      </c>
      <c r="L15" s="152">
        <v>2483809</v>
      </c>
      <c r="M15">
        <f t="shared" si="2"/>
        <v>0.29019999969750643</v>
      </c>
    </row>
    <row r="16" spans="1:13" x14ac:dyDescent="0.2">
      <c r="A16" t="s">
        <v>25</v>
      </c>
      <c r="B16">
        <f t="shared" si="0"/>
        <v>1</v>
      </c>
      <c r="D16" t="s">
        <v>25</v>
      </c>
      <c r="E16">
        <v>3657</v>
      </c>
      <c r="F16">
        <v>0</v>
      </c>
      <c r="G16">
        <v>0</v>
      </c>
      <c r="H16">
        <f t="shared" si="1"/>
        <v>0</v>
      </c>
      <c r="K16">
        <v>185090873.82659999</v>
      </c>
      <c r="L16" s="152">
        <v>185090873</v>
      </c>
      <c r="M16">
        <f t="shared" si="2"/>
        <v>0.82659998536109924</v>
      </c>
    </row>
    <row r="17" spans="1:13" x14ac:dyDescent="0.2">
      <c r="A17" t="s">
        <v>26</v>
      </c>
      <c r="B17">
        <f t="shared" si="0"/>
        <v>1</v>
      </c>
      <c r="D17" t="s">
        <v>26</v>
      </c>
      <c r="E17">
        <v>1</v>
      </c>
      <c r="F17">
        <v>112</v>
      </c>
      <c r="G17">
        <v>13</v>
      </c>
      <c r="H17">
        <f t="shared" si="1"/>
        <v>112</v>
      </c>
      <c r="K17">
        <v>23266.576399999998</v>
      </c>
      <c r="L17" s="152">
        <v>23267</v>
      </c>
      <c r="M17">
        <f t="shared" si="2"/>
        <v>-0.42360000000189757</v>
      </c>
    </row>
    <row r="18" spans="1:13" x14ac:dyDescent="0.2">
      <c r="A18" t="s">
        <v>27</v>
      </c>
      <c r="B18">
        <f t="shared" si="0"/>
        <v>1</v>
      </c>
      <c r="D18" t="s">
        <v>27</v>
      </c>
      <c r="E18">
        <v>386</v>
      </c>
      <c r="F18">
        <v>0</v>
      </c>
      <c r="G18">
        <v>0</v>
      </c>
      <c r="H18">
        <f t="shared" si="1"/>
        <v>0</v>
      </c>
      <c r="K18">
        <v>46286500.146400005</v>
      </c>
      <c r="L18" s="152">
        <v>46286500</v>
      </c>
      <c r="M18">
        <f t="shared" si="2"/>
        <v>0.14640000462532043</v>
      </c>
    </row>
    <row r="19" spans="1:13" x14ac:dyDescent="0.2">
      <c r="A19" t="s">
        <v>28</v>
      </c>
      <c r="B19">
        <f t="shared" si="0"/>
        <v>1</v>
      </c>
      <c r="D19" t="s">
        <v>28</v>
      </c>
      <c r="E19">
        <v>112</v>
      </c>
      <c r="F19">
        <v>0</v>
      </c>
      <c r="G19">
        <v>0</v>
      </c>
      <c r="H19">
        <f t="shared" si="1"/>
        <v>0</v>
      </c>
      <c r="K19">
        <v>1052941.6170999999</v>
      </c>
      <c r="L19" s="152">
        <v>1052942</v>
      </c>
      <c r="M19">
        <f t="shared" si="2"/>
        <v>-0.38290000008419156</v>
      </c>
    </row>
    <row r="20" spans="1:13" x14ac:dyDescent="0.2">
      <c r="A20" t="s">
        <v>29</v>
      </c>
      <c r="B20">
        <f t="shared" si="0"/>
        <v>1</v>
      </c>
      <c r="D20" t="s">
        <v>29</v>
      </c>
      <c r="E20">
        <v>11</v>
      </c>
      <c r="F20">
        <v>0</v>
      </c>
      <c r="G20">
        <v>0</v>
      </c>
      <c r="H20">
        <f t="shared" si="1"/>
        <v>0</v>
      </c>
      <c r="K20">
        <v>6956457.2494999999</v>
      </c>
      <c r="L20" s="152">
        <v>6956457</v>
      </c>
      <c r="M20">
        <f t="shared" si="2"/>
        <v>0.24949999991804361</v>
      </c>
    </row>
    <row r="21" spans="1:13" x14ac:dyDescent="0.2">
      <c r="A21" t="s">
        <v>30</v>
      </c>
      <c r="B21">
        <f t="shared" si="0"/>
        <v>1</v>
      </c>
      <c r="D21" t="s">
        <v>30</v>
      </c>
      <c r="E21">
        <v>27</v>
      </c>
      <c r="F21">
        <v>1544</v>
      </c>
      <c r="G21">
        <v>13</v>
      </c>
      <c r="H21">
        <f t="shared" si="1"/>
        <v>1544</v>
      </c>
      <c r="K21">
        <v>4022950.4315999998</v>
      </c>
      <c r="L21" s="152">
        <v>4022950</v>
      </c>
      <c r="M21">
        <f t="shared" si="2"/>
        <v>0.4315999997779727</v>
      </c>
    </row>
    <row r="22" spans="1:13" x14ac:dyDescent="0.2">
      <c r="A22" t="s">
        <v>31</v>
      </c>
      <c r="B22">
        <f t="shared" si="0"/>
        <v>1</v>
      </c>
      <c r="D22" t="s">
        <v>31</v>
      </c>
      <c r="E22">
        <v>3</v>
      </c>
      <c r="F22">
        <v>41</v>
      </c>
      <c r="G22">
        <v>4</v>
      </c>
      <c r="H22">
        <f t="shared" si="1"/>
        <v>41</v>
      </c>
      <c r="K22">
        <v>139220.535</v>
      </c>
      <c r="L22" s="152">
        <v>139221</v>
      </c>
      <c r="M22">
        <f t="shared" si="2"/>
        <v>-0.46499999999650754</v>
      </c>
    </row>
    <row r="23" spans="1:13" x14ac:dyDescent="0.2">
      <c r="A23" t="s">
        <v>33</v>
      </c>
      <c r="B23">
        <f t="shared" si="0"/>
        <v>1</v>
      </c>
      <c r="D23" t="s">
        <v>33</v>
      </c>
      <c r="E23">
        <v>0</v>
      </c>
      <c r="F23">
        <v>0</v>
      </c>
      <c r="G23">
        <v>0</v>
      </c>
      <c r="H23">
        <f t="shared" si="1"/>
        <v>0</v>
      </c>
      <c r="K23">
        <v>4136251.6938</v>
      </c>
      <c r="L23" s="152">
        <v>4136252</v>
      </c>
      <c r="M23">
        <f t="shared" si="2"/>
        <v>-0.30619999999180436</v>
      </c>
    </row>
    <row r="24" spans="1:13" x14ac:dyDescent="0.2">
      <c r="A24" t="s">
        <v>34</v>
      </c>
      <c r="B24">
        <f t="shared" si="0"/>
        <v>1</v>
      </c>
      <c r="D24" t="s">
        <v>34</v>
      </c>
      <c r="E24">
        <v>8</v>
      </c>
      <c r="F24">
        <v>0</v>
      </c>
      <c r="G24">
        <v>0</v>
      </c>
      <c r="H24">
        <f t="shared" si="1"/>
        <v>0</v>
      </c>
      <c r="K24">
        <v>3402125.5367999999</v>
      </c>
      <c r="L24" s="152">
        <v>3402126</v>
      </c>
      <c r="M24">
        <f t="shared" si="2"/>
        <v>-0.46320000011473894</v>
      </c>
    </row>
    <row r="25" spans="1:13" x14ac:dyDescent="0.2">
      <c r="A25" t="s">
        <v>35</v>
      </c>
      <c r="B25">
        <f t="shared" si="0"/>
        <v>1</v>
      </c>
      <c r="D25" t="s">
        <v>35</v>
      </c>
      <c r="E25">
        <v>6</v>
      </c>
      <c r="F25">
        <v>99</v>
      </c>
      <c r="G25">
        <v>6</v>
      </c>
      <c r="H25">
        <f t="shared" si="1"/>
        <v>99</v>
      </c>
      <c r="K25">
        <v>1707124.6331</v>
      </c>
      <c r="L25" s="152">
        <v>1707125</v>
      </c>
      <c r="M25">
        <f t="shared" si="2"/>
        <v>-0.36690000002272427</v>
      </c>
    </row>
    <row r="26" spans="1:13" x14ac:dyDescent="0.2">
      <c r="A26" t="s">
        <v>36</v>
      </c>
      <c r="B26">
        <f t="shared" si="0"/>
        <v>1</v>
      </c>
      <c r="D26" t="s">
        <v>36</v>
      </c>
      <c r="E26">
        <v>50</v>
      </c>
      <c r="F26">
        <v>0</v>
      </c>
      <c r="G26">
        <v>0</v>
      </c>
      <c r="H26">
        <f t="shared" si="1"/>
        <v>0</v>
      </c>
      <c r="K26">
        <v>9313574.2151999995</v>
      </c>
      <c r="L26" s="152">
        <v>9313574</v>
      </c>
      <c r="M26">
        <f t="shared" si="2"/>
        <v>0.21519999951124191</v>
      </c>
    </row>
    <row r="27" spans="1:13" x14ac:dyDescent="0.2">
      <c r="A27" t="s">
        <v>37</v>
      </c>
      <c r="B27">
        <f t="shared" si="0"/>
        <v>1</v>
      </c>
      <c r="D27" t="s">
        <v>37</v>
      </c>
      <c r="E27">
        <v>5</v>
      </c>
      <c r="F27">
        <v>217</v>
      </c>
      <c r="G27">
        <v>6</v>
      </c>
      <c r="H27">
        <f t="shared" si="1"/>
        <v>217</v>
      </c>
      <c r="K27">
        <v>732015.97719999996</v>
      </c>
      <c r="L27" s="152">
        <v>732016</v>
      </c>
      <c r="M27">
        <f t="shared" si="2"/>
        <v>-2.2800000035203993E-2</v>
      </c>
    </row>
    <row r="28" spans="1:13" x14ac:dyDescent="0.2">
      <c r="A28" t="s">
        <v>38</v>
      </c>
      <c r="B28">
        <f t="shared" si="0"/>
        <v>1</v>
      </c>
      <c r="D28" t="s">
        <v>38</v>
      </c>
      <c r="E28">
        <v>104</v>
      </c>
      <c r="F28">
        <v>0</v>
      </c>
      <c r="G28">
        <v>0</v>
      </c>
      <c r="H28">
        <f t="shared" si="1"/>
        <v>0</v>
      </c>
      <c r="K28">
        <v>5455698.5416999999</v>
      </c>
      <c r="L28" s="152">
        <v>5455699</v>
      </c>
      <c r="M28">
        <f t="shared" si="2"/>
        <v>-0.45830000005662441</v>
      </c>
    </row>
    <row r="29" spans="1:13" x14ac:dyDescent="0.2">
      <c r="A29" t="s">
        <v>39</v>
      </c>
      <c r="B29">
        <f t="shared" si="0"/>
        <v>1</v>
      </c>
      <c r="D29" t="s">
        <v>39</v>
      </c>
      <c r="E29">
        <v>13</v>
      </c>
      <c r="F29">
        <v>0</v>
      </c>
      <c r="G29">
        <v>0</v>
      </c>
      <c r="H29">
        <f t="shared" si="1"/>
        <v>0</v>
      </c>
      <c r="K29">
        <v>12359179.7848</v>
      </c>
      <c r="L29" s="152">
        <v>12359180</v>
      </c>
      <c r="M29">
        <f t="shared" si="2"/>
        <v>-0.21519999951124191</v>
      </c>
    </row>
    <row r="30" spans="1:13" x14ac:dyDescent="0.2">
      <c r="A30" t="s">
        <v>40</v>
      </c>
      <c r="B30">
        <f t="shared" si="0"/>
        <v>1</v>
      </c>
      <c r="D30" t="s">
        <v>40</v>
      </c>
      <c r="E30">
        <v>0</v>
      </c>
      <c r="F30">
        <v>94</v>
      </c>
      <c r="G30">
        <v>6</v>
      </c>
      <c r="H30">
        <f t="shared" si="1"/>
        <v>94</v>
      </c>
      <c r="K30">
        <v>427895.65100000001</v>
      </c>
      <c r="L30" s="152">
        <v>427896</v>
      </c>
      <c r="M30">
        <f t="shared" si="2"/>
        <v>-0.34899999998742715</v>
      </c>
    </row>
    <row r="31" spans="1:13" x14ac:dyDescent="0.2">
      <c r="A31" t="s">
        <v>41</v>
      </c>
      <c r="B31">
        <f t="shared" si="0"/>
        <v>1</v>
      </c>
      <c r="D31" t="s">
        <v>41</v>
      </c>
      <c r="E31">
        <v>3</v>
      </c>
      <c r="F31">
        <v>0</v>
      </c>
      <c r="G31">
        <v>0</v>
      </c>
      <c r="H31">
        <f t="shared" si="1"/>
        <v>0</v>
      </c>
      <c r="K31">
        <v>2368637.3826000001</v>
      </c>
      <c r="L31" s="152">
        <v>2368637</v>
      </c>
      <c r="M31">
        <f t="shared" si="2"/>
        <v>0.38260000012814999</v>
      </c>
    </row>
    <row r="32" spans="1:13" x14ac:dyDescent="0.2">
      <c r="A32" t="s">
        <v>42</v>
      </c>
      <c r="B32">
        <f t="shared" si="0"/>
        <v>1</v>
      </c>
      <c r="D32" t="s">
        <v>42</v>
      </c>
      <c r="E32">
        <v>5</v>
      </c>
      <c r="F32">
        <v>39</v>
      </c>
      <c r="G32">
        <v>4</v>
      </c>
      <c r="H32">
        <f t="shared" si="1"/>
        <v>39</v>
      </c>
      <c r="K32">
        <v>8310.9354000000003</v>
      </c>
      <c r="L32" s="152">
        <v>8311</v>
      </c>
      <c r="M32">
        <f t="shared" si="2"/>
        <v>-6.4599999999700231E-2</v>
      </c>
    </row>
    <row r="33" spans="1:13" x14ac:dyDescent="0.2">
      <c r="A33" t="s">
        <v>43</v>
      </c>
      <c r="B33">
        <f t="shared" si="0"/>
        <v>1</v>
      </c>
      <c r="D33" t="s">
        <v>43</v>
      </c>
      <c r="E33">
        <v>11</v>
      </c>
      <c r="F33">
        <v>0</v>
      </c>
      <c r="G33">
        <v>0</v>
      </c>
      <c r="H33">
        <f t="shared" si="1"/>
        <v>0</v>
      </c>
      <c r="K33">
        <v>8102515.2242999999</v>
      </c>
      <c r="L33" s="152">
        <v>8102516</v>
      </c>
      <c r="M33">
        <f t="shared" si="2"/>
        <v>-0.77570000011473894</v>
      </c>
    </row>
    <row r="34" spans="1:13" x14ac:dyDescent="0.2">
      <c r="A34" t="s">
        <v>44</v>
      </c>
      <c r="B34">
        <f t="shared" si="0"/>
        <v>1</v>
      </c>
      <c r="D34" t="s">
        <v>44</v>
      </c>
      <c r="E34">
        <v>79</v>
      </c>
      <c r="F34">
        <v>0</v>
      </c>
      <c r="G34">
        <v>0</v>
      </c>
      <c r="H34">
        <f t="shared" si="1"/>
        <v>0</v>
      </c>
      <c r="K34">
        <v>4835860.8322000001</v>
      </c>
      <c r="L34" s="152">
        <v>4835861</v>
      </c>
      <c r="M34">
        <f t="shared" si="2"/>
        <v>-0.16779999993741512</v>
      </c>
    </row>
    <row r="35" spans="1:13" x14ac:dyDescent="0.2">
      <c r="A35" t="s">
        <v>45</v>
      </c>
      <c r="B35">
        <f t="shared" si="0"/>
        <v>1</v>
      </c>
      <c r="D35" t="s">
        <v>45</v>
      </c>
      <c r="E35">
        <v>3015</v>
      </c>
      <c r="F35">
        <v>0</v>
      </c>
      <c r="G35">
        <v>0</v>
      </c>
      <c r="H35">
        <f t="shared" si="1"/>
        <v>0</v>
      </c>
      <c r="K35">
        <v>35015510.498400003</v>
      </c>
      <c r="L35" s="152">
        <v>35015511</v>
      </c>
      <c r="M35">
        <f t="shared" si="2"/>
        <v>-0.5015999972820282</v>
      </c>
    </row>
    <row r="36" spans="1:13" x14ac:dyDescent="0.2">
      <c r="A36" t="s">
        <v>47</v>
      </c>
      <c r="B36">
        <f t="shared" si="0"/>
        <v>1</v>
      </c>
      <c r="D36" t="s">
        <v>47</v>
      </c>
      <c r="E36">
        <v>47</v>
      </c>
      <c r="F36">
        <v>0</v>
      </c>
      <c r="G36">
        <v>0</v>
      </c>
      <c r="H36">
        <f t="shared" si="1"/>
        <v>0</v>
      </c>
      <c r="K36">
        <v>427881.28740000003</v>
      </c>
      <c r="L36" s="152">
        <v>427881</v>
      </c>
      <c r="M36">
        <f t="shared" si="2"/>
        <v>0.28740000003017485</v>
      </c>
    </row>
    <row r="37" spans="1:13" x14ac:dyDescent="0.2">
      <c r="A37" t="s">
        <v>48</v>
      </c>
      <c r="B37">
        <f t="shared" si="0"/>
        <v>1</v>
      </c>
      <c r="D37" t="s">
        <v>48</v>
      </c>
      <c r="E37">
        <v>11</v>
      </c>
      <c r="F37">
        <v>329</v>
      </c>
      <c r="G37">
        <v>6</v>
      </c>
      <c r="H37">
        <f t="shared" si="1"/>
        <v>329</v>
      </c>
      <c r="K37">
        <v>1666694.9545</v>
      </c>
      <c r="L37" s="152">
        <v>1666695</v>
      </c>
      <c r="M37">
        <f t="shared" si="2"/>
        <v>-4.5500000007450581E-2</v>
      </c>
    </row>
    <row r="38" spans="1:13" x14ac:dyDescent="0.2">
      <c r="A38" t="s">
        <v>49</v>
      </c>
      <c r="B38">
        <f t="shared" si="0"/>
        <v>1</v>
      </c>
      <c r="D38" t="s">
        <v>49</v>
      </c>
      <c r="E38">
        <v>43</v>
      </c>
      <c r="F38">
        <v>0</v>
      </c>
      <c r="G38">
        <v>0</v>
      </c>
      <c r="H38">
        <f t="shared" si="1"/>
        <v>0</v>
      </c>
      <c r="K38">
        <v>8498976.1874000002</v>
      </c>
      <c r="L38" s="152">
        <v>8498976</v>
      </c>
      <c r="M38">
        <f t="shared" si="2"/>
        <v>0.18740000016987324</v>
      </c>
    </row>
    <row r="39" spans="1:13" x14ac:dyDescent="0.2">
      <c r="A39" t="s">
        <v>50</v>
      </c>
      <c r="B39">
        <f t="shared" si="0"/>
        <v>1</v>
      </c>
      <c r="D39" t="s">
        <v>50</v>
      </c>
      <c r="E39">
        <v>7</v>
      </c>
      <c r="F39">
        <v>1085</v>
      </c>
      <c r="G39">
        <v>13</v>
      </c>
      <c r="H39">
        <f t="shared" si="1"/>
        <v>1085</v>
      </c>
      <c r="K39">
        <v>3312136.8843</v>
      </c>
      <c r="L39" s="152">
        <v>3312137</v>
      </c>
      <c r="M39">
        <f t="shared" si="2"/>
        <v>-0.11569999996572733</v>
      </c>
    </row>
    <row r="40" spans="1:13" x14ac:dyDescent="0.2">
      <c r="A40" t="s">
        <v>51</v>
      </c>
      <c r="B40">
        <f t="shared" si="0"/>
        <v>1</v>
      </c>
      <c r="D40" t="s">
        <v>51</v>
      </c>
      <c r="E40">
        <v>0</v>
      </c>
      <c r="F40">
        <v>0</v>
      </c>
      <c r="G40">
        <v>0</v>
      </c>
      <c r="H40">
        <f t="shared" si="1"/>
        <v>0</v>
      </c>
      <c r="K40">
        <v>979939.6165</v>
      </c>
      <c r="L40" s="152">
        <v>979939</v>
      </c>
      <c r="M40">
        <f t="shared" si="2"/>
        <v>0.61650000000372529</v>
      </c>
    </row>
    <row r="41" spans="1:13" x14ac:dyDescent="0.2">
      <c r="A41" t="s">
        <v>52</v>
      </c>
      <c r="B41">
        <f t="shared" si="0"/>
        <v>1</v>
      </c>
      <c r="D41" t="s">
        <v>52</v>
      </c>
      <c r="E41">
        <v>10</v>
      </c>
      <c r="F41">
        <v>0</v>
      </c>
      <c r="G41">
        <v>0</v>
      </c>
      <c r="H41">
        <f t="shared" si="1"/>
        <v>0</v>
      </c>
      <c r="K41">
        <v>1439283.8103</v>
      </c>
      <c r="L41" s="152">
        <v>1439284</v>
      </c>
      <c r="M41">
        <f t="shared" si="2"/>
        <v>-0.18969999998807907</v>
      </c>
    </row>
    <row r="42" spans="1:13" x14ac:dyDescent="0.2">
      <c r="A42" t="s">
        <v>53</v>
      </c>
      <c r="B42">
        <f t="shared" si="0"/>
        <v>1</v>
      </c>
      <c r="D42" t="s">
        <v>53</v>
      </c>
      <c r="E42">
        <v>0</v>
      </c>
      <c r="F42">
        <v>0</v>
      </c>
      <c r="G42">
        <v>0</v>
      </c>
      <c r="H42">
        <f t="shared" si="1"/>
        <v>0</v>
      </c>
      <c r="K42">
        <v>3562049.2091000001</v>
      </c>
      <c r="L42" s="152">
        <v>3562050</v>
      </c>
      <c r="M42">
        <f t="shared" si="2"/>
        <v>-0.79089999990537763</v>
      </c>
    </row>
    <row r="43" spans="1:13" x14ac:dyDescent="0.2">
      <c r="A43" t="s">
        <v>54</v>
      </c>
      <c r="B43">
        <f t="shared" si="0"/>
        <v>1</v>
      </c>
      <c r="D43" t="s">
        <v>54</v>
      </c>
      <c r="E43">
        <v>9</v>
      </c>
      <c r="F43">
        <v>0</v>
      </c>
      <c r="G43">
        <v>0</v>
      </c>
      <c r="H43">
        <f t="shared" si="1"/>
        <v>0</v>
      </c>
      <c r="K43">
        <v>7020521.7995999996</v>
      </c>
      <c r="L43" s="152">
        <v>7020522</v>
      </c>
      <c r="M43">
        <f t="shared" si="2"/>
        <v>-0.20040000043809414</v>
      </c>
    </row>
    <row r="44" spans="1:13" x14ac:dyDescent="0.2">
      <c r="A44" t="s">
        <v>55</v>
      </c>
      <c r="B44">
        <f t="shared" si="0"/>
        <v>1</v>
      </c>
      <c r="D44" t="s">
        <v>55</v>
      </c>
      <c r="E44">
        <v>882</v>
      </c>
      <c r="F44">
        <v>0</v>
      </c>
      <c r="G44">
        <v>0</v>
      </c>
      <c r="H44">
        <f t="shared" si="1"/>
        <v>0</v>
      </c>
      <c r="K44">
        <v>52184092.700400002</v>
      </c>
      <c r="L44" s="152">
        <v>52184092</v>
      </c>
      <c r="M44">
        <f t="shared" si="2"/>
        <v>0.70040000230073929</v>
      </c>
    </row>
    <row r="45" spans="1:13" x14ac:dyDescent="0.2">
      <c r="A45" t="s">
        <v>56</v>
      </c>
      <c r="B45">
        <f t="shared" si="0"/>
        <v>1</v>
      </c>
      <c r="D45" t="s">
        <v>56</v>
      </c>
      <c r="E45">
        <v>271</v>
      </c>
      <c r="F45">
        <v>0</v>
      </c>
      <c r="G45">
        <v>0</v>
      </c>
      <c r="H45">
        <f t="shared" si="1"/>
        <v>0</v>
      </c>
      <c r="K45">
        <v>19752617.183600001</v>
      </c>
      <c r="L45" s="152">
        <v>19752617</v>
      </c>
      <c r="M45">
        <f t="shared" si="2"/>
        <v>0.18360000103712082</v>
      </c>
    </row>
    <row r="46" spans="1:13" x14ac:dyDescent="0.2">
      <c r="A46" t="s">
        <v>57</v>
      </c>
      <c r="B46">
        <f t="shared" si="0"/>
        <v>1</v>
      </c>
      <c r="D46" t="s">
        <v>57</v>
      </c>
      <c r="E46">
        <v>32</v>
      </c>
      <c r="F46">
        <v>0</v>
      </c>
      <c r="G46">
        <v>0</v>
      </c>
      <c r="H46">
        <f t="shared" si="1"/>
        <v>0</v>
      </c>
      <c r="K46">
        <v>6261508.4974999996</v>
      </c>
      <c r="L46" s="152">
        <v>6261509</v>
      </c>
      <c r="M46">
        <f t="shared" si="2"/>
        <v>-0.50250000040978193</v>
      </c>
    </row>
    <row r="47" spans="1:13" x14ac:dyDescent="0.2">
      <c r="A47" t="s">
        <v>58</v>
      </c>
      <c r="B47">
        <f t="shared" si="0"/>
        <v>1</v>
      </c>
      <c r="D47" t="s">
        <v>58</v>
      </c>
      <c r="E47">
        <v>15</v>
      </c>
      <c r="F47">
        <v>397</v>
      </c>
      <c r="G47">
        <v>4</v>
      </c>
      <c r="H47">
        <f t="shared" si="1"/>
        <v>397</v>
      </c>
      <c r="K47">
        <v>173188.47450000001</v>
      </c>
      <c r="L47" s="152">
        <v>173189</v>
      </c>
      <c r="M47">
        <f t="shared" si="2"/>
        <v>-0.52549999998882413</v>
      </c>
    </row>
    <row r="48" spans="1:13" x14ac:dyDescent="0.2">
      <c r="A48" t="s">
        <v>59</v>
      </c>
      <c r="B48">
        <f t="shared" si="0"/>
        <v>1</v>
      </c>
      <c r="D48" t="s">
        <v>59</v>
      </c>
      <c r="E48">
        <v>55</v>
      </c>
      <c r="F48">
        <v>0</v>
      </c>
      <c r="G48">
        <v>0</v>
      </c>
      <c r="H48">
        <f t="shared" si="1"/>
        <v>0</v>
      </c>
      <c r="K48">
        <v>5669122</v>
      </c>
      <c r="L48" s="152">
        <v>5669122</v>
      </c>
      <c r="M48">
        <f t="shared" si="2"/>
        <v>0</v>
      </c>
    </row>
    <row r="49" spans="1:13" x14ac:dyDescent="0.2">
      <c r="A49" t="s">
        <v>60</v>
      </c>
      <c r="B49">
        <f t="shared" si="0"/>
        <v>1</v>
      </c>
      <c r="D49" t="s">
        <v>60</v>
      </c>
      <c r="E49">
        <v>58</v>
      </c>
      <c r="F49">
        <v>0</v>
      </c>
      <c r="G49">
        <v>0</v>
      </c>
      <c r="H49">
        <f t="shared" si="1"/>
        <v>0</v>
      </c>
      <c r="K49">
        <v>9830497.3442000002</v>
      </c>
      <c r="L49" s="152">
        <v>9830498</v>
      </c>
      <c r="M49">
        <f t="shared" si="2"/>
        <v>-0.65579999983310699</v>
      </c>
    </row>
    <row r="50" spans="1:13" x14ac:dyDescent="0.2">
      <c r="A50" t="s">
        <v>61</v>
      </c>
      <c r="B50">
        <f t="shared" si="0"/>
        <v>1</v>
      </c>
      <c r="D50" t="s">
        <v>61</v>
      </c>
      <c r="E50">
        <v>114</v>
      </c>
      <c r="F50">
        <v>0</v>
      </c>
      <c r="G50">
        <v>0</v>
      </c>
      <c r="H50">
        <f t="shared" si="1"/>
        <v>0</v>
      </c>
      <c r="K50">
        <v>29169998.926599998</v>
      </c>
      <c r="L50" s="152">
        <v>29169999</v>
      </c>
      <c r="M50">
        <f t="shared" si="2"/>
        <v>-7.3400001972913742E-2</v>
      </c>
    </row>
    <row r="51" spans="1:13" x14ac:dyDescent="0.2">
      <c r="A51" t="s">
        <v>62</v>
      </c>
      <c r="B51">
        <f t="shared" si="0"/>
        <v>1</v>
      </c>
      <c r="D51" t="s">
        <v>62</v>
      </c>
      <c r="E51">
        <v>14</v>
      </c>
      <c r="F51">
        <v>368</v>
      </c>
      <c r="G51">
        <v>6</v>
      </c>
      <c r="H51">
        <f t="shared" si="1"/>
        <v>368</v>
      </c>
      <c r="K51">
        <v>104619.96610000001</v>
      </c>
      <c r="L51" s="152">
        <v>104620</v>
      </c>
      <c r="M51">
        <f t="shared" si="2"/>
        <v>-3.3899999994901009E-2</v>
      </c>
    </row>
    <row r="52" spans="1:13" x14ac:dyDescent="0.2">
      <c r="A52" t="s">
        <v>63</v>
      </c>
      <c r="B52">
        <f t="shared" si="0"/>
        <v>1</v>
      </c>
      <c r="D52" t="s">
        <v>63</v>
      </c>
      <c r="E52">
        <v>264</v>
      </c>
      <c r="F52">
        <v>0</v>
      </c>
      <c r="G52">
        <v>0</v>
      </c>
      <c r="H52">
        <f t="shared" si="1"/>
        <v>0</v>
      </c>
      <c r="K52">
        <v>1102464.5681999999</v>
      </c>
      <c r="L52" s="152">
        <v>1102464</v>
      </c>
      <c r="M52">
        <f t="shared" si="2"/>
        <v>0.56819999986328185</v>
      </c>
    </row>
    <row r="53" spans="1:13" x14ac:dyDescent="0.2">
      <c r="A53" t="s">
        <v>64</v>
      </c>
      <c r="B53">
        <f t="shared" si="0"/>
        <v>1</v>
      </c>
      <c r="D53" t="s">
        <v>64</v>
      </c>
      <c r="E53">
        <v>149</v>
      </c>
      <c r="F53">
        <v>0</v>
      </c>
      <c r="G53">
        <v>0</v>
      </c>
      <c r="H53">
        <f t="shared" si="1"/>
        <v>0</v>
      </c>
      <c r="K53">
        <v>893278.61289999995</v>
      </c>
      <c r="L53" s="152">
        <v>893279</v>
      </c>
      <c r="M53">
        <f t="shared" si="2"/>
        <v>-0.38710000005085021</v>
      </c>
    </row>
    <row r="54" spans="1:13" x14ac:dyDescent="0.2">
      <c r="A54" t="s">
        <v>65</v>
      </c>
      <c r="B54">
        <f t="shared" si="0"/>
        <v>1</v>
      </c>
      <c r="D54" t="s">
        <v>65</v>
      </c>
      <c r="E54">
        <v>0</v>
      </c>
      <c r="F54">
        <v>0</v>
      </c>
      <c r="G54">
        <v>0</v>
      </c>
      <c r="H54">
        <f t="shared" si="1"/>
        <v>0</v>
      </c>
      <c r="K54">
        <v>784086.92110000004</v>
      </c>
      <c r="L54" s="152">
        <v>784087</v>
      </c>
      <c r="M54">
        <f t="shared" si="2"/>
        <v>-7.8899999964050949E-2</v>
      </c>
    </row>
    <row r="55" spans="1:13" x14ac:dyDescent="0.2">
      <c r="A55" t="s">
        <v>66</v>
      </c>
      <c r="B55">
        <f t="shared" si="0"/>
        <v>1</v>
      </c>
      <c r="D55" t="s">
        <v>66</v>
      </c>
      <c r="E55">
        <v>134</v>
      </c>
      <c r="F55">
        <v>0</v>
      </c>
      <c r="G55">
        <v>0</v>
      </c>
      <c r="H55">
        <f t="shared" si="1"/>
        <v>0</v>
      </c>
      <c r="K55">
        <v>5605710.1815999998</v>
      </c>
      <c r="L55" s="152">
        <v>5605710</v>
      </c>
      <c r="M55">
        <f t="shared" si="2"/>
        <v>0.1815999997779727</v>
      </c>
    </row>
    <row r="56" spans="1:13" x14ac:dyDescent="0.2">
      <c r="A56" t="s">
        <v>67</v>
      </c>
      <c r="B56">
        <f t="shared" si="0"/>
        <v>1</v>
      </c>
      <c r="D56" t="s">
        <v>67</v>
      </c>
      <c r="E56">
        <v>4</v>
      </c>
      <c r="F56">
        <v>343</v>
      </c>
      <c r="G56">
        <v>13</v>
      </c>
      <c r="H56">
        <f t="shared" si="1"/>
        <v>343</v>
      </c>
      <c r="K56">
        <v>80429.212100000004</v>
      </c>
      <c r="L56" s="152">
        <v>80429</v>
      </c>
      <c r="M56">
        <f t="shared" si="2"/>
        <v>0.21210000000428408</v>
      </c>
    </row>
    <row r="57" spans="1:13" x14ac:dyDescent="0.2">
      <c r="A57" t="s">
        <v>68</v>
      </c>
      <c r="B57">
        <f t="shared" si="0"/>
        <v>1</v>
      </c>
      <c r="D57" t="s">
        <v>68</v>
      </c>
      <c r="E57">
        <v>5</v>
      </c>
      <c r="F57">
        <v>0</v>
      </c>
      <c r="G57">
        <v>0</v>
      </c>
      <c r="H57">
        <f t="shared" si="1"/>
        <v>0</v>
      </c>
      <c r="K57">
        <v>5330217.5422999999</v>
      </c>
      <c r="L57" s="152">
        <v>5330218</v>
      </c>
      <c r="M57">
        <f t="shared" si="2"/>
        <v>-0.45770000014454126</v>
      </c>
    </row>
    <row r="58" spans="1:13" x14ac:dyDescent="0.2">
      <c r="A58" t="s">
        <v>69</v>
      </c>
      <c r="B58">
        <f t="shared" si="0"/>
        <v>1</v>
      </c>
      <c r="D58" t="s">
        <v>69</v>
      </c>
      <c r="E58">
        <v>424</v>
      </c>
      <c r="F58">
        <v>0</v>
      </c>
      <c r="G58">
        <v>0</v>
      </c>
      <c r="H58">
        <f t="shared" si="1"/>
        <v>0</v>
      </c>
      <c r="K58">
        <v>277367.45140000002</v>
      </c>
      <c r="L58" s="152">
        <v>277367</v>
      </c>
      <c r="M58">
        <f t="shared" si="2"/>
        <v>0.4514000000199303</v>
      </c>
    </row>
    <row r="59" spans="1:13" x14ac:dyDescent="0.2">
      <c r="A59" t="s">
        <v>70</v>
      </c>
      <c r="B59">
        <f t="shared" si="0"/>
        <v>1</v>
      </c>
      <c r="D59" t="s">
        <v>70</v>
      </c>
      <c r="E59">
        <v>22</v>
      </c>
      <c r="F59">
        <v>0</v>
      </c>
      <c r="G59">
        <v>0</v>
      </c>
      <c r="H59">
        <f t="shared" si="1"/>
        <v>0</v>
      </c>
      <c r="K59">
        <v>10875602.828200001</v>
      </c>
      <c r="L59" s="152">
        <v>10875602</v>
      </c>
      <c r="M59">
        <f t="shared" si="2"/>
        <v>0.82820000126957893</v>
      </c>
    </row>
    <row r="60" spans="1:13" x14ac:dyDescent="0.2">
      <c r="A60" t="s">
        <v>71</v>
      </c>
      <c r="B60">
        <f t="shared" si="0"/>
        <v>1</v>
      </c>
      <c r="D60" t="s">
        <v>71</v>
      </c>
      <c r="E60">
        <v>150</v>
      </c>
      <c r="F60">
        <v>0</v>
      </c>
      <c r="G60">
        <v>0</v>
      </c>
      <c r="H60">
        <f t="shared" si="1"/>
        <v>0</v>
      </c>
      <c r="K60">
        <v>25040045</v>
      </c>
      <c r="L60" s="152">
        <v>25040045</v>
      </c>
      <c r="M60">
        <f t="shared" si="2"/>
        <v>0</v>
      </c>
    </row>
    <row r="61" spans="1:13" x14ac:dyDescent="0.2">
      <c r="A61" t="s">
        <v>72</v>
      </c>
      <c r="B61">
        <f t="shared" si="0"/>
        <v>1</v>
      </c>
      <c r="D61" t="s">
        <v>72</v>
      </c>
      <c r="E61">
        <v>65</v>
      </c>
      <c r="F61">
        <v>0</v>
      </c>
      <c r="G61">
        <v>0</v>
      </c>
      <c r="H61">
        <f t="shared" si="1"/>
        <v>0</v>
      </c>
      <c r="K61">
        <v>1961458.4205</v>
      </c>
      <c r="L61" s="152">
        <v>1961458</v>
      </c>
      <c r="M61">
        <f t="shared" si="2"/>
        <v>0.42050000000745058</v>
      </c>
    </row>
    <row r="62" spans="1:13" x14ac:dyDescent="0.2">
      <c r="A62" t="s">
        <v>73</v>
      </c>
      <c r="B62">
        <f t="shared" si="0"/>
        <v>1</v>
      </c>
      <c r="D62" t="s">
        <v>73</v>
      </c>
      <c r="E62">
        <v>11</v>
      </c>
      <c r="F62">
        <v>1207</v>
      </c>
      <c r="G62">
        <v>13</v>
      </c>
      <c r="H62">
        <f t="shared" si="1"/>
        <v>1207</v>
      </c>
      <c r="K62">
        <v>2008743.169</v>
      </c>
      <c r="L62" s="152">
        <v>2008744</v>
      </c>
      <c r="M62">
        <f t="shared" si="2"/>
        <v>-0.83100000000558794</v>
      </c>
    </row>
    <row r="63" spans="1:13" x14ac:dyDescent="0.2">
      <c r="A63" t="s">
        <v>74</v>
      </c>
      <c r="B63">
        <f t="shared" si="0"/>
        <v>1</v>
      </c>
      <c r="D63" t="s">
        <v>74</v>
      </c>
      <c r="E63">
        <v>369</v>
      </c>
      <c r="F63">
        <v>0</v>
      </c>
      <c r="G63">
        <v>0</v>
      </c>
      <c r="H63">
        <f t="shared" si="1"/>
        <v>0</v>
      </c>
      <c r="K63">
        <v>28638999.8662</v>
      </c>
      <c r="L63" s="152">
        <v>28639000</v>
      </c>
      <c r="M63">
        <f t="shared" si="2"/>
        <v>-0.13379999995231628</v>
      </c>
    </row>
    <row r="64" spans="1:13" x14ac:dyDescent="0.2">
      <c r="A64" t="s">
        <v>75</v>
      </c>
      <c r="B64">
        <f t="shared" si="0"/>
        <v>1</v>
      </c>
      <c r="D64" t="s">
        <v>75</v>
      </c>
      <c r="E64">
        <v>0</v>
      </c>
      <c r="F64">
        <v>61</v>
      </c>
      <c r="G64">
        <v>6</v>
      </c>
      <c r="H64">
        <f t="shared" si="1"/>
        <v>61</v>
      </c>
      <c r="K64">
        <v>1114003.3696000001</v>
      </c>
      <c r="L64" s="152">
        <v>1114004</v>
      </c>
      <c r="M64">
        <f t="shared" si="2"/>
        <v>-0.63039999990724027</v>
      </c>
    </row>
    <row r="65" spans="1:13" x14ac:dyDescent="0.2">
      <c r="A65" t="s">
        <v>76</v>
      </c>
      <c r="B65">
        <f t="shared" si="0"/>
        <v>1</v>
      </c>
      <c r="D65" t="s">
        <v>76</v>
      </c>
      <c r="E65">
        <v>4476</v>
      </c>
      <c r="F65">
        <v>0</v>
      </c>
      <c r="G65">
        <v>0</v>
      </c>
      <c r="H65">
        <f t="shared" si="1"/>
        <v>0</v>
      </c>
      <c r="K65">
        <v>205908192.97</v>
      </c>
      <c r="L65" s="152">
        <v>205908193</v>
      </c>
      <c r="M65">
        <f t="shared" si="2"/>
        <v>-3.0000001192092896E-2</v>
      </c>
    </row>
    <row r="66" spans="1:13" x14ac:dyDescent="0.2">
      <c r="A66" t="s">
        <v>77</v>
      </c>
      <c r="B66">
        <f t="shared" si="0"/>
        <v>1</v>
      </c>
      <c r="D66" t="s">
        <v>77</v>
      </c>
      <c r="E66">
        <v>1</v>
      </c>
      <c r="F66">
        <v>0</v>
      </c>
      <c r="G66">
        <v>0</v>
      </c>
      <c r="H66">
        <f t="shared" si="1"/>
        <v>0</v>
      </c>
      <c r="K66">
        <v>1126875.9591000001</v>
      </c>
      <c r="L66" s="152">
        <v>1126876</v>
      </c>
      <c r="M66">
        <f t="shared" si="2"/>
        <v>-4.0899999905377626E-2</v>
      </c>
    </row>
    <row r="67" spans="1:13" x14ac:dyDescent="0.2">
      <c r="A67" t="s">
        <v>78</v>
      </c>
      <c r="B67">
        <f t="shared" ref="B67:B130" si="3">IF(A67=D67,1,0)</f>
        <v>1</v>
      </c>
      <c r="D67" t="s">
        <v>78</v>
      </c>
      <c r="E67">
        <v>3</v>
      </c>
      <c r="F67">
        <v>798</v>
      </c>
      <c r="G67">
        <v>13</v>
      </c>
      <c r="H67">
        <f t="shared" ref="H67:H130" si="4">IF(F67="",0,F67)</f>
        <v>798</v>
      </c>
      <c r="K67">
        <v>2507860.0362</v>
      </c>
      <c r="L67" s="152">
        <v>2507861</v>
      </c>
      <c r="M67">
        <f t="shared" ref="M67:M130" si="5">K67-L67</f>
        <v>-0.96380000002682209</v>
      </c>
    </row>
    <row r="68" spans="1:13" x14ac:dyDescent="0.2">
      <c r="A68" t="s">
        <v>79</v>
      </c>
      <c r="B68">
        <f t="shared" si="3"/>
        <v>1</v>
      </c>
      <c r="D68" t="s">
        <v>79</v>
      </c>
      <c r="E68">
        <v>3</v>
      </c>
      <c r="F68">
        <v>776</v>
      </c>
      <c r="G68">
        <v>6</v>
      </c>
      <c r="H68">
        <f t="shared" si="4"/>
        <v>776</v>
      </c>
      <c r="K68">
        <v>6178314.2625000002</v>
      </c>
      <c r="L68" s="152">
        <v>6178314</v>
      </c>
      <c r="M68">
        <f t="shared" si="5"/>
        <v>0.26250000018626451</v>
      </c>
    </row>
    <row r="69" spans="1:13" x14ac:dyDescent="0.2">
      <c r="A69" t="s">
        <v>80</v>
      </c>
      <c r="B69">
        <f t="shared" si="3"/>
        <v>1</v>
      </c>
      <c r="D69" t="s">
        <v>80</v>
      </c>
      <c r="E69">
        <v>4</v>
      </c>
      <c r="F69">
        <v>54</v>
      </c>
      <c r="G69">
        <v>4</v>
      </c>
      <c r="H69">
        <f t="shared" si="4"/>
        <v>54</v>
      </c>
      <c r="K69">
        <v>26946.926600000003</v>
      </c>
      <c r="L69" s="152">
        <v>26947</v>
      </c>
      <c r="M69">
        <f t="shared" si="5"/>
        <v>-7.339999999749125E-2</v>
      </c>
    </row>
    <row r="70" spans="1:13" x14ac:dyDescent="0.2">
      <c r="A70" t="s">
        <v>81</v>
      </c>
      <c r="B70">
        <f t="shared" si="3"/>
        <v>1</v>
      </c>
      <c r="D70" t="s">
        <v>81</v>
      </c>
      <c r="E70">
        <v>41</v>
      </c>
      <c r="F70">
        <v>0</v>
      </c>
      <c r="G70">
        <v>0</v>
      </c>
      <c r="H70">
        <f t="shared" si="4"/>
        <v>0</v>
      </c>
      <c r="K70">
        <v>15574402</v>
      </c>
      <c r="L70" s="152">
        <v>15574402</v>
      </c>
      <c r="M70">
        <f t="shared" si="5"/>
        <v>0</v>
      </c>
    </row>
    <row r="71" spans="1:13" x14ac:dyDescent="0.2">
      <c r="A71" t="s">
        <v>82</v>
      </c>
      <c r="B71">
        <f t="shared" si="3"/>
        <v>1</v>
      </c>
      <c r="D71" t="s">
        <v>82</v>
      </c>
      <c r="E71">
        <v>3</v>
      </c>
      <c r="F71">
        <v>848</v>
      </c>
      <c r="G71">
        <v>13</v>
      </c>
      <c r="H71">
        <f t="shared" si="4"/>
        <v>848</v>
      </c>
      <c r="K71">
        <v>1767282.8255</v>
      </c>
      <c r="L71" s="152">
        <v>1767283</v>
      </c>
      <c r="M71">
        <f t="shared" si="5"/>
        <v>-0.17449999996460974</v>
      </c>
    </row>
    <row r="72" spans="1:13" x14ac:dyDescent="0.2">
      <c r="A72" t="s">
        <v>83</v>
      </c>
      <c r="B72">
        <f t="shared" si="3"/>
        <v>1</v>
      </c>
      <c r="D72" t="s">
        <v>83</v>
      </c>
      <c r="E72">
        <v>9</v>
      </c>
      <c r="F72">
        <v>0</v>
      </c>
      <c r="G72">
        <v>0</v>
      </c>
      <c r="H72">
        <f t="shared" si="4"/>
        <v>0</v>
      </c>
      <c r="K72">
        <v>4761062.8258999996</v>
      </c>
      <c r="L72" s="152">
        <v>4761063</v>
      </c>
      <c r="M72">
        <f t="shared" si="5"/>
        <v>-0.17410000041127205</v>
      </c>
    </row>
    <row r="73" spans="1:13" x14ac:dyDescent="0.2">
      <c r="A73" t="s">
        <v>84</v>
      </c>
      <c r="B73">
        <f t="shared" si="3"/>
        <v>1</v>
      </c>
      <c r="D73" t="s">
        <v>84</v>
      </c>
      <c r="E73">
        <v>32</v>
      </c>
      <c r="F73">
        <v>0</v>
      </c>
      <c r="G73">
        <v>0</v>
      </c>
      <c r="H73">
        <f t="shared" si="4"/>
        <v>0</v>
      </c>
      <c r="K73">
        <v>11601317.7314</v>
      </c>
      <c r="L73" s="152">
        <v>11601318</v>
      </c>
      <c r="M73">
        <f t="shared" si="5"/>
        <v>-0.26860000006854534</v>
      </c>
    </row>
    <row r="74" spans="1:13" x14ac:dyDescent="0.2">
      <c r="A74" t="s">
        <v>85</v>
      </c>
      <c r="B74">
        <f t="shared" si="3"/>
        <v>1</v>
      </c>
      <c r="D74" t="s">
        <v>85</v>
      </c>
      <c r="E74">
        <v>6</v>
      </c>
      <c r="F74">
        <v>0</v>
      </c>
      <c r="G74">
        <v>0</v>
      </c>
      <c r="H74">
        <f t="shared" si="4"/>
        <v>0</v>
      </c>
      <c r="K74">
        <v>3019503.8094000001</v>
      </c>
      <c r="L74" s="152">
        <v>3019504</v>
      </c>
      <c r="M74">
        <f t="shared" si="5"/>
        <v>-0.19059999985620379</v>
      </c>
    </row>
    <row r="75" spans="1:13" x14ac:dyDescent="0.2">
      <c r="A75" t="s">
        <v>86</v>
      </c>
      <c r="B75">
        <f t="shared" si="3"/>
        <v>1</v>
      </c>
      <c r="D75" t="s">
        <v>86</v>
      </c>
      <c r="E75">
        <v>2</v>
      </c>
      <c r="F75">
        <v>0</v>
      </c>
      <c r="G75">
        <v>0</v>
      </c>
      <c r="H75">
        <f t="shared" si="4"/>
        <v>0</v>
      </c>
      <c r="K75">
        <v>1300927.1277000001</v>
      </c>
      <c r="L75" s="152">
        <v>1300927</v>
      </c>
      <c r="M75">
        <f t="shared" si="5"/>
        <v>0.12770000007003546</v>
      </c>
    </row>
    <row r="76" spans="1:13" x14ac:dyDescent="0.2">
      <c r="A76" t="s">
        <v>87</v>
      </c>
      <c r="B76">
        <f t="shared" si="3"/>
        <v>1</v>
      </c>
      <c r="D76" t="s">
        <v>87</v>
      </c>
      <c r="E76">
        <v>4</v>
      </c>
      <c r="F76">
        <v>246</v>
      </c>
      <c r="G76">
        <v>13</v>
      </c>
      <c r="H76">
        <f t="shared" si="4"/>
        <v>246</v>
      </c>
      <c r="K76">
        <v>60912.357300000003</v>
      </c>
      <c r="L76" s="152">
        <v>60912</v>
      </c>
      <c r="M76">
        <f t="shared" si="5"/>
        <v>0.3573000000033062</v>
      </c>
    </row>
    <row r="77" spans="1:13" x14ac:dyDescent="0.2">
      <c r="A77" t="s">
        <v>88</v>
      </c>
      <c r="B77">
        <f t="shared" si="3"/>
        <v>1</v>
      </c>
      <c r="D77" t="s">
        <v>88</v>
      </c>
      <c r="E77">
        <v>37</v>
      </c>
      <c r="F77">
        <v>0</v>
      </c>
      <c r="G77">
        <v>0</v>
      </c>
      <c r="H77">
        <f t="shared" si="4"/>
        <v>0</v>
      </c>
      <c r="K77">
        <v>407115.05660000001</v>
      </c>
      <c r="L77" s="152">
        <v>407115</v>
      </c>
      <c r="M77">
        <f t="shared" si="5"/>
        <v>5.6600000010803342E-2</v>
      </c>
    </row>
    <row r="78" spans="1:13" x14ac:dyDescent="0.2">
      <c r="A78" t="s">
        <v>89</v>
      </c>
      <c r="B78">
        <f t="shared" si="3"/>
        <v>1</v>
      </c>
      <c r="D78" t="s">
        <v>89</v>
      </c>
      <c r="E78">
        <v>460</v>
      </c>
      <c r="F78">
        <v>0</v>
      </c>
      <c r="G78">
        <v>0</v>
      </c>
      <c r="H78">
        <f t="shared" si="4"/>
        <v>0</v>
      </c>
      <c r="K78">
        <v>36228543.158399999</v>
      </c>
      <c r="L78" s="152">
        <v>36228543</v>
      </c>
      <c r="M78">
        <f t="shared" si="5"/>
        <v>0.15839999914169312</v>
      </c>
    </row>
    <row r="79" spans="1:13" x14ac:dyDescent="0.2">
      <c r="A79" t="s">
        <v>90</v>
      </c>
      <c r="B79">
        <f t="shared" si="3"/>
        <v>1</v>
      </c>
      <c r="D79" t="s">
        <v>90</v>
      </c>
      <c r="E79">
        <v>56</v>
      </c>
      <c r="F79">
        <v>532</v>
      </c>
      <c r="G79">
        <v>4</v>
      </c>
      <c r="H79">
        <f t="shared" si="4"/>
        <v>532</v>
      </c>
      <c r="K79">
        <v>9561100.9386999998</v>
      </c>
      <c r="L79" s="152">
        <v>9561101</v>
      </c>
      <c r="M79">
        <f t="shared" si="5"/>
        <v>-6.1300000175833702E-2</v>
      </c>
    </row>
    <row r="80" spans="1:13" x14ac:dyDescent="0.2">
      <c r="A80" t="s">
        <v>91</v>
      </c>
      <c r="B80">
        <f t="shared" si="3"/>
        <v>1</v>
      </c>
      <c r="D80" t="s">
        <v>91</v>
      </c>
      <c r="E80">
        <v>7</v>
      </c>
      <c r="F80">
        <v>518</v>
      </c>
      <c r="G80">
        <v>6</v>
      </c>
      <c r="H80">
        <f t="shared" si="4"/>
        <v>518</v>
      </c>
      <c r="K80">
        <v>2951184.3366999999</v>
      </c>
      <c r="L80" s="152">
        <v>2951184</v>
      </c>
      <c r="M80">
        <f t="shared" si="5"/>
        <v>0.33669999986886978</v>
      </c>
    </row>
    <row r="81" spans="1:13" x14ac:dyDescent="0.2">
      <c r="A81" t="s">
        <v>92</v>
      </c>
      <c r="B81">
        <f t="shared" si="3"/>
        <v>1</v>
      </c>
      <c r="D81" t="s">
        <v>92</v>
      </c>
      <c r="E81">
        <v>1337</v>
      </c>
      <c r="F81">
        <v>0</v>
      </c>
      <c r="G81">
        <v>0</v>
      </c>
      <c r="H81">
        <f t="shared" si="4"/>
        <v>0</v>
      </c>
      <c r="K81">
        <v>62740126.927000001</v>
      </c>
      <c r="L81" s="152">
        <v>62740127</v>
      </c>
      <c r="M81">
        <f t="shared" si="5"/>
        <v>-7.2999998927116394E-2</v>
      </c>
    </row>
    <row r="82" spans="1:13" x14ac:dyDescent="0.2">
      <c r="A82" t="s">
        <v>93</v>
      </c>
      <c r="B82">
        <f t="shared" si="3"/>
        <v>1</v>
      </c>
      <c r="D82" t="s">
        <v>93</v>
      </c>
      <c r="E82">
        <v>19</v>
      </c>
      <c r="F82">
        <v>1217</v>
      </c>
      <c r="G82">
        <v>13</v>
      </c>
      <c r="H82">
        <f t="shared" si="4"/>
        <v>1217</v>
      </c>
      <c r="K82">
        <v>821126.63379999995</v>
      </c>
      <c r="L82" s="152">
        <v>821127</v>
      </c>
      <c r="M82">
        <f t="shared" si="5"/>
        <v>-0.36620000004768372</v>
      </c>
    </row>
    <row r="83" spans="1:13" x14ac:dyDescent="0.2">
      <c r="A83" t="s">
        <v>94</v>
      </c>
      <c r="B83">
        <f t="shared" si="3"/>
        <v>1</v>
      </c>
      <c r="D83" t="s">
        <v>94</v>
      </c>
      <c r="E83">
        <v>4</v>
      </c>
      <c r="F83">
        <v>546</v>
      </c>
      <c r="G83">
        <v>13</v>
      </c>
      <c r="H83">
        <f t="shared" si="4"/>
        <v>546</v>
      </c>
      <c r="K83">
        <v>1894750.9631000001</v>
      </c>
      <c r="L83" s="152">
        <v>1894751</v>
      </c>
      <c r="M83">
        <f t="shared" si="5"/>
        <v>-3.6899999948218465E-2</v>
      </c>
    </row>
    <row r="84" spans="1:13" x14ac:dyDescent="0.2">
      <c r="A84" t="s">
        <v>95</v>
      </c>
      <c r="B84">
        <f t="shared" si="3"/>
        <v>1</v>
      </c>
      <c r="D84" t="s">
        <v>95</v>
      </c>
      <c r="E84">
        <v>188</v>
      </c>
      <c r="F84">
        <v>0</v>
      </c>
      <c r="G84">
        <v>0</v>
      </c>
      <c r="H84">
        <f t="shared" si="4"/>
        <v>0</v>
      </c>
      <c r="K84">
        <v>20671978.6864</v>
      </c>
      <c r="L84" s="152">
        <v>20671979</v>
      </c>
      <c r="M84">
        <f t="shared" si="5"/>
        <v>-0.31359999999403954</v>
      </c>
    </row>
    <row r="85" spans="1:13" x14ac:dyDescent="0.2">
      <c r="A85" t="s">
        <v>96</v>
      </c>
      <c r="B85">
        <f t="shared" si="3"/>
        <v>1</v>
      </c>
      <c r="D85" t="s">
        <v>96</v>
      </c>
      <c r="E85">
        <v>164</v>
      </c>
      <c r="F85">
        <v>0</v>
      </c>
      <c r="G85">
        <v>0</v>
      </c>
      <c r="H85">
        <f t="shared" si="4"/>
        <v>0</v>
      </c>
      <c r="K85">
        <v>9885063.2310000006</v>
      </c>
      <c r="L85" s="152">
        <v>9885063</v>
      </c>
      <c r="M85">
        <f t="shared" si="5"/>
        <v>0.23100000061094761</v>
      </c>
    </row>
    <row r="86" spans="1:13" x14ac:dyDescent="0.2">
      <c r="A86" t="s">
        <v>97</v>
      </c>
      <c r="B86">
        <f t="shared" si="3"/>
        <v>1</v>
      </c>
      <c r="D86" t="s">
        <v>97</v>
      </c>
      <c r="E86">
        <v>30</v>
      </c>
      <c r="F86">
        <v>0</v>
      </c>
      <c r="G86">
        <v>0</v>
      </c>
      <c r="H86">
        <f t="shared" si="4"/>
        <v>0</v>
      </c>
      <c r="K86">
        <v>5448842.2210999997</v>
      </c>
      <c r="L86" s="152">
        <v>5448843</v>
      </c>
      <c r="M86">
        <f t="shared" si="5"/>
        <v>-0.77890000026673079</v>
      </c>
    </row>
    <row r="87" spans="1:13" x14ac:dyDescent="0.2">
      <c r="A87" t="s">
        <v>98</v>
      </c>
      <c r="B87">
        <f t="shared" si="3"/>
        <v>1</v>
      </c>
      <c r="D87" t="s">
        <v>98</v>
      </c>
      <c r="E87">
        <v>91</v>
      </c>
      <c r="F87">
        <v>0</v>
      </c>
      <c r="G87">
        <v>0</v>
      </c>
      <c r="H87">
        <f t="shared" si="4"/>
        <v>0</v>
      </c>
      <c r="K87">
        <v>12690953.6152</v>
      </c>
      <c r="L87" s="152">
        <v>12690954</v>
      </c>
      <c r="M87">
        <f t="shared" si="5"/>
        <v>-0.38480000011622906</v>
      </c>
    </row>
    <row r="88" spans="1:13" x14ac:dyDescent="0.2">
      <c r="A88" t="s">
        <v>99</v>
      </c>
      <c r="B88">
        <f t="shared" si="3"/>
        <v>1</v>
      </c>
      <c r="D88" t="s">
        <v>99</v>
      </c>
      <c r="E88">
        <v>4</v>
      </c>
      <c r="F88">
        <v>249</v>
      </c>
      <c r="G88">
        <v>13</v>
      </c>
      <c r="H88">
        <f t="shared" si="4"/>
        <v>249</v>
      </c>
      <c r="K88">
        <v>111990.75139999999</v>
      </c>
      <c r="L88" s="152">
        <v>111991</v>
      </c>
      <c r="M88">
        <f t="shared" si="5"/>
        <v>-0.24860000000626314</v>
      </c>
    </row>
    <row r="89" spans="1:13" x14ac:dyDescent="0.2">
      <c r="A89" t="s">
        <v>100</v>
      </c>
      <c r="B89">
        <f t="shared" si="3"/>
        <v>1</v>
      </c>
      <c r="D89" t="s">
        <v>100</v>
      </c>
      <c r="E89">
        <v>273</v>
      </c>
      <c r="F89">
        <v>0</v>
      </c>
      <c r="G89">
        <v>0</v>
      </c>
      <c r="H89">
        <f t="shared" si="4"/>
        <v>0</v>
      </c>
      <c r="K89">
        <v>31227536.456999999</v>
      </c>
      <c r="L89" s="152">
        <v>31227536</v>
      </c>
      <c r="M89">
        <f t="shared" si="5"/>
        <v>0.4569999985396862</v>
      </c>
    </row>
    <row r="90" spans="1:13" x14ac:dyDescent="0.2">
      <c r="A90" t="s">
        <v>101</v>
      </c>
      <c r="B90">
        <f t="shared" si="3"/>
        <v>1</v>
      </c>
      <c r="D90" t="s">
        <v>101</v>
      </c>
      <c r="E90">
        <v>1716</v>
      </c>
      <c r="F90">
        <v>0</v>
      </c>
      <c r="G90">
        <v>0</v>
      </c>
      <c r="H90">
        <f t="shared" si="4"/>
        <v>0</v>
      </c>
      <c r="K90">
        <v>91857909.011000007</v>
      </c>
      <c r="L90" s="152">
        <v>91857909</v>
      </c>
      <c r="M90">
        <f t="shared" si="5"/>
        <v>1.1000007390975952E-2</v>
      </c>
    </row>
    <row r="91" spans="1:13" x14ac:dyDescent="0.2">
      <c r="A91" t="s">
        <v>102</v>
      </c>
      <c r="B91">
        <f t="shared" si="3"/>
        <v>1</v>
      </c>
      <c r="D91" t="s">
        <v>102</v>
      </c>
      <c r="E91">
        <v>46</v>
      </c>
      <c r="F91">
        <v>0</v>
      </c>
      <c r="G91">
        <v>0</v>
      </c>
      <c r="H91">
        <f t="shared" si="4"/>
        <v>0</v>
      </c>
      <c r="K91">
        <v>361344.94439999998</v>
      </c>
      <c r="L91" s="152">
        <v>361345</v>
      </c>
      <c r="M91">
        <f t="shared" si="5"/>
        <v>-5.5600000021513551E-2</v>
      </c>
    </row>
    <row r="92" spans="1:13" x14ac:dyDescent="0.2">
      <c r="A92" t="s">
        <v>103</v>
      </c>
      <c r="B92">
        <f t="shared" si="3"/>
        <v>1</v>
      </c>
      <c r="D92" t="s">
        <v>103</v>
      </c>
      <c r="E92">
        <v>64</v>
      </c>
      <c r="F92">
        <v>0</v>
      </c>
      <c r="G92">
        <v>0</v>
      </c>
      <c r="H92">
        <f t="shared" si="4"/>
        <v>0</v>
      </c>
      <c r="K92">
        <v>3682458.3646</v>
      </c>
      <c r="L92" s="152">
        <v>3682458</v>
      </c>
      <c r="M92">
        <f t="shared" si="5"/>
        <v>0.36459999997168779</v>
      </c>
    </row>
    <row r="93" spans="1:13" x14ac:dyDescent="0.2">
      <c r="A93" t="s">
        <v>104</v>
      </c>
      <c r="B93">
        <f t="shared" si="3"/>
        <v>1</v>
      </c>
      <c r="D93" t="s">
        <v>104</v>
      </c>
      <c r="E93">
        <v>1</v>
      </c>
      <c r="F93">
        <v>481</v>
      </c>
      <c r="G93">
        <v>6</v>
      </c>
      <c r="H93">
        <f t="shared" si="4"/>
        <v>481</v>
      </c>
      <c r="K93">
        <v>2966653.5167999999</v>
      </c>
      <c r="L93" s="152">
        <v>2966653</v>
      </c>
      <c r="M93">
        <f t="shared" si="5"/>
        <v>0.51679999986663461</v>
      </c>
    </row>
    <row r="94" spans="1:13" x14ac:dyDescent="0.2">
      <c r="A94" t="s">
        <v>105</v>
      </c>
      <c r="B94">
        <f t="shared" si="3"/>
        <v>1</v>
      </c>
      <c r="D94" t="s">
        <v>105</v>
      </c>
      <c r="E94">
        <v>3461</v>
      </c>
      <c r="F94">
        <v>0</v>
      </c>
      <c r="G94">
        <v>0</v>
      </c>
      <c r="H94">
        <f t="shared" si="4"/>
        <v>0</v>
      </c>
      <c r="K94">
        <v>158100478.54719999</v>
      </c>
      <c r="L94" s="152">
        <v>158100479</v>
      </c>
      <c r="M94">
        <f t="shared" si="5"/>
        <v>-0.45280000567436218</v>
      </c>
    </row>
    <row r="95" spans="1:13" x14ac:dyDescent="0.2">
      <c r="A95" t="s">
        <v>106</v>
      </c>
      <c r="B95">
        <f t="shared" si="3"/>
        <v>1</v>
      </c>
      <c r="D95" t="s">
        <v>106</v>
      </c>
      <c r="E95">
        <v>233</v>
      </c>
      <c r="F95">
        <v>0</v>
      </c>
      <c r="G95">
        <v>0</v>
      </c>
      <c r="H95">
        <f t="shared" si="4"/>
        <v>0</v>
      </c>
      <c r="K95">
        <v>13434232.5986</v>
      </c>
      <c r="L95" s="152">
        <v>13434233</v>
      </c>
      <c r="M95">
        <f t="shared" si="5"/>
        <v>-0.40139999985694885</v>
      </c>
    </row>
    <row r="96" spans="1:13" x14ac:dyDescent="0.2">
      <c r="A96" t="s">
        <v>107</v>
      </c>
      <c r="B96">
        <f t="shared" si="3"/>
        <v>1</v>
      </c>
      <c r="D96" t="s">
        <v>107</v>
      </c>
      <c r="E96">
        <v>834</v>
      </c>
      <c r="F96">
        <v>0</v>
      </c>
      <c r="G96">
        <v>0</v>
      </c>
      <c r="H96">
        <f t="shared" si="4"/>
        <v>0</v>
      </c>
      <c r="K96">
        <v>27533839.9518</v>
      </c>
      <c r="L96" s="152">
        <v>27533840</v>
      </c>
      <c r="M96">
        <f t="shared" si="5"/>
        <v>-4.8200000077486038E-2</v>
      </c>
    </row>
    <row r="97" spans="1:13" x14ac:dyDescent="0.2">
      <c r="A97" t="s">
        <v>108</v>
      </c>
      <c r="B97">
        <f t="shared" si="3"/>
        <v>1</v>
      </c>
      <c r="D97" t="s">
        <v>108</v>
      </c>
      <c r="E97">
        <v>155</v>
      </c>
      <c r="F97">
        <v>0</v>
      </c>
      <c r="G97">
        <v>0</v>
      </c>
      <c r="H97">
        <f t="shared" si="4"/>
        <v>0</v>
      </c>
      <c r="K97">
        <v>11278123.196900001</v>
      </c>
      <c r="L97" s="152">
        <v>11278123</v>
      </c>
      <c r="M97">
        <f t="shared" si="5"/>
        <v>0.19690000079572201</v>
      </c>
    </row>
    <row r="98" spans="1:13" x14ac:dyDescent="0.2">
      <c r="A98" t="s">
        <v>109</v>
      </c>
      <c r="B98">
        <f t="shared" si="3"/>
        <v>1</v>
      </c>
      <c r="D98" t="s">
        <v>109</v>
      </c>
      <c r="E98">
        <v>24</v>
      </c>
      <c r="F98">
        <v>0</v>
      </c>
      <c r="G98">
        <v>0</v>
      </c>
      <c r="H98">
        <f t="shared" si="4"/>
        <v>0</v>
      </c>
      <c r="K98">
        <v>4516620.7823999999</v>
      </c>
      <c r="L98" s="152">
        <v>4516621</v>
      </c>
      <c r="M98">
        <f t="shared" si="5"/>
        <v>-0.21760000009089708</v>
      </c>
    </row>
    <row r="99" spans="1:13" x14ac:dyDescent="0.2">
      <c r="A99" t="s">
        <v>110</v>
      </c>
      <c r="B99">
        <f t="shared" si="3"/>
        <v>1</v>
      </c>
      <c r="D99" t="s">
        <v>110</v>
      </c>
      <c r="E99">
        <v>2</v>
      </c>
      <c r="F99">
        <v>95</v>
      </c>
      <c r="G99">
        <v>6</v>
      </c>
      <c r="H99">
        <f t="shared" si="4"/>
        <v>95</v>
      </c>
      <c r="K99">
        <v>26147.649399999998</v>
      </c>
      <c r="L99" s="152">
        <v>26148</v>
      </c>
      <c r="M99">
        <f t="shared" si="5"/>
        <v>-0.35060000000157743</v>
      </c>
    </row>
    <row r="100" spans="1:13" x14ac:dyDescent="0.2">
      <c r="A100" t="s">
        <v>111</v>
      </c>
      <c r="B100">
        <f t="shared" si="3"/>
        <v>1</v>
      </c>
      <c r="D100" t="s">
        <v>111</v>
      </c>
      <c r="E100">
        <v>15</v>
      </c>
      <c r="F100">
        <v>0</v>
      </c>
      <c r="G100">
        <v>0</v>
      </c>
      <c r="H100">
        <f t="shared" si="4"/>
        <v>0</v>
      </c>
      <c r="K100">
        <v>7453844.2039999999</v>
      </c>
      <c r="L100" s="152">
        <v>7453844</v>
      </c>
      <c r="M100">
        <f t="shared" si="5"/>
        <v>0.20399999991059303</v>
      </c>
    </row>
    <row r="101" spans="1:13" x14ac:dyDescent="0.2">
      <c r="A101" t="s">
        <v>112</v>
      </c>
      <c r="B101">
        <f t="shared" si="3"/>
        <v>1</v>
      </c>
      <c r="D101" t="s">
        <v>112</v>
      </c>
      <c r="E101">
        <v>11</v>
      </c>
      <c r="F101">
        <v>111</v>
      </c>
      <c r="G101">
        <v>4</v>
      </c>
      <c r="H101">
        <f t="shared" si="4"/>
        <v>111</v>
      </c>
      <c r="K101">
        <v>1835732.6891000001</v>
      </c>
      <c r="L101" s="152">
        <v>1835732</v>
      </c>
      <c r="M101">
        <f t="shared" si="5"/>
        <v>0.68910000007599592</v>
      </c>
    </row>
    <row r="102" spans="1:13" x14ac:dyDescent="0.2">
      <c r="A102" t="s">
        <v>113</v>
      </c>
      <c r="B102">
        <f t="shared" si="3"/>
        <v>1</v>
      </c>
      <c r="D102" t="s">
        <v>113</v>
      </c>
      <c r="E102">
        <v>77</v>
      </c>
      <c r="F102">
        <v>0</v>
      </c>
      <c r="G102">
        <v>0</v>
      </c>
      <c r="H102">
        <f t="shared" si="4"/>
        <v>0</v>
      </c>
      <c r="K102">
        <v>3861391.7892</v>
      </c>
      <c r="L102" s="152">
        <v>3861392</v>
      </c>
      <c r="M102">
        <f t="shared" si="5"/>
        <v>-0.21080000000074506</v>
      </c>
    </row>
    <row r="103" spans="1:13" x14ac:dyDescent="0.2">
      <c r="A103" t="s">
        <v>114</v>
      </c>
      <c r="B103">
        <f t="shared" si="3"/>
        <v>1</v>
      </c>
      <c r="D103" t="s">
        <v>114</v>
      </c>
      <c r="E103">
        <v>0</v>
      </c>
      <c r="F103">
        <v>0</v>
      </c>
      <c r="G103">
        <v>0</v>
      </c>
      <c r="H103">
        <f t="shared" si="4"/>
        <v>0</v>
      </c>
      <c r="K103">
        <v>2657840.1708</v>
      </c>
      <c r="L103" s="152">
        <v>2657841</v>
      </c>
      <c r="M103">
        <f t="shared" si="5"/>
        <v>-0.82920000003650784</v>
      </c>
    </row>
    <row r="104" spans="1:13" x14ac:dyDescent="0.2">
      <c r="A104" t="s">
        <v>115</v>
      </c>
      <c r="B104">
        <f t="shared" si="3"/>
        <v>1</v>
      </c>
      <c r="D104" t="s">
        <v>115</v>
      </c>
      <c r="E104">
        <v>1801</v>
      </c>
      <c r="F104">
        <v>0</v>
      </c>
      <c r="G104">
        <v>0</v>
      </c>
      <c r="H104">
        <f t="shared" si="4"/>
        <v>0</v>
      </c>
      <c r="K104">
        <v>11982529.2788</v>
      </c>
      <c r="L104" s="152">
        <v>11982530</v>
      </c>
      <c r="M104">
        <f t="shared" si="5"/>
        <v>-0.72120000049471855</v>
      </c>
    </row>
    <row r="105" spans="1:13" x14ac:dyDescent="0.2">
      <c r="A105" t="s">
        <v>116</v>
      </c>
      <c r="B105">
        <f t="shared" si="3"/>
        <v>1</v>
      </c>
      <c r="D105" t="s">
        <v>116</v>
      </c>
      <c r="E105">
        <v>812</v>
      </c>
      <c r="F105">
        <v>0</v>
      </c>
      <c r="G105">
        <v>0</v>
      </c>
      <c r="H105">
        <f t="shared" si="4"/>
        <v>0</v>
      </c>
      <c r="K105">
        <v>37983727.628600001</v>
      </c>
      <c r="L105" s="152">
        <v>37983728</v>
      </c>
      <c r="M105">
        <f t="shared" si="5"/>
        <v>-0.37139999866485596</v>
      </c>
    </row>
    <row r="106" spans="1:13" x14ac:dyDescent="0.2">
      <c r="A106" t="s">
        <v>117</v>
      </c>
      <c r="B106">
        <f t="shared" si="3"/>
        <v>1</v>
      </c>
      <c r="D106" t="s">
        <v>117</v>
      </c>
      <c r="E106">
        <v>19</v>
      </c>
      <c r="F106">
        <v>1024</v>
      </c>
      <c r="G106">
        <v>13</v>
      </c>
      <c r="H106">
        <f t="shared" si="4"/>
        <v>1024</v>
      </c>
      <c r="K106">
        <v>239883.56830000001</v>
      </c>
      <c r="L106" s="152">
        <v>239884</v>
      </c>
      <c r="M106">
        <f t="shared" si="5"/>
        <v>-0.43169999998644926</v>
      </c>
    </row>
    <row r="107" spans="1:13" x14ac:dyDescent="0.2">
      <c r="A107" t="s">
        <v>118</v>
      </c>
      <c r="B107">
        <f t="shared" si="3"/>
        <v>1</v>
      </c>
      <c r="D107" t="s">
        <v>118</v>
      </c>
      <c r="E107">
        <v>59</v>
      </c>
      <c r="F107">
        <v>0</v>
      </c>
      <c r="G107">
        <v>0</v>
      </c>
      <c r="H107">
        <f t="shared" si="4"/>
        <v>0</v>
      </c>
      <c r="K107">
        <v>127089.1394</v>
      </c>
      <c r="L107" s="152">
        <v>127089</v>
      </c>
      <c r="M107">
        <f t="shared" si="5"/>
        <v>0.13940000000002328</v>
      </c>
    </row>
    <row r="108" spans="1:13" x14ac:dyDescent="0.2">
      <c r="A108" t="s">
        <v>119</v>
      </c>
      <c r="B108">
        <f t="shared" si="3"/>
        <v>1</v>
      </c>
      <c r="D108" t="s">
        <v>119</v>
      </c>
      <c r="E108">
        <v>69</v>
      </c>
      <c r="F108">
        <v>1116</v>
      </c>
      <c r="G108">
        <v>6</v>
      </c>
      <c r="H108">
        <f t="shared" si="4"/>
        <v>1116</v>
      </c>
      <c r="K108">
        <v>1113618.7871999999</v>
      </c>
      <c r="L108" s="152">
        <v>1113619</v>
      </c>
      <c r="M108">
        <f t="shared" si="5"/>
        <v>-0.21280000009573996</v>
      </c>
    </row>
    <row r="109" spans="1:13" x14ac:dyDescent="0.2">
      <c r="A109" t="s">
        <v>120</v>
      </c>
      <c r="B109">
        <f t="shared" si="3"/>
        <v>1</v>
      </c>
      <c r="D109" t="s">
        <v>120</v>
      </c>
      <c r="E109">
        <v>35</v>
      </c>
      <c r="F109">
        <v>0</v>
      </c>
      <c r="G109">
        <v>0</v>
      </c>
      <c r="H109">
        <f t="shared" si="4"/>
        <v>0</v>
      </c>
      <c r="K109">
        <v>3874149.7716999999</v>
      </c>
      <c r="L109" s="152">
        <v>3874150</v>
      </c>
      <c r="M109">
        <f t="shared" si="5"/>
        <v>-0.22830000007525086</v>
      </c>
    </row>
    <row r="110" spans="1:13" x14ac:dyDescent="0.2">
      <c r="A110" t="s">
        <v>121</v>
      </c>
      <c r="B110">
        <f t="shared" si="3"/>
        <v>1</v>
      </c>
      <c r="D110" t="s">
        <v>121</v>
      </c>
      <c r="E110">
        <v>42</v>
      </c>
      <c r="F110">
        <v>0</v>
      </c>
      <c r="G110">
        <v>0</v>
      </c>
      <c r="H110">
        <f t="shared" si="4"/>
        <v>0</v>
      </c>
      <c r="K110">
        <v>15049019.431299999</v>
      </c>
      <c r="L110" s="152">
        <v>15049019</v>
      </c>
      <c r="M110">
        <f t="shared" si="5"/>
        <v>0.43129999935626984</v>
      </c>
    </row>
    <row r="111" spans="1:13" x14ac:dyDescent="0.2">
      <c r="A111" t="s">
        <v>122</v>
      </c>
      <c r="B111">
        <f t="shared" si="3"/>
        <v>1</v>
      </c>
      <c r="D111" t="s">
        <v>122</v>
      </c>
      <c r="E111">
        <v>159</v>
      </c>
      <c r="F111">
        <v>0</v>
      </c>
      <c r="G111">
        <v>0</v>
      </c>
      <c r="H111">
        <f t="shared" si="4"/>
        <v>0</v>
      </c>
      <c r="K111">
        <v>10577243.002400002</v>
      </c>
      <c r="L111" s="152">
        <v>10577243</v>
      </c>
      <c r="M111">
        <f t="shared" si="5"/>
        <v>2.4000015109777451E-3</v>
      </c>
    </row>
    <row r="112" spans="1:13" x14ac:dyDescent="0.2">
      <c r="A112" t="s">
        <v>123</v>
      </c>
      <c r="B112">
        <f t="shared" si="3"/>
        <v>1</v>
      </c>
      <c r="D112" t="s">
        <v>123</v>
      </c>
      <c r="E112">
        <v>24</v>
      </c>
      <c r="F112">
        <v>0</v>
      </c>
      <c r="G112">
        <v>0</v>
      </c>
      <c r="H112">
        <f t="shared" si="4"/>
        <v>0</v>
      </c>
      <c r="K112">
        <v>9829574.0266000014</v>
      </c>
      <c r="L112" s="152">
        <v>9829574</v>
      </c>
      <c r="M112">
        <f t="shared" si="5"/>
        <v>2.6600001379847527E-2</v>
      </c>
    </row>
    <row r="113" spans="1:13" x14ac:dyDescent="0.2">
      <c r="A113" t="s">
        <v>124</v>
      </c>
      <c r="B113">
        <f t="shared" si="3"/>
        <v>1</v>
      </c>
      <c r="D113" t="s">
        <v>124</v>
      </c>
      <c r="E113">
        <v>2</v>
      </c>
      <c r="F113">
        <v>0</v>
      </c>
      <c r="G113">
        <v>0</v>
      </c>
      <c r="H113">
        <f t="shared" si="4"/>
        <v>0</v>
      </c>
      <c r="K113">
        <v>2745558.2135000001</v>
      </c>
      <c r="L113" s="152">
        <v>2745559</v>
      </c>
      <c r="M113">
        <f t="shared" si="5"/>
        <v>-0.78649999992921948</v>
      </c>
    </row>
    <row r="114" spans="1:13" x14ac:dyDescent="0.2">
      <c r="A114" t="s">
        <v>125</v>
      </c>
      <c r="B114">
        <f t="shared" si="3"/>
        <v>1</v>
      </c>
      <c r="D114" t="s">
        <v>125</v>
      </c>
      <c r="E114">
        <v>22</v>
      </c>
      <c r="F114">
        <v>0</v>
      </c>
      <c r="G114">
        <v>0</v>
      </c>
      <c r="H114">
        <f t="shared" si="4"/>
        <v>0</v>
      </c>
      <c r="K114">
        <v>4456626.9060000004</v>
      </c>
      <c r="L114" s="152">
        <v>4456627</v>
      </c>
      <c r="M114">
        <f t="shared" si="5"/>
        <v>-9.3999999575316906E-2</v>
      </c>
    </row>
    <row r="115" spans="1:13" x14ac:dyDescent="0.2">
      <c r="A115" t="s">
        <v>126</v>
      </c>
      <c r="B115">
        <f t="shared" si="3"/>
        <v>1</v>
      </c>
      <c r="D115" t="s">
        <v>126</v>
      </c>
      <c r="E115">
        <v>10</v>
      </c>
      <c r="F115">
        <v>0</v>
      </c>
      <c r="G115">
        <v>0</v>
      </c>
      <c r="H115">
        <f t="shared" si="4"/>
        <v>0</v>
      </c>
      <c r="K115">
        <v>2989020.8610999999</v>
      </c>
      <c r="L115" s="152">
        <v>2989021</v>
      </c>
      <c r="M115">
        <f t="shared" si="5"/>
        <v>-0.13890000013634562</v>
      </c>
    </row>
    <row r="116" spans="1:13" x14ac:dyDescent="0.2">
      <c r="A116" t="s">
        <v>127</v>
      </c>
      <c r="B116">
        <f t="shared" si="3"/>
        <v>1</v>
      </c>
      <c r="D116" t="s">
        <v>127</v>
      </c>
      <c r="E116">
        <v>20</v>
      </c>
      <c r="F116">
        <v>1345</v>
      </c>
      <c r="G116">
        <v>13</v>
      </c>
      <c r="H116">
        <f t="shared" si="4"/>
        <v>1345</v>
      </c>
      <c r="K116">
        <v>4933881.2923999997</v>
      </c>
      <c r="L116" s="152">
        <v>4933881</v>
      </c>
      <c r="M116">
        <f t="shared" si="5"/>
        <v>0.2923999996855855</v>
      </c>
    </row>
    <row r="117" spans="1:13" x14ac:dyDescent="0.2">
      <c r="A117" t="s">
        <v>128</v>
      </c>
      <c r="B117">
        <f t="shared" si="3"/>
        <v>1</v>
      </c>
      <c r="D117" t="s">
        <v>128</v>
      </c>
      <c r="E117">
        <v>44</v>
      </c>
      <c r="F117">
        <v>0</v>
      </c>
      <c r="G117">
        <v>0</v>
      </c>
      <c r="H117">
        <f t="shared" si="4"/>
        <v>0</v>
      </c>
      <c r="K117">
        <v>8340282</v>
      </c>
      <c r="L117" s="152">
        <v>8340282</v>
      </c>
      <c r="M117">
        <f t="shared" si="5"/>
        <v>0</v>
      </c>
    </row>
    <row r="118" spans="1:13" x14ac:dyDescent="0.2">
      <c r="A118" t="s">
        <v>129</v>
      </c>
      <c r="B118">
        <f t="shared" si="3"/>
        <v>1</v>
      </c>
      <c r="D118" t="s">
        <v>129</v>
      </c>
      <c r="E118">
        <v>10</v>
      </c>
      <c r="F118">
        <v>513</v>
      </c>
      <c r="G118">
        <v>4</v>
      </c>
      <c r="H118">
        <f t="shared" si="4"/>
        <v>513</v>
      </c>
      <c r="K118">
        <v>179132.27119999999</v>
      </c>
      <c r="L118" s="152">
        <v>179133</v>
      </c>
      <c r="M118">
        <f t="shared" si="5"/>
        <v>-0.7288000000116881</v>
      </c>
    </row>
    <row r="119" spans="1:13" x14ac:dyDescent="0.2">
      <c r="A119" t="s">
        <v>130</v>
      </c>
      <c r="B119">
        <f t="shared" si="3"/>
        <v>1</v>
      </c>
      <c r="D119" t="s">
        <v>130</v>
      </c>
      <c r="E119">
        <v>66</v>
      </c>
      <c r="F119">
        <v>0</v>
      </c>
      <c r="G119">
        <v>0</v>
      </c>
      <c r="H119">
        <f t="shared" si="4"/>
        <v>0</v>
      </c>
      <c r="K119">
        <v>570385.54119999998</v>
      </c>
      <c r="L119" s="152">
        <v>570386</v>
      </c>
      <c r="M119">
        <f t="shared" si="5"/>
        <v>-0.45880000002216548</v>
      </c>
    </row>
    <row r="120" spans="1:13" x14ac:dyDescent="0.2">
      <c r="A120" t="s">
        <v>131</v>
      </c>
      <c r="B120">
        <f t="shared" si="3"/>
        <v>1</v>
      </c>
      <c r="D120" t="s">
        <v>131</v>
      </c>
      <c r="E120">
        <v>250</v>
      </c>
      <c r="F120">
        <v>0</v>
      </c>
      <c r="G120">
        <v>0</v>
      </c>
      <c r="H120">
        <f t="shared" si="4"/>
        <v>0</v>
      </c>
      <c r="K120">
        <v>4638485.1415999997</v>
      </c>
      <c r="L120" s="152">
        <v>4638485</v>
      </c>
      <c r="M120">
        <f t="shared" si="5"/>
        <v>0.1415999997407198</v>
      </c>
    </row>
    <row r="121" spans="1:13" x14ac:dyDescent="0.2">
      <c r="A121" t="s">
        <v>132</v>
      </c>
      <c r="B121">
        <f t="shared" si="3"/>
        <v>1</v>
      </c>
      <c r="D121" t="s">
        <v>132</v>
      </c>
      <c r="E121">
        <v>2</v>
      </c>
      <c r="F121">
        <v>203</v>
      </c>
      <c r="G121">
        <v>13</v>
      </c>
      <c r="H121">
        <f t="shared" si="4"/>
        <v>203</v>
      </c>
      <c r="K121">
        <v>35361.658600000002</v>
      </c>
      <c r="L121" s="152">
        <v>35361</v>
      </c>
      <c r="M121">
        <f t="shared" si="5"/>
        <v>0.65860000000247965</v>
      </c>
    </row>
    <row r="122" spans="1:13" x14ac:dyDescent="0.2">
      <c r="A122" t="s">
        <v>133</v>
      </c>
      <c r="B122">
        <f t="shared" si="3"/>
        <v>1</v>
      </c>
      <c r="D122" t="s">
        <v>133</v>
      </c>
      <c r="E122">
        <v>2</v>
      </c>
      <c r="F122">
        <v>0</v>
      </c>
      <c r="G122">
        <v>0</v>
      </c>
      <c r="H122">
        <f t="shared" si="4"/>
        <v>0</v>
      </c>
      <c r="K122">
        <v>2626250.7135999999</v>
      </c>
      <c r="L122" s="152">
        <v>2626251</v>
      </c>
      <c r="M122">
        <f t="shared" si="5"/>
        <v>-0.28640000009909272</v>
      </c>
    </row>
    <row r="123" spans="1:13" x14ac:dyDescent="0.2">
      <c r="A123" t="s">
        <v>134</v>
      </c>
      <c r="B123">
        <f t="shared" si="3"/>
        <v>1</v>
      </c>
      <c r="D123" t="s">
        <v>134</v>
      </c>
      <c r="E123">
        <v>9</v>
      </c>
      <c r="F123">
        <v>74</v>
      </c>
      <c r="G123">
        <v>4</v>
      </c>
      <c r="H123">
        <f t="shared" si="4"/>
        <v>74</v>
      </c>
      <c r="K123">
        <v>15957.255000000001</v>
      </c>
      <c r="L123" s="152">
        <v>15958</v>
      </c>
      <c r="M123">
        <f t="shared" si="5"/>
        <v>-0.74499999999898137</v>
      </c>
    </row>
    <row r="124" spans="1:13" x14ac:dyDescent="0.2">
      <c r="A124" t="s">
        <v>135</v>
      </c>
      <c r="B124">
        <f t="shared" si="3"/>
        <v>1</v>
      </c>
      <c r="D124" t="s">
        <v>135</v>
      </c>
      <c r="E124">
        <v>1</v>
      </c>
      <c r="F124">
        <v>100</v>
      </c>
      <c r="G124">
        <v>6</v>
      </c>
      <c r="H124">
        <f t="shared" si="4"/>
        <v>100</v>
      </c>
      <c r="K124">
        <v>1311658.2308</v>
      </c>
      <c r="L124" s="152">
        <v>1311658</v>
      </c>
      <c r="M124">
        <f t="shared" si="5"/>
        <v>0.23080000001937151</v>
      </c>
    </row>
    <row r="125" spans="1:13" x14ac:dyDescent="0.2">
      <c r="A125" t="s">
        <v>136</v>
      </c>
      <c r="B125">
        <f t="shared" si="3"/>
        <v>1</v>
      </c>
      <c r="D125" t="s">
        <v>136</v>
      </c>
      <c r="E125">
        <v>67</v>
      </c>
      <c r="F125">
        <v>0</v>
      </c>
      <c r="G125">
        <v>0</v>
      </c>
      <c r="H125">
        <f t="shared" si="4"/>
        <v>0</v>
      </c>
      <c r="K125">
        <v>10218858.841599999</v>
      </c>
      <c r="L125" s="152">
        <v>10218859</v>
      </c>
      <c r="M125">
        <f t="shared" si="5"/>
        <v>-0.15840000100433826</v>
      </c>
    </row>
    <row r="126" spans="1:13" x14ac:dyDescent="0.2">
      <c r="A126" t="s">
        <v>137</v>
      </c>
      <c r="B126">
        <f t="shared" si="3"/>
        <v>1</v>
      </c>
      <c r="D126" t="s">
        <v>137</v>
      </c>
      <c r="E126">
        <v>1</v>
      </c>
      <c r="F126">
        <v>60</v>
      </c>
      <c r="G126">
        <v>4</v>
      </c>
      <c r="H126">
        <f t="shared" si="4"/>
        <v>60</v>
      </c>
      <c r="K126">
        <v>12199.444600000001</v>
      </c>
      <c r="L126" s="152">
        <v>12200</v>
      </c>
      <c r="M126">
        <f t="shared" si="5"/>
        <v>-0.55539999999928114</v>
      </c>
    </row>
    <row r="127" spans="1:13" x14ac:dyDescent="0.2">
      <c r="A127" t="s">
        <v>138</v>
      </c>
      <c r="B127">
        <f t="shared" si="3"/>
        <v>1</v>
      </c>
      <c r="D127" t="s">
        <v>138</v>
      </c>
      <c r="E127">
        <v>235</v>
      </c>
      <c r="F127">
        <v>0</v>
      </c>
      <c r="G127">
        <v>0</v>
      </c>
      <c r="H127">
        <f t="shared" si="4"/>
        <v>0</v>
      </c>
      <c r="K127">
        <v>6340947.1267999997</v>
      </c>
      <c r="L127" s="152">
        <v>6340947</v>
      </c>
      <c r="M127">
        <f t="shared" si="5"/>
        <v>0.12679999973624945</v>
      </c>
    </row>
    <row r="128" spans="1:13" x14ac:dyDescent="0.2">
      <c r="A128" t="s">
        <v>139</v>
      </c>
      <c r="B128">
        <f t="shared" si="3"/>
        <v>1</v>
      </c>
      <c r="D128" t="s">
        <v>139</v>
      </c>
      <c r="E128">
        <v>6</v>
      </c>
      <c r="F128">
        <v>0</v>
      </c>
      <c r="G128">
        <v>0</v>
      </c>
      <c r="H128">
        <f t="shared" si="4"/>
        <v>0</v>
      </c>
      <c r="K128">
        <v>47040.8194</v>
      </c>
      <c r="L128" s="152">
        <v>47041</v>
      </c>
      <c r="M128">
        <f t="shared" si="5"/>
        <v>-0.18059999999968568</v>
      </c>
    </row>
    <row r="129" spans="1:13" x14ac:dyDescent="0.2">
      <c r="A129" t="s">
        <v>140</v>
      </c>
      <c r="B129">
        <f t="shared" si="3"/>
        <v>1</v>
      </c>
      <c r="D129" t="s">
        <v>140</v>
      </c>
      <c r="E129">
        <v>65</v>
      </c>
      <c r="F129">
        <v>0</v>
      </c>
      <c r="G129">
        <v>0</v>
      </c>
      <c r="H129">
        <f t="shared" si="4"/>
        <v>0</v>
      </c>
      <c r="K129">
        <v>6129866.8921999997</v>
      </c>
      <c r="L129" s="152">
        <v>6129867</v>
      </c>
      <c r="M129">
        <f t="shared" si="5"/>
        <v>-0.10780000034719706</v>
      </c>
    </row>
    <row r="130" spans="1:13" x14ac:dyDescent="0.2">
      <c r="A130" t="s">
        <v>141</v>
      </c>
      <c r="B130">
        <f t="shared" si="3"/>
        <v>1</v>
      </c>
      <c r="D130" t="s">
        <v>141</v>
      </c>
      <c r="E130">
        <v>7</v>
      </c>
      <c r="F130">
        <v>0</v>
      </c>
      <c r="G130">
        <v>0</v>
      </c>
      <c r="H130">
        <f t="shared" si="4"/>
        <v>0</v>
      </c>
      <c r="K130">
        <v>5779512.7164000003</v>
      </c>
      <c r="L130" s="152">
        <v>5779513</v>
      </c>
      <c r="M130">
        <f t="shared" si="5"/>
        <v>-0.28359999973326921</v>
      </c>
    </row>
    <row r="131" spans="1:13" x14ac:dyDescent="0.2">
      <c r="A131" t="s">
        <v>142</v>
      </c>
      <c r="B131">
        <f t="shared" ref="B131:B170" si="6">IF(A131=D131,1,0)</f>
        <v>1</v>
      </c>
      <c r="D131" t="s">
        <v>142</v>
      </c>
      <c r="E131">
        <v>20</v>
      </c>
      <c r="F131">
        <v>2448</v>
      </c>
      <c r="G131">
        <v>13</v>
      </c>
      <c r="H131">
        <f t="shared" ref="H131:H170" si="7">IF(F131="",0,F131)</f>
        <v>2448</v>
      </c>
      <c r="K131">
        <v>3628481.8132000002</v>
      </c>
      <c r="L131" s="152">
        <v>3628482</v>
      </c>
      <c r="M131">
        <f t="shared" ref="M131:M170" si="8">K131-L131</f>
        <v>-0.1867999997921288</v>
      </c>
    </row>
    <row r="132" spans="1:13" x14ac:dyDescent="0.2">
      <c r="A132" t="s">
        <v>143</v>
      </c>
      <c r="B132">
        <f t="shared" si="6"/>
        <v>1</v>
      </c>
      <c r="D132" t="s">
        <v>143</v>
      </c>
      <c r="E132">
        <v>114</v>
      </c>
      <c r="F132">
        <v>0</v>
      </c>
      <c r="G132">
        <v>0</v>
      </c>
      <c r="H132">
        <f t="shared" si="7"/>
        <v>0</v>
      </c>
      <c r="K132">
        <v>20430243.446199998</v>
      </c>
      <c r="L132" s="152">
        <v>20430243</v>
      </c>
      <c r="M132">
        <f t="shared" si="8"/>
        <v>0.44619999825954437</v>
      </c>
    </row>
    <row r="133" spans="1:13" x14ac:dyDescent="0.2">
      <c r="A133" t="s">
        <v>144</v>
      </c>
      <c r="B133">
        <f t="shared" si="6"/>
        <v>1</v>
      </c>
      <c r="D133" t="s">
        <v>144</v>
      </c>
      <c r="E133">
        <v>262</v>
      </c>
      <c r="F133">
        <v>0</v>
      </c>
      <c r="G133">
        <v>0</v>
      </c>
      <c r="H133">
        <f t="shared" si="7"/>
        <v>0</v>
      </c>
      <c r="K133">
        <v>11697813.153000001</v>
      </c>
      <c r="L133" s="152">
        <v>11697814</v>
      </c>
      <c r="M133">
        <f t="shared" si="8"/>
        <v>-0.84699999913573265</v>
      </c>
    </row>
    <row r="134" spans="1:13" x14ac:dyDescent="0.2">
      <c r="A134" t="s">
        <v>145</v>
      </c>
      <c r="B134">
        <f t="shared" si="6"/>
        <v>1</v>
      </c>
      <c r="D134" t="s">
        <v>145</v>
      </c>
      <c r="E134">
        <v>3</v>
      </c>
      <c r="F134">
        <v>0</v>
      </c>
      <c r="G134">
        <v>0</v>
      </c>
      <c r="H134">
        <f t="shared" si="7"/>
        <v>0</v>
      </c>
      <c r="K134">
        <v>2690078.6672</v>
      </c>
      <c r="L134" s="152">
        <v>2690078</v>
      </c>
      <c r="M134">
        <f t="shared" si="8"/>
        <v>0.66720000002533197</v>
      </c>
    </row>
    <row r="135" spans="1:13" x14ac:dyDescent="0.2">
      <c r="A135" t="s">
        <v>146</v>
      </c>
      <c r="B135">
        <f t="shared" si="6"/>
        <v>1</v>
      </c>
      <c r="D135" t="s">
        <v>146</v>
      </c>
      <c r="E135">
        <v>3</v>
      </c>
      <c r="F135">
        <v>0</v>
      </c>
      <c r="G135">
        <v>0</v>
      </c>
      <c r="H135">
        <f t="shared" si="7"/>
        <v>0</v>
      </c>
      <c r="K135">
        <v>9627288.5271000005</v>
      </c>
      <c r="L135" s="152">
        <v>9627288</v>
      </c>
      <c r="M135">
        <f t="shared" si="8"/>
        <v>0.52710000053048134</v>
      </c>
    </row>
    <row r="136" spans="1:13" x14ac:dyDescent="0.2">
      <c r="A136" t="s">
        <v>147</v>
      </c>
      <c r="B136">
        <f t="shared" si="6"/>
        <v>1</v>
      </c>
      <c r="D136" t="s">
        <v>147</v>
      </c>
      <c r="E136">
        <v>2050</v>
      </c>
      <c r="F136">
        <v>0</v>
      </c>
      <c r="G136">
        <v>0</v>
      </c>
      <c r="H136">
        <f t="shared" si="7"/>
        <v>0</v>
      </c>
      <c r="K136">
        <v>12362916.421800001</v>
      </c>
      <c r="L136" s="152">
        <v>12362917</v>
      </c>
      <c r="M136">
        <f t="shared" si="8"/>
        <v>-0.57819999940693378</v>
      </c>
    </row>
    <row r="137" spans="1:13" x14ac:dyDescent="0.2">
      <c r="A137" t="s">
        <v>148</v>
      </c>
      <c r="B137">
        <f t="shared" si="6"/>
        <v>1</v>
      </c>
      <c r="D137" t="s">
        <v>148</v>
      </c>
      <c r="E137">
        <v>0</v>
      </c>
      <c r="F137">
        <v>0</v>
      </c>
      <c r="G137">
        <v>0</v>
      </c>
      <c r="H137">
        <f t="shared" si="7"/>
        <v>0</v>
      </c>
      <c r="K137">
        <v>3208038.6288000001</v>
      </c>
      <c r="L137" s="152">
        <v>3208038</v>
      </c>
      <c r="M137">
        <f t="shared" si="8"/>
        <v>0.62880000006407499</v>
      </c>
    </row>
    <row r="138" spans="1:13" x14ac:dyDescent="0.2">
      <c r="A138" t="s">
        <v>149</v>
      </c>
      <c r="B138">
        <f t="shared" si="6"/>
        <v>1</v>
      </c>
      <c r="D138" t="s">
        <v>149</v>
      </c>
      <c r="E138">
        <v>17</v>
      </c>
      <c r="F138">
        <v>0</v>
      </c>
      <c r="G138">
        <v>0</v>
      </c>
      <c r="H138">
        <f t="shared" si="7"/>
        <v>0</v>
      </c>
      <c r="K138">
        <v>1188815.8629999999</v>
      </c>
      <c r="L138" s="152">
        <v>1188816</v>
      </c>
      <c r="M138">
        <f t="shared" si="8"/>
        <v>-0.13700000010430813</v>
      </c>
    </row>
    <row r="139" spans="1:13" x14ac:dyDescent="0.2">
      <c r="A139" t="s">
        <v>150</v>
      </c>
      <c r="B139">
        <f t="shared" si="6"/>
        <v>1</v>
      </c>
      <c r="D139" t="s">
        <v>150</v>
      </c>
      <c r="E139">
        <v>406</v>
      </c>
      <c r="F139">
        <v>0</v>
      </c>
      <c r="G139">
        <v>0</v>
      </c>
      <c r="H139">
        <f t="shared" si="7"/>
        <v>0</v>
      </c>
      <c r="K139">
        <v>23024432.531599998</v>
      </c>
      <c r="L139" s="152">
        <v>23024433</v>
      </c>
      <c r="M139">
        <f t="shared" si="8"/>
        <v>-0.46840000152587891</v>
      </c>
    </row>
    <row r="140" spans="1:13" x14ac:dyDescent="0.2">
      <c r="A140" t="s">
        <v>151</v>
      </c>
      <c r="B140">
        <f t="shared" si="6"/>
        <v>1</v>
      </c>
      <c r="D140" t="s">
        <v>151</v>
      </c>
      <c r="E140">
        <v>26</v>
      </c>
      <c r="F140">
        <v>0</v>
      </c>
      <c r="G140">
        <v>0</v>
      </c>
      <c r="H140">
        <f t="shared" si="7"/>
        <v>0</v>
      </c>
      <c r="K140">
        <v>6181618.2470000004</v>
      </c>
      <c r="L140" s="152">
        <v>6181618</v>
      </c>
      <c r="M140">
        <f t="shared" si="8"/>
        <v>0.24700000043958426</v>
      </c>
    </row>
    <row r="141" spans="1:13" x14ac:dyDescent="0.2">
      <c r="A141" t="s">
        <v>152</v>
      </c>
      <c r="B141">
        <f t="shared" si="6"/>
        <v>1</v>
      </c>
      <c r="D141" t="s">
        <v>152</v>
      </c>
      <c r="E141">
        <v>14</v>
      </c>
      <c r="F141">
        <v>0</v>
      </c>
      <c r="G141">
        <v>0</v>
      </c>
      <c r="H141">
        <f t="shared" si="7"/>
        <v>0</v>
      </c>
      <c r="K141">
        <v>5500104.9588000001</v>
      </c>
      <c r="L141" s="152">
        <v>5500105</v>
      </c>
      <c r="M141">
        <f t="shared" si="8"/>
        <v>-4.1199999861419201E-2</v>
      </c>
    </row>
    <row r="142" spans="1:13" x14ac:dyDescent="0.2">
      <c r="A142" t="s">
        <v>153</v>
      </c>
      <c r="B142">
        <f t="shared" si="6"/>
        <v>1</v>
      </c>
      <c r="D142" t="s">
        <v>153</v>
      </c>
      <c r="E142">
        <v>3</v>
      </c>
      <c r="F142">
        <v>0</v>
      </c>
      <c r="G142">
        <v>0</v>
      </c>
      <c r="H142">
        <f t="shared" si="7"/>
        <v>0</v>
      </c>
      <c r="K142">
        <v>7534704</v>
      </c>
      <c r="L142" s="152">
        <v>7534704</v>
      </c>
      <c r="M142">
        <f t="shared" si="8"/>
        <v>0</v>
      </c>
    </row>
    <row r="143" spans="1:13" x14ac:dyDescent="0.2">
      <c r="A143" t="s">
        <v>154</v>
      </c>
      <c r="B143">
        <f t="shared" si="6"/>
        <v>1</v>
      </c>
      <c r="D143" t="s">
        <v>154</v>
      </c>
      <c r="E143">
        <v>16</v>
      </c>
      <c r="F143">
        <v>0</v>
      </c>
      <c r="G143">
        <v>0</v>
      </c>
      <c r="H143">
        <f t="shared" si="7"/>
        <v>0</v>
      </c>
      <c r="K143">
        <v>9435836.6133999992</v>
      </c>
      <c r="L143" s="152">
        <v>9435837</v>
      </c>
      <c r="M143">
        <f t="shared" si="8"/>
        <v>-0.38660000078380108</v>
      </c>
    </row>
    <row r="144" spans="1:13" x14ac:dyDescent="0.2">
      <c r="A144" t="s">
        <v>155</v>
      </c>
      <c r="B144">
        <f t="shared" si="6"/>
        <v>1</v>
      </c>
      <c r="D144" t="s">
        <v>155</v>
      </c>
      <c r="E144">
        <v>373</v>
      </c>
      <c r="F144">
        <v>0</v>
      </c>
      <c r="G144">
        <v>0</v>
      </c>
      <c r="H144">
        <f t="shared" si="7"/>
        <v>0</v>
      </c>
      <c r="K144">
        <v>25859123.438999999</v>
      </c>
      <c r="L144" s="152">
        <v>25859123</v>
      </c>
      <c r="M144">
        <f t="shared" si="8"/>
        <v>0.43899999931454659</v>
      </c>
    </row>
    <row r="145" spans="1:13" x14ac:dyDescent="0.2">
      <c r="A145" t="s">
        <v>156</v>
      </c>
      <c r="B145">
        <f t="shared" si="6"/>
        <v>1</v>
      </c>
      <c r="D145" t="s">
        <v>156</v>
      </c>
      <c r="E145">
        <v>191</v>
      </c>
      <c r="F145">
        <v>0</v>
      </c>
      <c r="G145">
        <v>0</v>
      </c>
      <c r="H145">
        <f t="shared" si="7"/>
        <v>0</v>
      </c>
      <c r="K145">
        <v>2540837.9161999999</v>
      </c>
      <c r="L145" s="152">
        <v>2540838</v>
      </c>
      <c r="M145">
        <f t="shared" si="8"/>
        <v>-8.3800000138580799E-2</v>
      </c>
    </row>
    <row r="146" spans="1:13" x14ac:dyDescent="0.2">
      <c r="A146" t="s">
        <v>157</v>
      </c>
      <c r="B146">
        <f t="shared" si="6"/>
        <v>1</v>
      </c>
      <c r="D146" t="s">
        <v>157</v>
      </c>
      <c r="E146">
        <v>0</v>
      </c>
      <c r="F146">
        <v>0</v>
      </c>
      <c r="G146">
        <v>0</v>
      </c>
      <c r="H146">
        <f t="shared" si="7"/>
        <v>0</v>
      </c>
      <c r="K146">
        <v>218095.25779999999</v>
      </c>
      <c r="L146" s="152">
        <v>218095</v>
      </c>
      <c r="M146">
        <f t="shared" si="8"/>
        <v>0.25779999999213032</v>
      </c>
    </row>
    <row r="147" spans="1:13" x14ac:dyDescent="0.2">
      <c r="A147" t="s">
        <v>158</v>
      </c>
      <c r="B147">
        <f t="shared" si="6"/>
        <v>1</v>
      </c>
      <c r="D147" t="s">
        <v>158</v>
      </c>
      <c r="E147">
        <v>110</v>
      </c>
      <c r="F147">
        <v>0</v>
      </c>
      <c r="G147">
        <v>0</v>
      </c>
      <c r="H147">
        <f t="shared" si="7"/>
        <v>0</v>
      </c>
      <c r="K147">
        <v>19782980.563000001</v>
      </c>
      <c r="L147" s="152">
        <v>19782980</v>
      </c>
      <c r="M147">
        <f t="shared" si="8"/>
        <v>0.56300000101327896</v>
      </c>
    </row>
    <row r="148" spans="1:13" x14ac:dyDescent="0.2">
      <c r="A148" t="s">
        <v>159</v>
      </c>
      <c r="B148">
        <f t="shared" si="6"/>
        <v>1</v>
      </c>
      <c r="D148" t="s">
        <v>159</v>
      </c>
      <c r="E148">
        <v>0</v>
      </c>
      <c r="F148">
        <v>0</v>
      </c>
      <c r="G148">
        <v>0</v>
      </c>
      <c r="H148">
        <f t="shared" si="7"/>
        <v>0</v>
      </c>
      <c r="K148">
        <v>2206588.5994000002</v>
      </c>
      <c r="L148" s="152">
        <v>2206589</v>
      </c>
      <c r="M148">
        <f t="shared" si="8"/>
        <v>-0.40059999981895089</v>
      </c>
    </row>
    <row r="149" spans="1:13" x14ac:dyDescent="0.2">
      <c r="A149" t="s">
        <v>160</v>
      </c>
      <c r="B149">
        <f t="shared" si="6"/>
        <v>1</v>
      </c>
      <c r="D149" t="s">
        <v>160</v>
      </c>
      <c r="E149">
        <v>328</v>
      </c>
      <c r="F149">
        <v>0</v>
      </c>
      <c r="G149">
        <v>0</v>
      </c>
      <c r="H149">
        <f t="shared" si="7"/>
        <v>0</v>
      </c>
      <c r="K149">
        <v>20921912.630800001</v>
      </c>
      <c r="L149" s="152">
        <v>20921913</v>
      </c>
      <c r="M149">
        <f t="shared" si="8"/>
        <v>-0.36919999867677689</v>
      </c>
    </row>
    <row r="150" spans="1:13" x14ac:dyDescent="0.2">
      <c r="A150" t="s">
        <v>161</v>
      </c>
      <c r="B150">
        <f t="shared" si="6"/>
        <v>1</v>
      </c>
      <c r="D150" t="s">
        <v>161</v>
      </c>
      <c r="E150">
        <v>0</v>
      </c>
      <c r="F150">
        <v>140</v>
      </c>
      <c r="G150">
        <v>13</v>
      </c>
      <c r="H150">
        <f t="shared" si="7"/>
        <v>140</v>
      </c>
      <c r="K150">
        <v>32316.661</v>
      </c>
      <c r="L150" s="152">
        <v>32317</v>
      </c>
      <c r="M150">
        <f t="shared" si="8"/>
        <v>-0.33899999999994179</v>
      </c>
    </row>
    <row r="151" spans="1:13" x14ac:dyDescent="0.2">
      <c r="A151" t="s">
        <v>162</v>
      </c>
      <c r="B151">
        <f t="shared" si="6"/>
        <v>1</v>
      </c>
      <c r="D151" t="s">
        <v>162</v>
      </c>
      <c r="E151">
        <v>4</v>
      </c>
      <c r="F151">
        <v>265</v>
      </c>
      <c r="G151">
        <v>13</v>
      </c>
      <c r="H151">
        <f t="shared" si="7"/>
        <v>265</v>
      </c>
      <c r="K151">
        <v>51990.111199999999</v>
      </c>
      <c r="L151" s="152">
        <v>51990</v>
      </c>
      <c r="M151">
        <f t="shared" si="8"/>
        <v>0.11119999999937136</v>
      </c>
    </row>
    <row r="152" spans="1:13" x14ac:dyDescent="0.2">
      <c r="A152" t="s">
        <v>163</v>
      </c>
      <c r="B152">
        <f t="shared" si="6"/>
        <v>1</v>
      </c>
      <c r="D152" t="s">
        <v>163</v>
      </c>
      <c r="E152">
        <v>2810</v>
      </c>
      <c r="F152">
        <v>0</v>
      </c>
      <c r="G152">
        <v>0</v>
      </c>
      <c r="H152">
        <f t="shared" si="7"/>
        <v>0</v>
      </c>
      <c r="K152">
        <v>143020652.55840001</v>
      </c>
      <c r="L152" s="152">
        <v>143020652</v>
      </c>
      <c r="M152">
        <f t="shared" si="8"/>
        <v>0.55840000510215759</v>
      </c>
    </row>
    <row r="153" spans="1:13" x14ac:dyDescent="0.2">
      <c r="A153" t="s">
        <v>164</v>
      </c>
      <c r="B153">
        <f t="shared" si="6"/>
        <v>1</v>
      </c>
      <c r="D153" t="s">
        <v>164</v>
      </c>
      <c r="E153">
        <v>72</v>
      </c>
      <c r="F153">
        <v>0</v>
      </c>
      <c r="G153">
        <v>0</v>
      </c>
      <c r="H153">
        <f t="shared" si="7"/>
        <v>0</v>
      </c>
      <c r="K153">
        <v>324643.72240000003</v>
      </c>
      <c r="L153" s="152">
        <v>324644</v>
      </c>
      <c r="M153">
        <f t="shared" si="8"/>
        <v>-0.27759999997215346</v>
      </c>
    </row>
    <row r="154" spans="1:13" x14ac:dyDescent="0.2">
      <c r="A154" t="s">
        <v>165</v>
      </c>
      <c r="B154">
        <f t="shared" si="6"/>
        <v>1</v>
      </c>
      <c r="D154" t="s">
        <v>165</v>
      </c>
      <c r="E154">
        <v>121</v>
      </c>
      <c r="F154">
        <v>0</v>
      </c>
      <c r="G154">
        <v>0</v>
      </c>
      <c r="H154">
        <f t="shared" si="7"/>
        <v>0</v>
      </c>
      <c r="K154">
        <v>11748393.824999999</v>
      </c>
      <c r="L154" s="152">
        <v>11748394</v>
      </c>
      <c r="M154">
        <f t="shared" si="8"/>
        <v>-0.17500000074505806</v>
      </c>
    </row>
    <row r="155" spans="1:13" x14ac:dyDescent="0.2">
      <c r="A155" t="s">
        <v>166</v>
      </c>
      <c r="B155">
        <f t="shared" si="6"/>
        <v>1</v>
      </c>
      <c r="D155" t="s">
        <v>166</v>
      </c>
      <c r="E155">
        <v>81</v>
      </c>
      <c r="F155">
        <v>0</v>
      </c>
      <c r="G155">
        <v>0</v>
      </c>
      <c r="H155">
        <f t="shared" si="7"/>
        <v>0</v>
      </c>
      <c r="K155">
        <v>73038.7546</v>
      </c>
      <c r="L155" s="152">
        <v>73038</v>
      </c>
      <c r="M155">
        <f t="shared" si="8"/>
        <v>0.75460000000020955</v>
      </c>
    </row>
    <row r="156" spans="1:13" x14ac:dyDescent="0.2">
      <c r="A156" t="s">
        <v>167</v>
      </c>
      <c r="B156">
        <f t="shared" si="6"/>
        <v>1</v>
      </c>
      <c r="D156" t="s">
        <v>167</v>
      </c>
      <c r="E156">
        <v>600</v>
      </c>
      <c r="F156">
        <v>0</v>
      </c>
      <c r="G156">
        <v>0</v>
      </c>
      <c r="H156">
        <f t="shared" si="7"/>
        <v>0</v>
      </c>
      <c r="K156">
        <v>21486316.828199998</v>
      </c>
      <c r="L156" s="152">
        <v>21486317</v>
      </c>
      <c r="M156">
        <f t="shared" si="8"/>
        <v>-0.17180000245571136</v>
      </c>
    </row>
    <row r="157" spans="1:13" x14ac:dyDescent="0.2">
      <c r="A157" t="s">
        <v>168</v>
      </c>
      <c r="B157">
        <f t="shared" si="6"/>
        <v>1</v>
      </c>
      <c r="D157" t="s">
        <v>168</v>
      </c>
      <c r="E157">
        <v>913</v>
      </c>
      <c r="F157">
        <v>0</v>
      </c>
      <c r="G157">
        <v>0</v>
      </c>
      <c r="H157">
        <f t="shared" si="7"/>
        <v>0</v>
      </c>
      <c r="K157">
        <v>47400375.454599999</v>
      </c>
      <c r="L157" s="152">
        <v>47400376</v>
      </c>
      <c r="M157">
        <f t="shared" si="8"/>
        <v>-0.54540000110864639</v>
      </c>
    </row>
    <row r="158" spans="1:13" x14ac:dyDescent="0.2">
      <c r="A158" t="s">
        <v>169</v>
      </c>
      <c r="B158">
        <f t="shared" si="6"/>
        <v>1</v>
      </c>
      <c r="D158" t="s">
        <v>169</v>
      </c>
      <c r="E158">
        <v>14</v>
      </c>
      <c r="F158">
        <v>0</v>
      </c>
      <c r="G158">
        <v>0</v>
      </c>
      <c r="H158">
        <f t="shared" si="7"/>
        <v>0</v>
      </c>
      <c r="K158">
        <v>263888.74040000001</v>
      </c>
      <c r="L158" s="152">
        <v>263889</v>
      </c>
      <c r="M158">
        <f t="shared" si="8"/>
        <v>-0.25959999999031425</v>
      </c>
    </row>
    <row r="159" spans="1:13" x14ac:dyDescent="0.2">
      <c r="A159" t="s">
        <v>170</v>
      </c>
      <c r="B159">
        <f t="shared" si="6"/>
        <v>1</v>
      </c>
      <c r="D159" t="s">
        <v>170</v>
      </c>
      <c r="E159">
        <v>58</v>
      </c>
      <c r="F159">
        <v>0</v>
      </c>
      <c r="G159">
        <v>0</v>
      </c>
      <c r="H159">
        <f t="shared" si="7"/>
        <v>0</v>
      </c>
      <c r="K159">
        <v>491177.85800000001</v>
      </c>
      <c r="L159" s="152">
        <v>491178</v>
      </c>
      <c r="M159">
        <f t="shared" si="8"/>
        <v>-0.14199999999254942</v>
      </c>
    </row>
    <row r="160" spans="1:13" x14ac:dyDescent="0.2">
      <c r="A160" t="s">
        <v>171</v>
      </c>
      <c r="B160">
        <f t="shared" si="6"/>
        <v>1</v>
      </c>
      <c r="D160" t="s">
        <v>171</v>
      </c>
      <c r="E160">
        <v>331</v>
      </c>
      <c r="F160">
        <v>0</v>
      </c>
      <c r="G160">
        <v>0</v>
      </c>
      <c r="H160">
        <f t="shared" si="7"/>
        <v>0</v>
      </c>
      <c r="K160">
        <v>10274870.209999999</v>
      </c>
      <c r="L160" s="152">
        <v>10274870</v>
      </c>
      <c r="M160">
        <f t="shared" si="8"/>
        <v>0.20999999903142452</v>
      </c>
    </row>
    <row r="161" spans="1:13" x14ac:dyDescent="0.2">
      <c r="A161" t="s">
        <v>172</v>
      </c>
      <c r="B161">
        <f t="shared" si="6"/>
        <v>1</v>
      </c>
      <c r="D161" t="s">
        <v>172</v>
      </c>
      <c r="E161">
        <v>4</v>
      </c>
      <c r="F161">
        <v>199</v>
      </c>
      <c r="G161">
        <v>4</v>
      </c>
      <c r="H161">
        <f t="shared" si="7"/>
        <v>199</v>
      </c>
      <c r="K161">
        <v>3495272.6280999999</v>
      </c>
      <c r="L161" s="152">
        <v>3495273</v>
      </c>
      <c r="M161">
        <f t="shared" si="8"/>
        <v>-0.37190000014379621</v>
      </c>
    </row>
    <row r="162" spans="1:13" x14ac:dyDescent="0.2">
      <c r="A162" t="s">
        <v>173</v>
      </c>
      <c r="B162">
        <f t="shared" si="6"/>
        <v>1</v>
      </c>
      <c r="D162" t="s">
        <v>173</v>
      </c>
      <c r="E162">
        <v>22</v>
      </c>
      <c r="F162">
        <v>0</v>
      </c>
      <c r="G162">
        <v>0</v>
      </c>
      <c r="H162">
        <f t="shared" si="7"/>
        <v>0</v>
      </c>
      <c r="K162">
        <v>462897.44449999998</v>
      </c>
      <c r="L162" s="152">
        <v>462897</v>
      </c>
      <c r="M162">
        <f t="shared" si="8"/>
        <v>0.44449999998323619</v>
      </c>
    </row>
    <row r="163" spans="1:13" x14ac:dyDescent="0.2">
      <c r="A163" t="s">
        <v>174</v>
      </c>
      <c r="B163">
        <f t="shared" si="6"/>
        <v>1</v>
      </c>
      <c r="D163" t="s">
        <v>174</v>
      </c>
      <c r="E163">
        <v>57</v>
      </c>
      <c r="F163">
        <v>0</v>
      </c>
      <c r="G163">
        <v>0</v>
      </c>
      <c r="H163">
        <f t="shared" si="7"/>
        <v>0</v>
      </c>
      <c r="K163">
        <v>8024957</v>
      </c>
      <c r="L163" s="152">
        <v>8024957</v>
      </c>
      <c r="M163">
        <f t="shared" si="8"/>
        <v>0</v>
      </c>
    </row>
    <row r="164" spans="1:13" x14ac:dyDescent="0.2">
      <c r="A164" t="s">
        <v>175</v>
      </c>
      <c r="B164">
        <f t="shared" si="6"/>
        <v>1</v>
      </c>
      <c r="D164" t="s">
        <v>175</v>
      </c>
      <c r="E164">
        <v>929</v>
      </c>
      <c r="F164">
        <v>0</v>
      </c>
      <c r="G164">
        <v>0</v>
      </c>
      <c r="H164">
        <f t="shared" si="7"/>
        <v>0</v>
      </c>
      <c r="K164">
        <v>27999009.786600001</v>
      </c>
      <c r="L164" s="152">
        <v>27999010</v>
      </c>
      <c r="M164">
        <f t="shared" si="8"/>
        <v>-0.21339999884366989</v>
      </c>
    </row>
    <row r="165" spans="1:13" x14ac:dyDescent="0.2">
      <c r="A165" t="s">
        <v>176</v>
      </c>
      <c r="B165">
        <f t="shared" si="6"/>
        <v>1</v>
      </c>
      <c r="D165" t="s">
        <v>176</v>
      </c>
      <c r="E165">
        <v>98</v>
      </c>
      <c r="F165">
        <v>0</v>
      </c>
      <c r="G165">
        <v>0</v>
      </c>
      <c r="H165">
        <f t="shared" si="7"/>
        <v>0</v>
      </c>
      <c r="K165">
        <v>12130392</v>
      </c>
      <c r="L165" s="152">
        <v>12130392</v>
      </c>
      <c r="M165">
        <f t="shared" si="8"/>
        <v>0</v>
      </c>
    </row>
    <row r="166" spans="1:13" x14ac:dyDescent="0.2">
      <c r="A166" t="s">
        <v>177</v>
      </c>
      <c r="B166">
        <f t="shared" si="6"/>
        <v>1</v>
      </c>
      <c r="D166" t="s">
        <v>177</v>
      </c>
      <c r="E166">
        <v>83</v>
      </c>
      <c r="F166">
        <v>0</v>
      </c>
      <c r="G166">
        <v>0</v>
      </c>
      <c r="H166">
        <f t="shared" si="7"/>
        <v>0</v>
      </c>
      <c r="K166">
        <v>5232321.1318000006</v>
      </c>
      <c r="L166" s="152">
        <v>5232321</v>
      </c>
      <c r="M166">
        <f t="shared" si="8"/>
        <v>0.13180000055581331</v>
      </c>
    </row>
    <row r="167" spans="1:13" x14ac:dyDescent="0.2">
      <c r="A167" t="s">
        <v>178</v>
      </c>
      <c r="B167">
        <f t="shared" si="6"/>
        <v>1</v>
      </c>
      <c r="D167" t="s">
        <v>178</v>
      </c>
      <c r="E167">
        <v>64</v>
      </c>
      <c r="F167">
        <v>0</v>
      </c>
      <c r="G167">
        <v>0</v>
      </c>
      <c r="H167">
        <f t="shared" si="7"/>
        <v>0</v>
      </c>
      <c r="K167">
        <v>12589693.7234</v>
      </c>
      <c r="L167" s="152">
        <v>12589694</v>
      </c>
      <c r="M167">
        <f t="shared" si="8"/>
        <v>-0.27659999951720238</v>
      </c>
    </row>
    <row r="168" spans="1:13" x14ac:dyDescent="0.2">
      <c r="A168" t="s">
        <v>179</v>
      </c>
      <c r="B168">
        <f t="shared" si="6"/>
        <v>1</v>
      </c>
      <c r="D168" t="s">
        <v>179</v>
      </c>
      <c r="E168">
        <v>26</v>
      </c>
      <c r="F168">
        <v>680</v>
      </c>
      <c r="G168">
        <v>6</v>
      </c>
      <c r="H168">
        <f t="shared" si="7"/>
        <v>680</v>
      </c>
      <c r="K168">
        <v>508056.32579999999</v>
      </c>
      <c r="L168" s="152">
        <v>508057</v>
      </c>
      <c r="M168">
        <f t="shared" si="8"/>
        <v>-0.67420000000856817</v>
      </c>
    </row>
    <row r="169" spans="1:13" x14ac:dyDescent="0.2">
      <c r="A169" t="s">
        <v>180</v>
      </c>
      <c r="B169">
        <f t="shared" si="6"/>
        <v>1</v>
      </c>
      <c r="D169" t="s">
        <v>180</v>
      </c>
      <c r="E169">
        <v>17</v>
      </c>
      <c r="F169">
        <v>1061</v>
      </c>
      <c r="G169">
        <v>13</v>
      </c>
      <c r="H169">
        <f t="shared" si="7"/>
        <v>1061</v>
      </c>
      <c r="K169">
        <v>1428703.1916</v>
      </c>
      <c r="L169" s="152">
        <v>1428703</v>
      </c>
      <c r="M169">
        <f t="shared" si="8"/>
        <v>0.19160000002011657</v>
      </c>
    </row>
    <row r="170" spans="1:13" x14ac:dyDescent="0.2">
      <c r="A170" t="s">
        <v>181</v>
      </c>
      <c r="B170">
        <f t="shared" si="6"/>
        <v>1</v>
      </c>
      <c r="D170" t="s">
        <v>181</v>
      </c>
      <c r="E170">
        <v>3</v>
      </c>
      <c r="F170">
        <v>0</v>
      </c>
      <c r="G170">
        <v>0</v>
      </c>
      <c r="H170">
        <f t="shared" si="7"/>
        <v>0</v>
      </c>
      <c r="K170">
        <v>5076055.9930999996</v>
      </c>
      <c r="L170" s="152">
        <v>5076056</v>
      </c>
      <c r="M170">
        <f t="shared" si="8"/>
        <v>-6.9000003859400749E-3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59999389629810485"/>
  </sheetPr>
  <dimension ref="A1:BO363"/>
  <sheetViews>
    <sheetView topLeftCell="A27" zoomScale="80" zoomScaleNormal="80" workbookViewId="0">
      <selection activeCell="AJ27" sqref="AJ27"/>
    </sheetView>
  </sheetViews>
  <sheetFormatPr baseColWidth="10" defaultColWidth="8.83203125" defaultRowHeight="14" x14ac:dyDescent="0.15"/>
  <cols>
    <col min="1" max="7" width="9.1640625" style="7" customWidth="1"/>
    <col min="8" max="8" width="8.83203125" style="7"/>
    <col min="9" max="10" width="19.33203125" style="7" customWidth="1"/>
    <col min="11" max="13" width="16.83203125" style="7" customWidth="1"/>
    <col min="14" max="20" width="15.83203125" style="7" customWidth="1"/>
    <col min="21" max="21" width="16.83203125" style="7" customWidth="1"/>
    <col min="22" max="22" width="25.33203125" style="7" customWidth="1"/>
    <col min="23" max="23" width="17.1640625" style="7" customWidth="1"/>
    <col min="24" max="24" width="26.6640625" style="7" customWidth="1"/>
    <col min="25" max="25" width="22.33203125" style="7" customWidth="1"/>
    <col min="26" max="26" width="18.33203125" style="7" customWidth="1"/>
    <col min="27" max="27" width="21.6640625" style="7" customWidth="1"/>
    <col min="28" max="28" width="18" style="7" customWidth="1"/>
    <col min="29" max="31" width="20.33203125" style="7" customWidth="1"/>
    <col min="32" max="32" width="15.33203125" style="7" customWidth="1"/>
    <col min="33" max="33" width="16.33203125" style="7" customWidth="1"/>
    <col min="34" max="34" width="15" style="7" customWidth="1"/>
    <col min="35" max="40" width="19.6640625" style="7" customWidth="1"/>
    <col min="41" max="41" width="23.1640625" style="7" customWidth="1"/>
    <col min="42" max="50" width="17.83203125" style="7" customWidth="1"/>
    <col min="51" max="51" width="20.33203125" style="7" customWidth="1"/>
    <col min="52" max="52" width="36.33203125" style="7" customWidth="1"/>
    <col min="53" max="55" width="17.83203125" style="7" customWidth="1"/>
    <col min="56" max="56" width="17.1640625" style="8" customWidth="1"/>
    <col min="57" max="57" width="8.83203125" style="8"/>
    <col min="58" max="58" width="15.33203125" style="8" customWidth="1"/>
    <col min="59" max="59" width="13.6640625" style="8" customWidth="1"/>
    <col min="60" max="62" width="8.83203125" style="8"/>
    <col min="63" max="67" width="15" style="8" bestFit="1" customWidth="1"/>
    <col min="68" max="16384" width="8.83203125" style="8"/>
  </cols>
  <sheetData>
    <row r="1" spans="1:55" x14ac:dyDescent="0.15">
      <c r="A1" s="8"/>
      <c r="B1" s="249"/>
    </row>
    <row r="2" spans="1:55" x14ac:dyDescent="0.15">
      <c r="A2" s="8"/>
      <c r="B2" s="8"/>
      <c r="C2" s="249"/>
      <c r="D2" s="249"/>
      <c r="E2" s="249"/>
      <c r="F2" s="10" t="s">
        <v>368</v>
      </c>
      <c r="G2" s="250"/>
      <c r="H2" s="251" t="s">
        <v>369</v>
      </c>
      <c r="K2" s="8"/>
      <c r="L2" s="252">
        <v>0.3</v>
      </c>
      <c r="M2" s="8"/>
      <c r="N2" s="252"/>
      <c r="O2" s="252"/>
      <c r="P2" s="252"/>
      <c r="Q2" s="252"/>
      <c r="R2" s="252"/>
      <c r="S2" s="252"/>
      <c r="T2" s="252">
        <v>0.3</v>
      </c>
      <c r="U2" s="253"/>
      <c r="V2" s="10"/>
    </row>
    <row r="3" spans="1:55" x14ac:dyDescent="0.15">
      <c r="A3" s="8"/>
      <c r="B3" s="8"/>
      <c r="C3" s="249"/>
      <c r="D3" s="249"/>
      <c r="E3" s="249"/>
      <c r="F3" s="10" t="s">
        <v>370</v>
      </c>
      <c r="G3" s="250"/>
      <c r="H3" s="251" t="s">
        <v>371</v>
      </c>
      <c r="L3" s="254">
        <v>1.35</v>
      </c>
      <c r="N3" s="254"/>
      <c r="O3" s="254"/>
      <c r="P3" s="254"/>
      <c r="Q3" s="254"/>
      <c r="R3" s="254"/>
      <c r="S3" s="254"/>
      <c r="T3" s="254">
        <v>1.35</v>
      </c>
      <c r="U3" s="253"/>
      <c r="V3" s="10"/>
    </row>
    <row r="4" spans="1:55" x14ac:dyDescent="0.15">
      <c r="A4" s="8"/>
      <c r="B4" s="8"/>
      <c r="C4" s="249"/>
      <c r="D4" s="249"/>
      <c r="E4" s="249"/>
      <c r="F4" s="10" t="s">
        <v>372</v>
      </c>
      <c r="G4" s="250"/>
      <c r="H4" s="251" t="s">
        <v>373</v>
      </c>
      <c r="K4" s="8"/>
      <c r="L4" s="252">
        <v>0.7</v>
      </c>
      <c r="M4" s="8"/>
      <c r="N4" s="252"/>
      <c r="O4" s="252"/>
      <c r="P4" s="252"/>
      <c r="Q4" s="252"/>
      <c r="R4" s="252"/>
      <c r="S4" s="252"/>
      <c r="T4" s="252">
        <v>0.7</v>
      </c>
      <c r="U4" s="253"/>
      <c r="V4" s="10"/>
      <c r="AQ4" s="311" t="s">
        <v>571</v>
      </c>
      <c r="AR4" s="311"/>
    </row>
    <row r="5" spans="1:55" x14ac:dyDescent="0.15">
      <c r="F5" s="10" t="s">
        <v>374</v>
      </c>
      <c r="G5" s="250"/>
      <c r="H5" s="8" t="s">
        <v>375</v>
      </c>
      <c r="I5" s="8"/>
      <c r="J5" s="8"/>
      <c r="K5" s="8"/>
      <c r="L5" s="252">
        <v>0.3</v>
      </c>
      <c r="M5" s="8"/>
      <c r="N5" s="8"/>
      <c r="O5" s="8"/>
      <c r="P5" s="8"/>
      <c r="Q5" s="8"/>
      <c r="R5" s="8"/>
      <c r="S5" s="8"/>
      <c r="T5" s="252">
        <v>0.3</v>
      </c>
      <c r="U5" s="255"/>
      <c r="W5" s="10"/>
      <c r="Z5" s="10"/>
      <c r="AA5" s="10"/>
      <c r="AB5" s="10"/>
      <c r="AC5" s="10"/>
      <c r="AD5" s="10"/>
      <c r="AE5" s="10"/>
      <c r="AQ5" s="312">
        <v>2337000190</v>
      </c>
      <c r="AR5" s="311"/>
    </row>
    <row r="6" spans="1:55" x14ac:dyDescent="0.15">
      <c r="F6" s="10" t="s">
        <v>376</v>
      </c>
      <c r="G6" s="250"/>
      <c r="H6" s="251" t="s">
        <v>377</v>
      </c>
      <c r="L6" s="252">
        <v>0.01</v>
      </c>
      <c r="N6" s="252"/>
      <c r="O6" s="252"/>
      <c r="P6" s="252"/>
      <c r="Q6" s="252"/>
      <c r="R6" s="252"/>
      <c r="S6" s="252"/>
      <c r="T6" s="252">
        <v>0.01</v>
      </c>
      <c r="U6" s="252"/>
      <c r="W6" s="10"/>
      <c r="Z6" s="10"/>
      <c r="AA6" s="10"/>
      <c r="AB6" s="10"/>
      <c r="AC6" s="10"/>
      <c r="AD6" s="10"/>
      <c r="AE6" s="10"/>
      <c r="AQ6" s="311"/>
      <c r="AR6" s="311"/>
    </row>
    <row r="7" spans="1:55" x14ac:dyDescent="0.15">
      <c r="F7" s="10" t="s">
        <v>378</v>
      </c>
      <c r="G7" s="250"/>
      <c r="H7" s="251" t="s">
        <v>379</v>
      </c>
      <c r="L7" s="252">
        <v>0.1</v>
      </c>
      <c r="N7" s="252"/>
      <c r="O7" s="252"/>
      <c r="P7" s="252"/>
      <c r="Q7" s="252"/>
      <c r="R7" s="252"/>
      <c r="S7" s="252"/>
      <c r="T7" s="252">
        <v>0.1</v>
      </c>
      <c r="U7" s="252"/>
      <c r="W7" s="10"/>
      <c r="Z7" s="10"/>
      <c r="AA7" s="10"/>
      <c r="AB7" s="10"/>
      <c r="AC7" s="10"/>
      <c r="AD7" s="10"/>
      <c r="AE7" s="10"/>
      <c r="AJ7" s="313"/>
      <c r="AK7" s="313"/>
      <c r="AL7" s="313"/>
      <c r="AM7" s="313" t="s">
        <v>572</v>
      </c>
      <c r="AN7" s="314" t="s">
        <v>573</v>
      </c>
      <c r="AQ7" s="311"/>
      <c r="AR7" s="311"/>
      <c r="AU7" s="9"/>
    </row>
    <row r="8" spans="1:55" x14ac:dyDescent="0.15">
      <c r="F8" s="10" t="s">
        <v>380</v>
      </c>
      <c r="G8" s="250"/>
      <c r="H8" s="251" t="s">
        <v>381</v>
      </c>
      <c r="K8" s="8"/>
      <c r="L8" s="256">
        <v>11525</v>
      </c>
      <c r="M8" s="8"/>
      <c r="N8" s="256"/>
      <c r="O8" s="256"/>
      <c r="P8" s="256"/>
      <c r="Q8" s="256"/>
      <c r="R8" s="256"/>
      <c r="S8" s="256"/>
      <c r="T8" s="256">
        <v>11525</v>
      </c>
      <c r="W8" s="10"/>
      <c r="Z8" s="10"/>
      <c r="AA8" s="10"/>
      <c r="AB8" s="10"/>
      <c r="AC8" s="10"/>
      <c r="AD8" s="10"/>
      <c r="AE8" s="10"/>
      <c r="AJ8" s="313"/>
      <c r="AK8" s="313"/>
      <c r="AL8" s="313" t="s">
        <v>574</v>
      </c>
      <c r="AM8" s="313" t="s">
        <v>575</v>
      </c>
      <c r="AN8" s="314" t="s">
        <v>576</v>
      </c>
      <c r="AQ8" s="311" t="s">
        <v>577</v>
      </c>
      <c r="AR8" s="311"/>
    </row>
    <row r="9" spans="1:55" x14ac:dyDescent="0.15">
      <c r="F9" s="10" t="s">
        <v>382</v>
      </c>
      <c r="G9" s="250"/>
      <c r="H9" s="7" t="s">
        <v>383</v>
      </c>
      <c r="L9" s="252">
        <v>0.1066</v>
      </c>
      <c r="T9" s="252"/>
      <c r="U9" s="252"/>
      <c r="V9" s="258"/>
      <c r="W9" s="10"/>
      <c r="Z9" s="10"/>
      <c r="AA9" s="10"/>
      <c r="AB9" s="10"/>
      <c r="AC9" s="10"/>
      <c r="AD9" s="10"/>
      <c r="AE9" s="10"/>
      <c r="AJ9" s="315" t="s">
        <v>429</v>
      </c>
      <c r="AK9" s="315" t="s">
        <v>578</v>
      </c>
      <c r="AL9" s="315" t="s">
        <v>579</v>
      </c>
      <c r="AM9" s="315" t="s">
        <v>580</v>
      </c>
      <c r="AN9" s="314" t="s">
        <v>581</v>
      </c>
      <c r="AO9" s="10"/>
      <c r="AQ9" s="316">
        <f>AQ17-AQ5</f>
        <v>23103651</v>
      </c>
      <c r="AR9" s="311"/>
    </row>
    <row r="10" spans="1:55" x14ac:dyDescent="0.15">
      <c r="F10" s="259" t="s">
        <v>384</v>
      </c>
      <c r="G10" s="260"/>
      <c r="H10" s="7" t="s">
        <v>385</v>
      </c>
      <c r="I10" s="8"/>
      <c r="J10" s="8"/>
      <c r="K10" s="8"/>
      <c r="L10" s="261">
        <v>8.3299999999999999E-2</v>
      </c>
      <c r="M10" s="8"/>
      <c r="N10" s="8"/>
      <c r="O10" s="8"/>
      <c r="P10" s="8"/>
      <c r="Q10" s="8"/>
      <c r="R10" s="8"/>
      <c r="S10" s="8"/>
      <c r="T10" s="252"/>
      <c r="U10" s="252"/>
      <c r="V10" s="258"/>
      <c r="W10" s="10"/>
      <c r="Z10" s="10"/>
      <c r="AA10" s="10"/>
      <c r="AB10" s="10"/>
      <c r="AC10" s="10"/>
      <c r="AD10" s="10"/>
      <c r="AE10" s="10"/>
      <c r="AJ10" s="315" t="s">
        <v>582</v>
      </c>
      <c r="AK10" s="315" t="s">
        <v>583</v>
      </c>
      <c r="AL10" s="315" t="s">
        <v>584</v>
      </c>
      <c r="AM10" s="315"/>
      <c r="AN10" s="314" t="s">
        <v>585</v>
      </c>
      <c r="AO10" s="10"/>
    </row>
    <row r="11" spans="1:55" x14ac:dyDescent="0.15">
      <c r="F11" s="260"/>
      <c r="G11" s="260"/>
      <c r="I11" s="8"/>
      <c r="J11" s="8"/>
      <c r="K11" s="8"/>
      <c r="L11" s="8"/>
      <c r="M11" s="8"/>
      <c r="N11" s="8"/>
      <c r="O11" s="8"/>
      <c r="P11" s="8"/>
      <c r="Q11" s="8"/>
      <c r="R11" s="8"/>
      <c r="S11" s="8"/>
      <c r="T11" s="252"/>
      <c r="U11" s="252"/>
      <c r="V11" s="258"/>
      <c r="W11" s="10"/>
      <c r="Z11" s="10"/>
      <c r="AA11" s="10"/>
      <c r="AB11" s="10"/>
      <c r="AC11" s="10"/>
      <c r="AD11" s="10"/>
      <c r="AE11" s="10"/>
      <c r="AJ11" s="315" t="s">
        <v>586</v>
      </c>
      <c r="AK11" s="315" t="s">
        <v>494</v>
      </c>
      <c r="AL11" s="315" t="s">
        <v>587</v>
      </c>
      <c r="AM11" s="315"/>
      <c r="AN11" s="315"/>
      <c r="AO11" s="10"/>
      <c r="AZ11" s="9"/>
    </row>
    <row r="12" spans="1:55" hidden="1" x14ac:dyDescent="0.15">
      <c r="F12" s="250" t="s">
        <v>386</v>
      </c>
      <c r="G12" s="250"/>
      <c r="H12" s="7" t="s">
        <v>387</v>
      </c>
      <c r="T12" s="252">
        <v>1.7999999999999999E-2</v>
      </c>
      <c r="W12" s="10"/>
      <c r="Z12" s="10"/>
      <c r="AA12" s="10"/>
      <c r="AB12" s="10"/>
      <c r="AC12" s="10"/>
      <c r="AD12" s="10"/>
      <c r="AE12" s="10"/>
      <c r="AJ12" s="317" t="s">
        <v>583</v>
      </c>
      <c r="AK12" s="317" t="s">
        <v>588</v>
      </c>
      <c r="AL12" s="317" t="s">
        <v>589</v>
      </c>
      <c r="AM12" s="317"/>
      <c r="AN12" s="317"/>
      <c r="AO12" s="317"/>
    </row>
    <row r="13" spans="1:55" hidden="1" x14ac:dyDescent="0.15">
      <c r="F13" s="260" t="s">
        <v>388</v>
      </c>
      <c r="G13" s="260"/>
      <c r="H13" s="7" t="s">
        <v>389</v>
      </c>
      <c r="I13" s="8"/>
      <c r="J13" s="8"/>
      <c r="K13" s="8"/>
      <c r="L13" s="8"/>
      <c r="M13" s="8"/>
      <c r="N13" s="8"/>
      <c r="O13" s="8"/>
      <c r="P13" s="8"/>
      <c r="Q13" s="8"/>
      <c r="R13" s="8"/>
      <c r="S13" s="8"/>
      <c r="T13" s="252">
        <v>0.14399999999999999</v>
      </c>
      <c r="W13" s="10"/>
      <c r="Z13" s="10"/>
      <c r="AA13" s="10"/>
      <c r="AB13" s="10"/>
      <c r="AC13" s="10"/>
      <c r="AD13" s="10"/>
      <c r="AE13" s="10"/>
      <c r="AJ13" s="317" t="s">
        <v>588</v>
      </c>
      <c r="AK13" s="317"/>
      <c r="AL13" s="317"/>
      <c r="AM13" s="317"/>
      <c r="AN13" s="317"/>
      <c r="AO13" s="317"/>
    </row>
    <row r="14" spans="1:55" hidden="1" x14ac:dyDescent="0.15">
      <c r="F14" s="260" t="s">
        <v>390</v>
      </c>
      <c r="G14" s="260"/>
      <c r="H14" s="7" t="s">
        <v>391</v>
      </c>
      <c r="I14" s="8"/>
      <c r="J14" s="8"/>
      <c r="K14" s="8"/>
      <c r="L14" s="8"/>
      <c r="M14" s="8"/>
      <c r="N14" s="8"/>
      <c r="O14" s="8"/>
      <c r="P14" s="8"/>
      <c r="Q14" s="8"/>
      <c r="R14" s="8"/>
      <c r="S14" s="8"/>
      <c r="T14" s="252">
        <v>0.216</v>
      </c>
      <c r="W14" s="10"/>
      <c r="Z14" s="10"/>
      <c r="AA14" s="10"/>
      <c r="AB14" s="10"/>
      <c r="AC14" s="10"/>
      <c r="AD14" s="10"/>
      <c r="AE14" s="10"/>
      <c r="AJ14" s="313"/>
      <c r="AK14" s="313"/>
      <c r="AL14" s="313"/>
      <c r="AM14" s="313"/>
      <c r="AN14" s="313"/>
      <c r="AO14" s="313"/>
    </row>
    <row r="15" spans="1:55" x14ac:dyDescent="0.15">
      <c r="F15" s="260"/>
      <c r="G15" s="260"/>
      <c r="I15" s="8"/>
      <c r="J15" s="8"/>
      <c r="K15" s="8"/>
      <c r="L15" s="8"/>
      <c r="M15" s="8"/>
      <c r="N15" s="8"/>
      <c r="O15" s="8"/>
      <c r="P15" s="8"/>
      <c r="Q15" s="8"/>
      <c r="R15" s="8"/>
      <c r="S15" s="8"/>
      <c r="T15" s="252"/>
      <c r="W15" s="10"/>
      <c r="Z15" s="10"/>
      <c r="AA15" s="10"/>
      <c r="AB15" s="10"/>
      <c r="AC15" s="10"/>
      <c r="AD15" s="10"/>
      <c r="AE15" s="10"/>
      <c r="AJ15" s="317" t="s">
        <v>583</v>
      </c>
      <c r="AK15" s="317" t="s">
        <v>588</v>
      </c>
      <c r="AL15" s="318" t="s">
        <v>590</v>
      </c>
      <c r="AM15" s="317"/>
      <c r="AN15" s="317"/>
    </row>
    <row r="16" spans="1:55" x14ac:dyDescent="0.15">
      <c r="H16" s="262"/>
      <c r="K16" s="263"/>
      <c r="L16" s="263"/>
      <c r="M16" s="263"/>
      <c r="N16" s="254"/>
      <c r="O16" s="254"/>
      <c r="P16" s="254"/>
      <c r="Q16" s="254"/>
      <c r="R16" s="254"/>
      <c r="S16" s="254"/>
      <c r="T16" s="254"/>
      <c r="U16" s="254"/>
      <c r="V16" s="10"/>
      <c r="W16" s="9"/>
      <c r="X16" s="10"/>
      <c r="Y16" s="264"/>
      <c r="Z16" s="10"/>
      <c r="AA16" s="10"/>
      <c r="AB16" s="10"/>
      <c r="AC16" s="265"/>
      <c r="AD16" s="265"/>
      <c r="AE16" s="265"/>
      <c r="AF16" s="9"/>
      <c r="AI16" s="9"/>
      <c r="AJ16" s="317" t="s">
        <v>588</v>
      </c>
      <c r="AK16" s="317"/>
      <c r="AL16" s="317"/>
      <c r="AM16" s="317"/>
      <c r="AN16" s="317"/>
      <c r="AO16" s="9"/>
      <c r="AP16" s="9"/>
      <c r="AQ16" s="9"/>
      <c r="AR16" s="9"/>
      <c r="AS16" s="9"/>
      <c r="AT16" s="9"/>
      <c r="AU16" s="9"/>
      <c r="AV16" s="9"/>
      <c r="AW16" s="9"/>
      <c r="AX16" s="9"/>
      <c r="AY16" s="9"/>
      <c r="AZ16" s="9"/>
      <c r="BA16" s="9"/>
      <c r="BB16" s="266"/>
      <c r="BC16" s="9"/>
    </row>
    <row r="17" spans="1:67" x14ac:dyDescent="0.15">
      <c r="C17" s="9">
        <f>SUM(C27:C195)</f>
        <v>33</v>
      </c>
      <c r="D17" s="9">
        <f>SUM(D27:D195)</f>
        <v>20</v>
      </c>
      <c r="E17" s="9">
        <f>SUM(E27:E195)</f>
        <v>10</v>
      </c>
      <c r="I17" s="267" t="s">
        <v>392</v>
      </c>
      <c r="J17" s="9"/>
      <c r="K17" s="254">
        <f t="shared" ref="K17:W17" si="0">SUM(K27:K195)</f>
        <v>485403.62000000005</v>
      </c>
      <c r="L17" s="254">
        <f>SUM(L27:L195)</f>
        <v>0</v>
      </c>
      <c r="M17" s="254">
        <f t="shared" si="0"/>
        <v>0</v>
      </c>
      <c r="N17" s="9">
        <f>SUM(N27:N195)</f>
        <v>203961</v>
      </c>
      <c r="O17" s="9"/>
      <c r="P17" s="9"/>
      <c r="Q17" s="9"/>
      <c r="R17" s="9">
        <f t="shared" si="0"/>
        <v>2739.9816000000001</v>
      </c>
      <c r="S17" s="9">
        <f t="shared" si="0"/>
        <v>41203</v>
      </c>
      <c r="T17" s="254">
        <f t="shared" si="0"/>
        <v>61188.299999999974</v>
      </c>
      <c r="U17" s="254">
        <f t="shared" si="0"/>
        <v>559632.65159999975</v>
      </c>
      <c r="V17" s="254">
        <f t="shared" si="0"/>
        <v>560940019828.7002</v>
      </c>
      <c r="W17" s="9">
        <f t="shared" si="0"/>
        <v>3569637</v>
      </c>
      <c r="X17" s="264">
        <f>ROUND(V17/W17,2)</f>
        <v>157142.03</v>
      </c>
      <c r="Y17" s="17"/>
      <c r="Z17" s="9">
        <f>SUM(Z27:Z195)</f>
        <v>15510635</v>
      </c>
      <c r="AA17" s="9"/>
      <c r="AB17" s="268">
        <f>SUM(AB27:AB195)</f>
        <v>24.278716000000003</v>
      </c>
      <c r="AC17" s="268">
        <f>SUM(AC27:AC195)</f>
        <v>42.490847000000009</v>
      </c>
      <c r="AD17" s="268"/>
      <c r="AE17" s="268"/>
      <c r="AF17" s="9">
        <f>SUM(AF27:AF195)</f>
        <v>22636</v>
      </c>
      <c r="AI17" s="9">
        <f>SUM(AI27:AI195)</f>
        <v>23720700</v>
      </c>
      <c r="AJ17" s="9"/>
      <c r="AK17" s="9"/>
      <c r="AL17" s="9"/>
      <c r="AM17" s="9">
        <f>SUM(AM27:AM195)</f>
        <v>1465000</v>
      </c>
      <c r="AN17" s="9">
        <f>SUM(AN27:AN195)</f>
        <v>25185700</v>
      </c>
      <c r="AO17" s="9">
        <f>SUM(AO27:AO195)</f>
        <v>2318162634</v>
      </c>
      <c r="AP17" s="9">
        <f>SUM(AP27:AP195)</f>
        <v>2343348334</v>
      </c>
      <c r="AQ17" s="319">
        <f>SUM(AQ27:AQ195)</f>
        <v>2360103841</v>
      </c>
      <c r="AR17" s="9">
        <f t="shared" ref="AR17:AS17" si="1">SUM(AR27:AR195)</f>
        <v>2017587098</v>
      </c>
      <c r="AS17" s="9">
        <f t="shared" si="1"/>
        <v>529791562</v>
      </c>
      <c r="AT17" s="9"/>
      <c r="AU17" s="9">
        <f>SUM(AU27:AU195)</f>
        <v>2093587133</v>
      </c>
      <c r="AV17" s="9">
        <f t="shared" ref="AV17:AX17" si="2">SUM(AV27:AV195)</f>
        <v>54098827.211300001</v>
      </c>
      <c r="AW17" s="9">
        <f t="shared" si="2"/>
        <v>2139188097.1334</v>
      </c>
      <c r="AX17" s="320">
        <f t="shared" si="2"/>
        <v>2139188097.1334</v>
      </c>
      <c r="AY17" s="9">
        <f>AX17-AU17</f>
        <v>45600964.133399963</v>
      </c>
      <c r="AZ17" s="321" t="s">
        <v>591</v>
      </c>
      <c r="BA17" s="9" t="s">
        <v>592</v>
      </c>
      <c r="BB17" s="9"/>
      <c r="BC17" s="9"/>
      <c r="BD17" s="9"/>
      <c r="BF17" s="9"/>
      <c r="BG17" s="9"/>
      <c r="BK17" s="9"/>
      <c r="BL17" s="9"/>
      <c r="BM17" s="9"/>
      <c r="BN17" s="9"/>
      <c r="BO17" s="9"/>
    </row>
    <row r="18" spans="1:67" x14ac:dyDescent="0.15">
      <c r="I18" s="9"/>
      <c r="J18" s="9"/>
      <c r="K18" s="10" t="s">
        <v>393</v>
      </c>
      <c r="L18" s="10"/>
      <c r="M18" s="10"/>
      <c r="N18" s="269" t="s">
        <v>394</v>
      </c>
      <c r="O18" s="269"/>
      <c r="P18" s="269"/>
      <c r="Q18" s="269"/>
      <c r="R18" s="269"/>
      <c r="S18" s="269"/>
      <c r="T18" s="270" t="s">
        <v>395</v>
      </c>
      <c r="U18" s="270" t="s">
        <v>396</v>
      </c>
      <c r="V18" s="270" t="s">
        <v>397</v>
      </c>
      <c r="W18" s="270" t="s">
        <v>398</v>
      </c>
      <c r="X18" s="270" t="s">
        <v>399</v>
      </c>
      <c r="Y18" s="270" t="s">
        <v>400</v>
      </c>
      <c r="Z18" s="269" t="s">
        <v>401</v>
      </c>
      <c r="AA18" s="269" t="s">
        <v>402</v>
      </c>
      <c r="AB18" s="269" t="s">
        <v>403</v>
      </c>
      <c r="AC18" s="269" t="s">
        <v>404</v>
      </c>
      <c r="AD18" s="269" t="s">
        <v>405</v>
      </c>
      <c r="AE18" s="269" t="s">
        <v>406</v>
      </c>
      <c r="AF18" s="270" t="s">
        <v>405</v>
      </c>
      <c r="AG18" s="270" t="s">
        <v>406</v>
      </c>
      <c r="AH18" s="270" t="s">
        <v>407</v>
      </c>
      <c r="AI18" s="270" t="s">
        <v>408</v>
      </c>
      <c r="AJ18" s="270"/>
      <c r="AK18" s="270"/>
      <c r="AL18" s="270"/>
      <c r="AM18" s="270"/>
      <c r="AN18" s="270"/>
      <c r="AO18" s="270" t="s">
        <v>409</v>
      </c>
      <c r="AP18" s="270" t="s">
        <v>410</v>
      </c>
      <c r="AQ18" s="270"/>
      <c r="AR18" s="270"/>
      <c r="AS18" s="270"/>
      <c r="AT18" s="270"/>
      <c r="AU18" s="270" t="s">
        <v>411</v>
      </c>
      <c r="AV18" s="270"/>
      <c r="AW18" s="270"/>
      <c r="AX18" s="326"/>
      <c r="AY18" s="270"/>
      <c r="AZ18" s="327">
        <f>COUNTIF(AY27:AY195,"&lt;0")</f>
        <v>0</v>
      </c>
      <c r="BA18" s="328">
        <f>SUMIF(AY27:AY195,"&lt;0")</f>
        <v>0</v>
      </c>
      <c r="BB18" s="273"/>
      <c r="BC18" s="270"/>
      <c r="BL18" s="274"/>
      <c r="BM18" s="274"/>
      <c r="BN18" s="274"/>
      <c r="BO18" s="274"/>
    </row>
    <row r="19" spans="1:67" x14ac:dyDescent="0.15">
      <c r="I19" s="9"/>
      <c r="J19" s="9"/>
      <c r="U19" s="8"/>
      <c r="X19" s="275" t="s">
        <v>412</v>
      </c>
      <c r="Y19" s="275" t="s">
        <v>413</v>
      </c>
      <c r="Z19" s="275" t="s">
        <v>412</v>
      </c>
      <c r="AA19" s="275" t="s">
        <v>414</v>
      </c>
      <c r="AB19" s="275"/>
      <c r="AC19" s="276" t="s">
        <v>0</v>
      </c>
      <c r="AD19" s="276"/>
      <c r="AE19" s="276"/>
      <c r="AO19" s="275" t="s">
        <v>415</v>
      </c>
      <c r="AP19" s="8"/>
      <c r="AQ19" s="8"/>
      <c r="AR19" s="8"/>
      <c r="AS19" s="8"/>
      <c r="AT19" s="8"/>
      <c r="AU19" s="8"/>
      <c r="AV19" s="8"/>
      <c r="AW19" s="8"/>
      <c r="AX19" s="329"/>
      <c r="AY19" s="17"/>
      <c r="AZ19" s="330" t="s">
        <v>596</v>
      </c>
      <c r="BA19" s="331" t="s">
        <v>597</v>
      </c>
      <c r="BB19" s="17"/>
      <c r="BC19" s="8"/>
    </row>
    <row r="20" spans="1:67" x14ac:dyDescent="0.15">
      <c r="I20" s="9"/>
      <c r="J20" s="9"/>
      <c r="N20" s="276" t="s">
        <v>416</v>
      </c>
      <c r="O20" s="335" t="s">
        <v>600</v>
      </c>
      <c r="P20" s="276"/>
      <c r="Q20" s="276"/>
      <c r="R20" s="336" t="s">
        <v>601</v>
      </c>
      <c r="S20" s="276"/>
      <c r="X20" s="277">
        <f>MEDIAN(X27:X195)</f>
        <v>142612.44</v>
      </c>
      <c r="Y20" s="275" t="s">
        <v>417</v>
      </c>
      <c r="Z20" s="278">
        <f>MEDIAN(Z27:Z195)</f>
        <v>89255</v>
      </c>
      <c r="AA20" s="275" t="s">
        <v>417</v>
      </c>
      <c r="AB20" s="10" t="s">
        <v>418</v>
      </c>
      <c r="AC20" s="10" t="s">
        <v>419</v>
      </c>
      <c r="AD20" s="335" t="s">
        <v>602</v>
      </c>
      <c r="AE20" s="335" t="s">
        <v>603</v>
      </c>
      <c r="AH20" s="10" t="s">
        <v>420</v>
      </c>
      <c r="AO20" s="279" t="s">
        <v>421</v>
      </c>
      <c r="AP20" s="10"/>
      <c r="AQ20" s="10"/>
      <c r="AR20" s="10"/>
      <c r="AS20" s="10"/>
      <c r="AT20" s="10"/>
      <c r="AU20" s="10"/>
      <c r="AV20" s="10"/>
      <c r="AW20" s="10"/>
      <c r="AX20" s="337"/>
      <c r="AY20" s="10"/>
      <c r="AZ20" s="335">
        <f>COUNTIF(AY27:AY195,"&gt;0")</f>
        <v>81</v>
      </c>
      <c r="BA20" s="338">
        <f>SUMIF(AY27:AY195,"&gt;0")</f>
        <v>45600964.133399993</v>
      </c>
      <c r="BB20" s="10"/>
      <c r="BC20" s="10"/>
    </row>
    <row r="21" spans="1:67" x14ac:dyDescent="0.15">
      <c r="K21" s="10"/>
      <c r="L21" s="10"/>
      <c r="M21" s="10"/>
      <c r="N21" s="280" t="s">
        <v>423</v>
      </c>
      <c r="O21" s="280"/>
      <c r="P21" s="280"/>
      <c r="Q21" s="280"/>
      <c r="R21" s="339" t="s">
        <v>604</v>
      </c>
      <c r="S21" s="280"/>
      <c r="T21" s="8"/>
      <c r="V21" s="10" t="s">
        <v>424</v>
      </c>
      <c r="X21" s="10"/>
      <c r="Y21" s="281">
        <f>ROUND(X20*$T$3,2)</f>
        <v>192526.79</v>
      </c>
      <c r="Z21" s="10" t="s">
        <v>425</v>
      </c>
      <c r="AA21" s="281">
        <f>ROUND(Z20*$T$3,2)</f>
        <v>120494.25</v>
      </c>
      <c r="AB21" s="10" t="s">
        <v>426</v>
      </c>
      <c r="AC21" s="10" t="s">
        <v>427</v>
      </c>
      <c r="AD21" s="335" t="s">
        <v>605</v>
      </c>
      <c r="AE21" s="10"/>
      <c r="AF21" s="10" t="s">
        <v>429</v>
      </c>
      <c r="AG21" s="10" t="s">
        <v>430</v>
      </c>
      <c r="AH21" s="10" t="s">
        <v>431</v>
      </c>
      <c r="AI21" s="10" t="s">
        <v>420</v>
      </c>
      <c r="AJ21" s="10"/>
      <c r="AK21" s="10"/>
      <c r="AL21" s="10"/>
      <c r="AM21" s="10"/>
      <c r="AN21" s="10"/>
      <c r="AO21" s="283">
        <f>T8</f>
        <v>11525</v>
      </c>
      <c r="AS21" s="10" t="s">
        <v>432</v>
      </c>
      <c r="AW21" s="270" t="s">
        <v>636</v>
      </c>
      <c r="AX21" s="326"/>
      <c r="AZ21" s="340" t="s">
        <v>607</v>
      </c>
    </row>
    <row r="22" spans="1:67" ht="15" x14ac:dyDescent="0.15">
      <c r="K22" s="276" t="s">
        <v>416</v>
      </c>
      <c r="L22" s="276"/>
      <c r="M22" s="276"/>
      <c r="N22" s="280" t="s">
        <v>435</v>
      </c>
      <c r="O22" s="280"/>
      <c r="P22" s="341" t="s">
        <v>608</v>
      </c>
      <c r="Q22" s="280"/>
      <c r="R22" s="339" t="s">
        <v>609</v>
      </c>
      <c r="S22" s="280"/>
      <c r="T22" s="259" t="s">
        <v>437</v>
      </c>
      <c r="U22" s="342" t="s">
        <v>438</v>
      </c>
      <c r="V22" s="10" t="s">
        <v>439</v>
      </c>
      <c r="X22" s="10" t="s">
        <v>440</v>
      </c>
      <c r="Y22" s="275" t="s">
        <v>441</v>
      </c>
      <c r="Z22" s="10" t="s">
        <v>442</v>
      </c>
      <c r="AA22" s="275" t="s">
        <v>441</v>
      </c>
      <c r="AB22" s="10" t="s">
        <v>443</v>
      </c>
      <c r="AC22" s="10" t="s">
        <v>444</v>
      </c>
      <c r="AD22" s="335" t="s">
        <v>610</v>
      </c>
      <c r="AE22" s="10"/>
      <c r="AF22" s="10" t="s">
        <v>447</v>
      </c>
      <c r="AG22" s="10" t="s">
        <v>420</v>
      </c>
      <c r="AH22" s="10" t="s">
        <v>448</v>
      </c>
      <c r="AI22" s="10" t="s">
        <v>431</v>
      </c>
      <c r="AJ22" s="10"/>
      <c r="AK22" s="10"/>
      <c r="AL22" s="10"/>
      <c r="AM22" s="10"/>
      <c r="AN22" s="10"/>
      <c r="AO22" s="10" t="s">
        <v>449</v>
      </c>
      <c r="AP22" s="10" t="s">
        <v>450</v>
      </c>
      <c r="AQ22" s="343" t="s">
        <v>611</v>
      </c>
      <c r="AR22" s="10"/>
      <c r="AS22" s="276" t="s">
        <v>426</v>
      </c>
      <c r="AT22" s="10" t="s">
        <v>450</v>
      </c>
      <c r="AU22" s="8"/>
      <c r="AV22" s="8"/>
      <c r="AW22" s="269" t="s">
        <v>453</v>
      </c>
      <c r="AX22" s="344"/>
      <c r="AY22" s="17"/>
      <c r="AZ22" s="345" t="s">
        <v>612</v>
      </c>
      <c r="BA22" s="17"/>
      <c r="BB22" s="17"/>
      <c r="BC22" s="8"/>
    </row>
    <row r="23" spans="1:67" x14ac:dyDescent="0.15">
      <c r="A23" s="8"/>
      <c r="B23" s="259"/>
      <c r="C23" s="10"/>
      <c r="D23" s="10" t="s">
        <v>455</v>
      </c>
      <c r="E23" s="10"/>
      <c r="F23" s="10" t="s">
        <v>456</v>
      </c>
      <c r="G23" s="10"/>
      <c r="K23" s="10" t="s">
        <v>457</v>
      </c>
      <c r="L23" s="10"/>
      <c r="M23" s="10"/>
      <c r="N23" s="280" t="s">
        <v>458</v>
      </c>
      <c r="O23" s="280"/>
      <c r="P23" s="341" t="s">
        <v>613</v>
      </c>
      <c r="Q23" s="280" t="s">
        <v>460</v>
      </c>
      <c r="R23" s="280"/>
      <c r="S23" s="280"/>
      <c r="T23" s="10" t="s">
        <v>461</v>
      </c>
      <c r="U23" s="342" t="s">
        <v>429</v>
      </c>
      <c r="V23" s="10" t="s">
        <v>462</v>
      </c>
      <c r="W23" s="10" t="s">
        <v>463</v>
      </c>
      <c r="X23" s="10" t="s">
        <v>464</v>
      </c>
      <c r="Y23" s="10" t="s">
        <v>1</v>
      </c>
      <c r="Z23" s="10" t="s">
        <v>465</v>
      </c>
      <c r="AA23" s="10" t="s">
        <v>2</v>
      </c>
      <c r="AB23" s="269" t="s">
        <v>466</v>
      </c>
      <c r="AC23" s="276" t="s">
        <v>467</v>
      </c>
      <c r="AD23" s="276"/>
      <c r="AE23" s="276"/>
      <c r="AF23" s="10" t="s">
        <v>420</v>
      </c>
      <c r="AG23" s="10" t="s">
        <v>431</v>
      </c>
      <c r="AH23" s="10" t="s">
        <v>469</v>
      </c>
      <c r="AI23" s="10" t="s">
        <v>469</v>
      </c>
      <c r="AJ23" s="10"/>
      <c r="AK23" s="10"/>
      <c r="AL23" s="10"/>
      <c r="AM23" s="10"/>
      <c r="AN23" s="10"/>
      <c r="AO23" s="10" t="s">
        <v>470</v>
      </c>
      <c r="AP23" s="276" t="s">
        <v>471</v>
      </c>
      <c r="AQ23" s="343" t="s">
        <v>471</v>
      </c>
      <c r="AR23" s="276" t="s">
        <v>473</v>
      </c>
      <c r="AS23" s="269" t="s">
        <v>474</v>
      </c>
      <c r="AT23" s="276" t="s">
        <v>475</v>
      </c>
      <c r="AU23" s="276" t="s">
        <v>434</v>
      </c>
      <c r="AV23" s="276"/>
      <c r="AW23" s="276" t="s">
        <v>452</v>
      </c>
      <c r="AX23" s="326" t="s">
        <v>636</v>
      </c>
      <c r="AY23" s="335" t="s">
        <v>637</v>
      </c>
      <c r="AZ23" s="335" t="s">
        <v>616</v>
      </c>
      <c r="BA23" s="276" t="s">
        <v>617</v>
      </c>
      <c r="BB23" s="276"/>
      <c r="BC23" s="276"/>
    </row>
    <row r="24" spans="1:67" x14ac:dyDescent="0.15">
      <c r="B24" s="10" t="s">
        <v>477</v>
      </c>
      <c r="C24" s="276" t="s">
        <v>455</v>
      </c>
      <c r="D24" s="276" t="s">
        <v>478</v>
      </c>
      <c r="E24" s="276" t="s">
        <v>479</v>
      </c>
      <c r="F24" s="276" t="s">
        <v>418</v>
      </c>
      <c r="G24" s="276" t="s">
        <v>480</v>
      </c>
      <c r="H24" s="10" t="s">
        <v>481</v>
      </c>
      <c r="I24" s="7" t="s">
        <v>481</v>
      </c>
      <c r="K24" s="10" t="s">
        <v>429</v>
      </c>
      <c r="L24" s="10"/>
      <c r="M24" s="10"/>
      <c r="N24" s="280" t="s">
        <v>482</v>
      </c>
      <c r="O24" s="280"/>
      <c r="P24" s="280"/>
      <c r="Q24" s="280" t="s">
        <v>483</v>
      </c>
      <c r="R24" s="280"/>
      <c r="S24" s="280" t="s">
        <v>484</v>
      </c>
      <c r="T24" s="276" t="s">
        <v>485</v>
      </c>
      <c r="U24" s="10" t="s">
        <v>486</v>
      </c>
      <c r="V24" s="10" t="s">
        <v>487</v>
      </c>
      <c r="W24" s="10" t="s">
        <v>488</v>
      </c>
      <c r="X24" s="269" t="s">
        <v>489</v>
      </c>
      <c r="Y24" s="10" t="s">
        <v>490</v>
      </c>
      <c r="Z24" s="10" t="s">
        <v>491</v>
      </c>
      <c r="AA24" s="10" t="s">
        <v>492</v>
      </c>
      <c r="AB24" s="286" t="s">
        <v>493</v>
      </c>
      <c r="AC24" s="10" t="s">
        <v>427</v>
      </c>
      <c r="AD24" s="10"/>
      <c r="AE24" s="10"/>
      <c r="AF24" s="10" t="s">
        <v>431</v>
      </c>
      <c r="AG24" s="10" t="s">
        <v>494</v>
      </c>
      <c r="AH24" s="318" t="s">
        <v>618</v>
      </c>
      <c r="AI24" s="276" t="s">
        <v>496</v>
      </c>
      <c r="AJ24" s="276"/>
      <c r="AK24" s="276"/>
      <c r="AL24" s="276"/>
      <c r="AM24" s="276"/>
      <c r="AN24" s="276"/>
      <c r="AO24" s="276" t="s">
        <v>497</v>
      </c>
      <c r="AP24" s="269" t="s">
        <v>619</v>
      </c>
      <c r="AQ24" s="346" t="s">
        <v>620</v>
      </c>
      <c r="AR24" s="269" t="s">
        <v>433</v>
      </c>
      <c r="AS24" s="276" t="s">
        <v>499</v>
      </c>
      <c r="AT24" s="269" t="s">
        <v>500</v>
      </c>
      <c r="AU24" s="269" t="s">
        <v>433</v>
      </c>
      <c r="AV24" s="269" t="s">
        <v>502</v>
      </c>
      <c r="AW24" s="347" t="s">
        <v>503</v>
      </c>
      <c r="AX24" s="344" t="s">
        <v>453</v>
      </c>
      <c r="AY24" s="348" t="s">
        <v>638</v>
      </c>
      <c r="AZ24" s="327">
        <f>SUM(AZ18,AZ20,AZ22)</f>
        <v>81</v>
      </c>
      <c r="BA24" s="349">
        <f>SUM(BA18,BA20)</f>
        <v>45600964.133399993</v>
      </c>
      <c r="BB24" s="350"/>
      <c r="BC24" s="269"/>
    </row>
    <row r="25" spans="1:67" x14ac:dyDescent="0.15">
      <c r="A25" s="10" t="s">
        <v>3</v>
      </c>
      <c r="B25" s="10" t="s">
        <v>505</v>
      </c>
      <c r="C25" s="276" t="s">
        <v>505</v>
      </c>
      <c r="D25" s="276" t="s">
        <v>479</v>
      </c>
      <c r="E25" s="276" t="s">
        <v>505</v>
      </c>
      <c r="F25" s="10" t="s">
        <v>506</v>
      </c>
      <c r="G25" s="10" t="s">
        <v>622</v>
      </c>
      <c r="H25" s="10" t="s">
        <v>508</v>
      </c>
      <c r="I25" s="7" t="s">
        <v>509</v>
      </c>
      <c r="K25" s="276" t="s">
        <v>588</v>
      </c>
      <c r="L25" s="276"/>
      <c r="M25" s="276"/>
      <c r="N25" s="280">
        <v>2020</v>
      </c>
      <c r="O25" s="280"/>
      <c r="P25" s="280"/>
      <c r="Q25" s="341" t="s">
        <v>623</v>
      </c>
      <c r="R25" s="280"/>
      <c r="S25" s="280">
        <v>2020</v>
      </c>
      <c r="T25" s="10" t="s">
        <v>512</v>
      </c>
      <c r="U25" s="10" t="s">
        <v>513</v>
      </c>
      <c r="V25" s="276" t="s">
        <v>624</v>
      </c>
      <c r="W25" s="10">
        <v>2018</v>
      </c>
      <c r="X25" s="276" t="s">
        <v>515</v>
      </c>
      <c r="Y25" s="276" t="s">
        <v>516</v>
      </c>
      <c r="Z25" s="10">
        <v>2018</v>
      </c>
      <c r="AA25" s="276" t="s">
        <v>516</v>
      </c>
      <c r="AB25" s="276" t="s">
        <v>517</v>
      </c>
      <c r="AC25" s="10" t="s">
        <v>518</v>
      </c>
      <c r="AD25" s="10"/>
      <c r="AE25" s="10"/>
      <c r="AF25" s="276" t="s">
        <v>588</v>
      </c>
      <c r="AG25" s="276" t="s">
        <v>588</v>
      </c>
      <c r="AH25" s="351" t="s">
        <v>625</v>
      </c>
      <c r="AI25" s="276" t="s">
        <v>520</v>
      </c>
      <c r="AJ25" s="276"/>
      <c r="AK25" s="276"/>
      <c r="AL25" s="276"/>
      <c r="AM25" s="276"/>
      <c r="AN25" s="276"/>
      <c r="AO25" s="10" t="s">
        <v>521</v>
      </c>
      <c r="AP25" s="317" t="s">
        <v>626</v>
      </c>
      <c r="AQ25" s="276"/>
      <c r="AR25" s="276" t="s">
        <v>523</v>
      </c>
      <c r="AS25" s="286" t="s">
        <v>524</v>
      </c>
      <c r="AT25" s="270" t="s">
        <v>525</v>
      </c>
      <c r="AU25" s="276" t="s">
        <v>452</v>
      </c>
      <c r="AV25" s="276" t="s">
        <v>527</v>
      </c>
      <c r="AW25" s="276" t="s">
        <v>528</v>
      </c>
      <c r="AX25" s="352" t="s">
        <v>452</v>
      </c>
      <c r="AY25" s="276"/>
      <c r="AZ25" s="276"/>
      <c r="BA25" s="276"/>
      <c r="BB25" s="276"/>
      <c r="BC25" s="276"/>
    </row>
    <row r="26" spans="1:67" x14ac:dyDescent="0.15">
      <c r="C26" s="251"/>
      <c r="D26" s="251"/>
      <c r="E26" s="251"/>
      <c r="F26" s="251"/>
      <c r="G26" s="251"/>
      <c r="Q26" s="353" t="s">
        <v>634</v>
      </c>
      <c r="AP26" s="335" t="s">
        <v>635</v>
      </c>
      <c r="AQ26" s="335"/>
      <c r="AX26" s="354" t="s">
        <v>620</v>
      </c>
    </row>
    <row r="27" spans="1:67" ht="15" x14ac:dyDescent="0.2">
      <c r="A27" s="10" t="s">
        <v>4</v>
      </c>
      <c r="B27" s="10"/>
      <c r="C27" s="276"/>
      <c r="D27" s="276"/>
      <c r="E27" s="276"/>
      <c r="F27" s="8">
        <v>7</v>
      </c>
      <c r="G27" s="355">
        <v>63</v>
      </c>
      <c r="H27" s="10">
        <v>1</v>
      </c>
      <c r="I27" s="7" t="s">
        <v>5</v>
      </c>
      <c r="J27" s="287"/>
      <c r="K27" s="356">
        <v>386.97</v>
      </c>
      <c r="L27" s="355"/>
      <c r="M27" s="289"/>
      <c r="N27" s="357">
        <v>92</v>
      </c>
      <c r="O27" s="290">
        <f t="shared" ref="O27:O90" si="3">N27/K27</f>
        <v>0.23774452799958651</v>
      </c>
      <c r="P27" s="290">
        <f>IF(O27&gt;0.6,+O27-0.6,0)</f>
        <v>0</v>
      </c>
      <c r="Q27" s="291">
        <f t="shared" ref="Q27:Q90" si="4">P27*K27</f>
        <v>0</v>
      </c>
      <c r="R27" s="291">
        <f>Q27*0.15</f>
        <v>0</v>
      </c>
      <c r="S27" s="357">
        <v>3</v>
      </c>
      <c r="T27" s="292">
        <f t="shared" ref="T27:T90" si="5">ROUND(N27*$T$2,2)</f>
        <v>27.6</v>
      </c>
      <c r="U27" s="254">
        <f>K27+T27+0.25*S27+0.15*Q27</f>
        <v>415.32000000000005</v>
      </c>
      <c r="V27" s="356">
        <v>384616220</v>
      </c>
      <c r="W27" s="357">
        <v>3223</v>
      </c>
      <c r="X27" s="264">
        <f t="shared" ref="X27:X90" si="6">ROUND(V27/W27,2)</f>
        <v>119334.85</v>
      </c>
      <c r="Y27" s="293">
        <f t="shared" ref="Y27:Y90" si="7">(ROUND(X27/$Y$21,6))</f>
        <v>0.61983500000000002</v>
      </c>
      <c r="Z27" s="357">
        <v>101098</v>
      </c>
      <c r="AA27" s="293">
        <f t="shared" ref="AA27:AA90" si="8">(ROUND(Z27/$AA$21,6))</f>
        <v>0.839028</v>
      </c>
      <c r="AB27" s="293">
        <f t="shared" ref="AB27:AB90" si="9">ROUND(1-((Y27*$T$4)+(AA27*$T$5)),6)</f>
        <v>0.31440699999999999</v>
      </c>
      <c r="AC27" s="294">
        <f t="shared" ref="AC27:AC90" si="10">IF(C27=1,MAX($T$7,AB27),MAX($T$6,AB27))</f>
        <v>0.31440699999999999</v>
      </c>
      <c r="AD27" s="295">
        <f>IF(G27&gt;=1,IF(G27&lt;=5,0.06,IF(G27&lt;=10,0.05,IF(G27&lt;=15,0.04,IF(G27&lt;=19,0.03,0)))),0)</f>
        <v>0</v>
      </c>
      <c r="AE27" s="296">
        <f>+AD27+AC27</f>
        <v>0.31440699999999999</v>
      </c>
      <c r="AF27" s="357">
        <v>234</v>
      </c>
      <c r="AG27" s="357">
        <v>6</v>
      </c>
      <c r="AH27" s="254">
        <f>ROUND(AG27*100,2)</f>
        <v>600</v>
      </c>
      <c r="AI27" s="9">
        <f t="shared" ref="AI27:AI90" si="11">ROUND(AF27*AH27,0)</f>
        <v>140400</v>
      </c>
      <c r="AJ27" s="9">
        <v>0</v>
      </c>
      <c r="AK27" s="9">
        <f>IF(AJ27&gt;0,4,0)</f>
        <v>0</v>
      </c>
      <c r="AL27" s="9">
        <f>ROUND(AK27*100,2)</f>
        <v>0</v>
      </c>
      <c r="AM27" s="9">
        <f>ROUND(AJ27*AL27,0)</f>
        <v>0</v>
      </c>
      <c r="AN27" s="9">
        <f>AI27+AM27</f>
        <v>140400</v>
      </c>
      <c r="AO27" s="9">
        <f t="shared" ref="AO27:AO90" si="12">ROUND(U27*AE27*$AO$21,0)</f>
        <v>1504929</v>
      </c>
      <c r="AP27" s="9">
        <f>IF(AO27=0, 0,AN27+AO27)</f>
        <v>1645329</v>
      </c>
      <c r="AQ27" s="9">
        <f>IF(AND(C27=1,AP27&lt;AR27),AR27,AP27)</f>
        <v>1645329</v>
      </c>
      <c r="AR27" s="291">
        <v>2331185</v>
      </c>
      <c r="AS27" s="9">
        <f>ABS(SUM(AR27,-AP27))</f>
        <v>685856</v>
      </c>
      <c r="AT27" s="297" t="str">
        <f>IF(AP27&gt;AR27,"Yes","No")</f>
        <v>No</v>
      </c>
      <c r="AU27" s="357">
        <v>2004782</v>
      </c>
      <c r="AV27" s="291">
        <f t="shared" ref="AV27:AV90" si="13">IF(AT27="Yes",+AS27*$L$9,+AS27*$L$10)</f>
        <v>57131.804799999998</v>
      </c>
      <c r="AW27" s="291">
        <f>IF(AT27="Yes",+AU27+AV27,+AU27)</f>
        <v>2004782</v>
      </c>
      <c r="AX27" s="291">
        <f t="shared" ref="AX27:AX90" si="14">IF(C27=1,MAX(AW27,AR27),AW27)</f>
        <v>2004782</v>
      </c>
      <c r="AY27" s="358">
        <f>AX27-AU27</f>
        <v>0</v>
      </c>
      <c r="AZ27" s="301"/>
      <c r="BA27" s="301"/>
      <c r="BB27" s="302"/>
      <c r="BC27" s="291"/>
      <c r="BD27" s="298"/>
      <c r="BF27" s="298"/>
      <c r="BG27" s="298"/>
      <c r="BK27" s="298"/>
      <c r="BL27" s="298"/>
      <c r="BM27" s="298"/>
      <c r="BN27" s="298"/>
      <c r="BO27" s="298"/>
    </row>
    <row r="28" spans="1:67" ht="15" x14ac:dyDescent="0.2">
      <c r="A28" s="10" t="s">
        <v>6</v>
      </c>
      <c r="B28" s="299"/>
      <c r="C28" s="276">
        <v>1</v>
      </c>
      <c r="D28" s="276">
        <v>1</v>
      </c>
      <c r="E28" s="276"/>
      <c r="F28" s="8">
        <v>10</v>
      </c>
      <c r="G28" s="359">
        <v>10</v>
      </c>
      <c r="H28" s="10">
        <v>2</v>
      </c>
      <c r="I28" s="7" t="s">
        <v>7</v>
      </c>
      <c r="J28" s="287"/>
      <c r="K28" s="356">
        <v>2388.0700000000002</v>
      </c>
      <c r="L28" s="359"/>
      <c r="M28" s="289"/>
      <c r="N28" s="357">
        <v>1585</v>
      </c>
      <c r="O28" s="290">
        <f t="shared" si="3"/>
        <v>0.66371588772523415</v>
      </c>
      <c r="P28" s="290">
        <f t="shared" ref="P28:P91" si="15">IF(O28&gt;0.6,+O28-0.6,0)</f>
        <v>6.3715887725234177E-2</v>
      </c>
      <c r="Q28" s="291">
        <f t="shared" si="4"/>
        <v>152.15799999999999</v>
      </c>
      <c r="R28" s="291">
        <f t="shared" ref="R28:R91" si="16">Q28*0.15</f>
        <v>22.823699999999999</v>
      </c>
      <c r="S28" s="357">
        <v>133</v>
      </c>
      <c r="T28" s="292">
        <f t="shared" si="5"/>
        <v>475.5</v>
      </c>
      <c r="U28" s="254">
        <f t="shared" ref="U28:U91" si="17">K28+T28+0.25*S28+0.15*Q28</f>
        <v>2919.6437000000001</v>
      </c>
      <c r="V28" s="356">
        <v>1478593672.6700001</v>
      </c>
      <c r="W28" s="357">
        <v>18860</v>
      </c>
      <c r="X28" s="264">
        <f t="shared" si="6"/>
        <v>78398.39</v>
      </c>
      <c r="Y28" s="293">
        <f t="shared" si="7"/>
        <v>0.40720800000000001</v>
      </c>
      <c r="Z28" s="357">
        <v>53540</v>
      </c>
      <c r="AA28" s="293">
        <f t="shared" si="8"/>
        <v>0.44433699999999998</v>
      </c>
      <c r="AB28" s="293">
        <f t="shared" si="9"/>
        <v>0.58165299999999998</v>
      </c>
      <c r="AC28" s="294">
        <f t="shared" si="10"/>
        <v>0.58165299999999998</v>
      </c>
      <c r="AD28" s="295">
        <f t="shared" ref="AD28:AD91" si="18">IF(G28&gt;=1,IF(G28&lt;=5,0.06,IF(G28&lt;=10,0.05,IF(G28&lt;=15,0.04,IF(G28&lt;=19,0.03,0)))),0)</f>
        <v>0.05</v>
      </c>
      <c r="AE28" s="296">
        <f t="shared" ref="AE28:AE91" si="19">+AD28+AC28</f>
        <v>0.63165300000000002</v>
      </c>
      <c r="AF28" s="357">
        <v>0</v>
      </c>
      <c r="AG28" s="357">
        <v>0</v>
      </c>
      <c r="AH28" s="254">
        <f t="shared" ref="AH28:AH91" si="20">ROUND(AG28*100,2)</f>
        <v>0</v>
      </c>
      <c r="AI28" s="9">
        <f t="shared" si="11"/>
        <v>0</v>
      </c>
      <c r="AJ28" s="9">
        <v>0</v>
      </c>
      <c r="AK28" s="9">
        <f t="shared" ref="AK28:AK91" si="21">IF(AJ28&gt;0,4,0)</f>
        <v>0</v>
      </c>
      <c r="AL28" s="9">
        <f t="shared" ref="AL28:AL91" si="22">ROUND(AK28*100,2)</f>
        <v>0</v>
      </c>
      <c r="AM28" s="9">
        <f t="shared" ref="AM28:AM91" si="23">ROUND(AJ28*AL28,0)</f>
        <v>0</v>
      </c>
      <c r="AN28" s="9">
        <f t="shared" ref="AN28:AN91" si="24">AI28+AM28</f>
        <v>0</v>
      </c>
      <c r="AO28" s="9">
        <f t="shared" si="12"/>
        <v>21254425</v>
      </c>
      <c r="AP28" s="9">
        <f t="shared" ref="AP28:AP91" si="25">IF(AO28=0, 0,AN28+AO28)</f>
        <v>21254425</v>
      </c>
      <c r="AQ28" s="9">
        <f t="shared" ref="AQ28:AQ91" si="26">IF(AND(C28=1,AP28&lt;AR28),AR28,AP28)</f>
        <v>21254425</v>
      </c>
      <c r="AR28" s="291">
        <v>16473543</v>
      </c>
      <c r="AS28" s="9">
        <f t="shared" ref="AS28:AS91" si="27">ABS(SUM(AR28,-AP28))</f>
        <v>4780882</v>
      </c>
      <c r="AT28" s="297" t="str">
        <f t="shared" ref="AT28:AT91" si="28">IF(AP28&gt;AR28,"Yes","No")</f>
        <v>Yes</v>
      </c>
      <c r="AU28" s="357">
        <v>17938428</v>
      </c>
      <c r="AV28" s="291">
        <f t="shared" si="13"/>
        <v>509642.02120000002</v>
      </c>
      <c r="AW28" s="291">
        <f t="shared" ref="AW28:AW91" si="29">IF(AT28="Yes",+AU28+AV28,+AU28)</f>
        <v>18448070.021200001</v>
      </c>
      <c r="AX28" s="291">
        <f t="shared" si="14"/>
        <v>18448070.021200001</v>
      </c>
      <c r="AY28" s="358">
        <f t="shared" ref="AY28:AY91" si="30">AX28-AU28</f>
        <v>509642.02120000124</v>
      </c>
      <c r="AZ28" s="301"/>
      <c r="BA28" s="301"/>
      <c r="BB28" s="302"/>
      <c r="BC28" s="291"/>
      <c r="BD28" s="298"/>
      <c r="BF28" s="298"/>
      <c r="BG28" s="298"/>
      <c r="BK28" s="298"/>
      <c r="BL28" s="298"/>
      <c r="BM28" s="298"/>
      <c r="BN28" s="298"/>
      <c r="BO28" s="298"/>
    </row>
    <row r="29" spans="1:67" ht="15" x14ac:dyDescent="0.2">
      <c r="A29" s="10" t="s">
        <v>8</v>
      </c>
      <c r="B29" s="10"/>
      <c r="C29" s="276"/>
      <c r="D29" s="276"/>
      <c r="E29" s="276"/>
      <c r="F29" s="8">
        <v>8</v>
      </c>
      <c r="G29" s="355">
        <v>46</v>
      </c>
      <c r="H29" s="10">
        <v>3</v>
      </c>
      <c r="I29" s="7" t="s">
        <v>9</v>
      </c>
      <c r="J29" s="287"/>
      <c r="K29" s="356">
        <v>517.82000000000005</v>
      </c>
      <c r="L29" s="355"/>
      <c r="M29" s="289"/>
      <c r="N29" s="357">
        <v>190</v>
      </c>
      <c r="O29" s="290">
        <f t="shared" si="3"/>
        <v>0.36692286895060056</v>
      </c>
      <c r="P29" s="290">
        <f t="shared" si="15"/>
        <v>0</v>
      </c>
      <c r="Q29" s="291">
        <f t="shared" si="4"/>
        <v>0</v>
      </c>
      <c r="R29" s="291">
        <f t="shared" si="16"/>
        <v>0</v>
      </c>
      <c r="S29" s="357">
        <v>6</v>
      </c>
      <c r="T29" s="292">
        <f t="shared" si="5"/>
        <v>57</v>
      </c>
      <c r="U29" s="254">
        <f t="shared" si="17"/>
        <v>576.32000000000005</v>
      </c>
      <c r="V29" s="356">
        <v>454121204.32999998</v>
      </c>
      <c r="W29" s="357">
        <v>4234</v>
      </c>
      <c r="X29" s="264">
        <f t="shared" si="6"/>
        <v>107255.83</v>
      </c>
      <c r="Y29" s="293">
        <f t="shared" si="7"/>
        <v>0.55709600000000004</v>
      </c>
      <c r="Z29" s="357">
        <v>68269</v>
      </c>
      <c r="AA29" s="293">
        <f t="shared" si="8"/>
        <v>0.56657500000000005</v>
      </c>
      <c r="AB29" s="293">
        <f t="shared" si="9"/>
        <v>0.44006000000000001</v>
      </c>
      <c r="AC29" s="294">
        <f t="shared" si="10"/>
        <v>0.44006000000000001</v>
      </c>
      <c r="AD29" s="295">
        <f t="shared" si="18"/>
        <v>0</v>
      </c>
      <c r="AE29" s="296">
        <f t="shared" si="19"/>
        <v>0.44006000000000001</v>
      </c>
      <c r="AF29" s="357">
        <v>165</v>
      </c>
      <c r="AG29" s="357">
        <v>4</v>
      </c>
      <c r="AH29" s="254">
        <f t="shared" si="20"/>
        <v>400</v>
      </c>
      <c r="AI29" s="9">
        <f t="shared" si="11"/>
        <v>66000</v>
      </c>
      <c r="AJ29" s="9">
        <v>0</v>
      </c>
      <c r="AK29" s="9">
        <f t="shared" si="21"/>
        <v>0</v>
      </c>
      <c r="AL29" s="9">
        <f t="shared" si="22"/>
        <v>0</v>
      </c>
      <c r="AM29" s="9">
        <f t="shared" si="23"/>
        <v>0</v>
      </c>
      <c r="AN29" s="9">
        <f t="shared" si="24"/>
        <v>66000</v>
      </c>
      <c r="AO29" s="9">
        <f t="shared" si="12"/>
        <v>2922917</v>
      </c>
      <c r="AP29" s="9">
        <f t="shared" si="25"/>
        <v>2988917</v>
      </c>
      <c r="AQ29" s="9">
        <f t="shared" si="26"/>
        <v>2988917</v>
      </c>
      <c r="AR29" s="291">
        <v>3859564</v>
      </c>
      <c r="AS29" s="9">
        <f t="shared" si="27"/>
        <v>870647</v>
      </c>
      <c r="AT29" s="297" t="str">
        <f t="shared" si="28"/>
        <v>No</v>
      </c>
      <c r="AU29" s="357">
        <v>3459062</v>
      </c>
      <c r="AV29" s="291">
        <f t="shared" si="13"/>
        <v>72524.895099999994</v>
      </c>
      <c r="AW29" s="291">
        <f t="shared" si="29"/>
        <v>3459062</v>
      </c>
      <c r="AX29" s="291">
        <f t="shared" si="14"/>
        <v>3459062</v>
      </c>
      <c r="AY29" s="358">
        <f t="shared" si="30"/>
        <v>0</v>
      </c>
      <c r="AZ29" s="301"/>
      <c r="BA29" s="301"/>
      <c r="BB29" s="302"/>
      <c r="BC29" s="291"/>
      <c r="BD29" s="298"/>
      <c r="BF29" s="298"/>
      <c r="BG29" s="298"/>
      <c r="BK29" s="298"/>
      <c r="BL29" s="298"/>
      <c r="BM29" s="298"/>
      <c r="BN29" s="298"/>
      <c r="BO29" s="298"/>
    </row>
    <row r="30" spans="1:67" ht="15" x14ac:dyDescent="0.2">
      <c r="A30" s="10" t="s">
        <v>10</v>
      </c>
      <c r="B30" s="10"/>
      <c r="C30" s="276"/>
      <c r="D30" s="276"/>
      <c r="E30" s="276"/>
      <c r="F30" s="8">
        <v>2</v>
      </c>
      <c r="G30" s="355">
        <v>153</v>
      </c>
      <c r="H30" s="10">
        <v>4</v>
      </c>
      <c r="I30" s="7" t="s">
        <v>11</v>
      </c>
      <c r="J30" s="287"/>
      <c r="K30" s="356">
        <v>3133.65</v>
      </c>
      <c r="L30" s="355"/>
      <c r="M30" s="289"/>
      <c r="N30" s="357">
        <v>179</v>
      </c>
      <c r="O30" s="290">
        <f t="shared" si="3"/>
        <v>5.7121886617841809E-2</v>
      </c>
      <c r="P30" s="290">
        <f t="shared" si="15"/>
        <v>0</v>
      </c>
      <c r="Q30" s="291">
        <f t="shared" si="4"/>
        <v>0</v>
      </c>
      <c r="R30" s="291">
        <f t="shared" si="16"/>
        <v>0</v>
      </c>
      <c r="S30" s="357">
        <v>92</v>
      </c>
      <c r="T30" s="292">
        <f t="shared" si="5"/>
        <v>53.7</v>
      </c>
      <c r="U30" s="254">
        <f t="shared" si="17"/>
        <v>3210.35</v>
      </c>
      <c r="V30" s="356">
        <v>3689662670.6700001</v>
      </c>
      <c r="W30" s="357">
        <v>18338</v>
      </c>
      <c r="X30" s="264">
        <f t="shared" si="6"/>
        <v>201203.11</v>
      </c>
      <c r="Y30" s="293">
        <f t="shared" si="7"/>
        <v>1.0450660000000001</v>
      </c>
      <c r="Z30" s="357">
        <v>132500</v>
      </c>
      <c r="AA30" s="293">
        <f t="shared" si="8"/>
        <v>1.0996379999999999</v>
      </c>
      <c r="AB30" s="293">
        <f t="shared" si="9"/>
        <v>-6.1438E-2</v>
      </c>
      <c r="AC30" s="294">
        <f t="shared" si="10"/>
        <v>0.01</v>
      </c>
      <c r="AD30" s="295">
        <f t="shared" si="18"/>
        <v>0</v>
      </c>
      <c r="AE30" s="296">
        <f t="shared" si="19"/>
        <v>0.01</v>
      </c>
      <c r="AF30" s="357">
        <v>0</v>
      </c>
      <c r="AG30" s="357">
        <v>0</v>
      </c>
      <c r="AH30" s="254">
        <f t="shared" si="20"/>
        <v>0</v>
      </c>
      <c r="AI30" s="9">
        <f t="shared" si="11"/>
        <v>0</v>
      </c>
      <c r="AJ30" s="9">
        <v>0</v>
      </c>
      <c r="AK30" s="9">
        <f t="shared" si="21"/>
        <v>0</v>
      </c>
      <c r="AL30" s="9">
        <f t="shared" si="22"/>
        <v>0</v>
      </c>
      <c r="AM30" s="9">
        <f t="shared" si="23"/>
        <v>0</v>
      </c>
      <c r="AN30" s="9">
        <f t="shared" si="24"/>
        <v>0</v>
      </c>
      <c r="AO30" s="9">
        <f t="shared" si="12"/>
        <v>369993</v>
      </c>
      <c r="AP30" s="9">
        <f t="shared" si="25"/>
        <v>369993</v>
      </c>
      <c r="AQ30" s="9">
        <f t="shared" si="26"/>
        <v>369993</v>
      </c>
      <c r="AR30" s="291">
        <v>731456</v>
      </c>
      <c r="AS30" s="9">
        <f t="shared" si="27"/>
        <v>361463</v>
      </c>
      <c r="AT30" s="297" t="str">
        <f t="shared" si="28"/>
        <v>No</v>
      </c>
      <c r="AU30" s="357">
        <v>584016</v>
      </c>
      <c r="AV30" s="291">
        <f t="shared" si="13"/>
        <v>30109.867900000001</v>
      </c>
      <c r="AW30" s="291">
        <f t="shared" si="29"/>
        <v>584016</v>
      </c>
      <c r="AX30" s="291">
        <f t="shared" si="14"/>
        <v>584016</v>
      </c>
      <c r="AY30" s="358">
        <f t="shared" si="30"/>
        <v>0</v>
      </c>
      <c r="AZ30" s="301"/>
      <c r="BA30" s="301"/>
      <c r="BB30" s="302"/>
      <c r="BC30" s="291"/>
      <c r="BD30" s="298"/>
      <c r="BF30" s="298"/>
      <c r="BG30" s="298"/>
      <c r="BK30" s="298"/>
      <c r="BL30" s="298"/>
      <c r="BM30" s="298"/>
      <c r="BN30" s="298"/>
      <c r="BO30" s="298"/>
    </row>
    <row r="31" spans="1:67" ht="15" x14ac:dyDescent="0.2">
      <c r="A31" s="10" t="s">
        <v>4</v>
      </c>
      <c r="B31" s="10"/>
      <c r="C31" s="276"/>
      <c r="D31" s="276"/>
      <c r="E31" s="276"/>
      <c r="F31" s="8">
        <v>5</v>
      </c>
      <c r="G31" s="355">
        <v>91</v>
      </c>
      <c r="H31" s="10">
        <v>5</v>
      </c>
      <c r="I31" s="7" t="s">
        <v>12</v>
      </c>
      <c r="J31" s="287"/>
      <c r="K31" s="356">
        <v>476.42</v>
      </c>
      <c r="L31" s="355"/>
      <c r="M31" s="289"/>
      <c r="N31" s="357">
        <v>94</v>
      </c>
      <c r="O31" s="290">
        <f t="shared" si="3"/>
        <v>0.19730489903866336</v>
      </c>
      <c r="P31" s="290">
        <f t="shared" si="15"/>
        <v>0</v>
      </c>
      <c r="Q31" s="291">
        <f t="shared" si="4"/>
        <v>0</v>
      </c>
      <c r="R31" s="291">
        <f t="shared" si="16"/>
        <v>0</v>
      </c>
      <c r="S31" s="357">
        <v>1</v>
      </c>
      <c r="T31" s="292">
        <f t="shared" si="5"/>
        <v>28.2</v>
      </c>
      <c r="U31" s="254">
        <f t="shared" si="17"/>
        <v>504.87</v>
      </c>
      <c r="V31" s="356">
        <v>524371704</v>
      </c>
      <c r="W31" s="357">
        <v>3671</v>
      </c>
      <c r="X31" s="264">
        <f t="shared" si="6"/>
        <v>142841.65</v>
      </c>
      <c r="Y31" s="293">
        <f t="shared" si="7"/>
        <v>0.74193100000000001</v>
      </c>
      <c r="Z31" s="357">
        <v>111071</v>
      </c>
      <c r="AA31" s="293">
        <f t="shared" si="8"/>
        <v>0.92179500000000003</v>
      </c>
      <c r="AB31" s="293">
        <f t="shared" si="9"/>
        <v>0.20411000000000001</v>
      </c>
      <c r="AC31" s="294">
        <f t="shared" si="10"/>
        <v>0.20411000000000001</v>
      </c>
      <c r="AD31" s="295">
        <f t="shared" si="18"/>
        <v>0</v>
      </c>
      <c r="AE31" s="296">
        <f t="shared" si="19"/>
        <v>0.20411000000000001</v>
      </c>
      <c r="AF31" s="357">
        <v>279</v>
      </c>
      <c r="AG31" s="357">
        <v>6</v>
      </c>
      <c r="AH31" s="254">
        <f t="shared" si="20"/>
        <v>600</v>
      </c>
      <c r="AI31" s="9">
        <f t="shared" si="11"/>
        <v>167400</v>
      </c>
      <c r="AJ31" s="9">
        <v>0</v>
      </c>
      <c r="AK31" s="9">
        <f t="shared" si="21"/>
        <v>0</v>
      </c>
      <c r="AL31" s="9">
        <f t="shared" si="22"/>
        <v>0</v>
      </c>
      <c r="AM31" s="9">
        <f t="shared" si="23"/>
        <v>0</v>
      </c>
      <c r="AN31" s="9">
        <f t="shared" si="24"/>
        <v>167400</v>
      </c>
      <c r="AO31" s="9">
        <f t="shared" si="12"/>
        <v>1187640</v>
      </c>
      <c r="AP31" s="9">
        <f t="shared" si="25"/>
        <v>1355040</v>
      </c>
      <c r="AQ31" s="9">
        <f t="shared" si="26"/>
        <v>1355040</v>
      </c>
      <c r="AR31" s="291">
        <v>1633686</v>
      </c>
      <c r="AS31" s="9">
        <f t="shared" si="27"/>
        <v>278646</v>
      </c>
      <c r="AT31" s="297" t="str">
        <f t="shared" si="28"/>
        <v>No</v>
      </c>
      <c r="AU31" s="357">
        <v>1494242</v>
      </c>
      <c r="AV31" s="291">
        <f t="shared" si="13"/>
        <v>23211.211800000001</v>
      </c>
      <c r="AW31" s="291">
        <f t="shared" si="29"/>
        <v>1494242</v>
      </c>
      <c r="AX31" s="291">
        <f t="shared" si="14"/>
        <v>1494242</v>
      </c>
      <c r="AY31" s="358">
        <f t="shared" si="30"/>
        <v>0</v>
      </c>
      <c r="AZ31" s="301"/>
      <c r="BA31" s="301"/>
      <c r="BB31" s="302"/>
      <c r="BC31" s="291"/>
      <c r="BD31" s="298"/>
      <c r="BF31" s="298"/>
      <c r="BG31" s="298"/>
      <c r="BK31" s="298"/>
      <c r="BL31" s="298"/>
      <c r="BM31" s="298"/>
      <c r="BN31" s="298"/>
      <c r="BO31" s="298"/>
    </row>
    <row r="32" spans="1:67" ht="15" x14ac:dyDescent="0.2">
      <c r="A32" s="10" t="s">
        <v>8</v>
      </c>
      <c r="B32" s="10"/>
      <c r="C32" s="276"/>
      <c r="D32" s="276"/>
      <c r="E32" s="276"/>
      <c r="F32" s="8">
        <v>7</v>
      </c>
      <c r="G32" s="360">
        <v>48</v>
      </c>
      <c r="H32" s="10">
        <v>6</v>
      </c>
      <c r="I32" s="7" t="s">
        <v>13</v>
      </c>
      <c r="J32" s="287"/>
      <c r="K32" s="356">
        <v>724.27</v>
      </c>
      <c r="L32" s="360"/>
      <c r="M32" s="289"/>
      <c r="N32" s="357">
        <v>190</v>
      </c>
      <c r="O32" s="290">
        <f t="shared" si="3"/>
        <v>0.26233310781890734</v>
      </c>
      <c r="P32" s="290">
        <f t="shared" si="15"/>
        <v>0</v>
      </c>
      <c r="Q32" s="291">
        <f t="shared" si="4"/>
        <v>0</v>
      </c>
      <c r="R32" s="291">
        <f t="shared" si="16"/>
        <v>0</v>
      </c>
      <c r="S32" s="357">
        <v>11</v>
      </c>
      <c r="T32" s="292">
        <f t="shared" si="5"/>
        <v>57</v>
      </c>
      <c r="U32" s="254">
        <f t="shared" si="17"/>
        <v>784.02</v>
      </c>
      <c r="V32" s="356">
        <v>713944682.33000004</v>
      </c>
      <c r="W32" s="357">
        <v>6115</v>
      </c>
      <c r="X32" s="264">
        <f t="shared" si="6"/>
        <v>116753.01</v>
      </c>
      <c r="Y32" s="293">
        <f t="shared" si="7"/>
        <v>0.60642499999999999</v>
      </c>
      <c r="Z32" s="357">
        <v>86842</v>
      </c>
      <c r="AA32" s="293">
        <f t="shared" si="8"/>
        <v>0.72071499999999999</v>
      </c>
      <c r="AB32" s="293">
        <f t="shared" si="9"/>
        <v>0.359288</v>
      </c>
      <c r="AC32" s="294">
        <f t="shared" si="10"/>
        <v>0.359288</v>
      </c>
      <c r="AD32" s="295">
        <f t="shared" si="18"/>
        <v>0</v>
      </c>
      <c r="AE32" s="296">
        <f t="shared" si="19"/>
        <v>0.359288</v>
      </c>
      <c r="AF32" s="357">
        <v>725</v>
      </c>
      <c r="AG32" s="357">
        <v>13</v>
      </c>
      <c r="AH32" s="254">
        <f t="shared" si="20"/>
        <v>1300</v>
      </c>
      <c r="AI32" s="9">
        <f t="shared" si="11"/>
        <v>942500</v>
      </c>
      <c r="AJ32" s="9">
        <v>0</v>
      </c>
      <c r="AK32" s="9">
        <f t="shared" si="21"/>
        <v>0</v>
      </c>
      <c r="AL32" s="9">
        <f t="shared" si="22"/>
        <v>0</v>
      </c>
      <c r="AM32" s="9">
        <f t="shared" si="23"/>
        <v>0</v>
      </c>
      <c r="AN32" s="9">
        <f t="shared" si="24"/>
        <v>942500</v>
      </c>
      <c r="AO32" s="9">
        <f t="shared" si="12"/>
        <v>3246465</v>
      </c>
      <c r="AP32" s="9">
        <f t="shared" si="25"/>
        <v>4188965</v>
      </c>
      <c r="AQ32" s="9">
        <f t="shared" si="26"/>
        <v>4188965</v>
      </c>
      <c r="AR32" s="291">
        <v>4067920</v>
      </c>
      <c r="AS32" s="9">
        <f t="shared" si="27"/>
        <v>121045</v>
      </c>
      <c r="AT32" s="297" t="str">
        <f t="shared" si="28"/>
        <v>Yes</v>
      </c>
      <c r="AU32" s="357">
        <v>3946560</v>
      </c>
      <c r="AV32" s="291">
        <f t="shared" si="13"/>
        <v>12903.397000000001</v>
      </c>
      <c r="AW32" s="291">
        <f t="shared" si="29"/>
        <v>3959463.3969999999</v>
      </c>
      <c r="AX32" s="291">
        <f t="shared" si="14"/>
        <v>3959463.3969999999</v>
      </c>
      <c r="AY32" s="358">
        <f t="shared" si="30"/>
        <v>12903.396999999881</v>
      </c>
      <c r="AZ32" s="301"/>
      <c r="BA32" s="301"/>
      <c r="BB32" s="302"/>
      <c r="BC32" s="291"/>
      <c r="BD32" s="298"/>
      <c r="BF32" s="298"/>
      <c r="BG32" s="298"/>
      <c r="BK32" s="298"/>
      <c r="BL32" s="298"/>
      <c r="BM32" s="298"/>
      <c r="BN32" s="298"/>
      <c r="BO32" s="298"/>
    </row>
    <row r="33" spans="1:67" ht="15" x14ac:dyDescent="0.2">
      <c r="A33" s="10" t="s">
        <v>14</v>
      </c>
      <c r="B33" s="10"/>
      <c r="C33" s="276"/>
      <c r="D33" s="276"/>
      <c r="E33" s="276"/>
      <c r="F33" s="8">
        <v>4</v>
      </c>
      <c r="G33" s="355">
        <v>100</v>
      </c>
      <c r="H33" s="10">
        <v>7</v>
      </c>
      <c r="I33" s="7" t="s">
        <v>15</v>
      </c>
      <c r="J33" s="287"/>
      <c r="K33" s="356">
        <v>2741.09</v>
      </c>
      <c r="L33" s="355"/>
      <c r="M33" s="289"/>
      <c r="N33" s="357">
        <v>565</v>
      </c>
      <c r="O33" s="290">
        <f t="shared" si="3"/>
        <v>0.20612238197213517</v>
      </c>
      <c r="P33" s="290">
        <f t="shared" si="15"/>
        <v>0</v>
      </c>
      <c r="Q33" s="291">
        <f t="shared" si="4"/>
        <v>0</v>
      </c>
      <c r="R33" s="291">
        <f t="shared" si="16"/>
        <v>0</v>
      </c>
      <c r="S33" s="357">
        <v>94</v>
      </c>
      <c r="T33" s="292">
        <f t="shared" si="5"/>
        <v>169.5</v>
      </c>
      <c r="U33" s="254">
        <f t="shared" si="17"/>
        <v>2934.09</v>
      </c>
      <c r="V33" s="356">
        <v>3349698440.6700001</v>
      </c>
      <c r="W33" s="357">
        <v>20519</v>
      </c>
      <c r="X33" s="264">
        <f t="shared" si="6"/>
        <v>163248.62</v>
      </c>
      <c r="Y33" s="293">
        <f t="shared" si="7"/>
        <v>0.84792699999999999</v>
      </c>
      <c r="Z33" s="357">
        <v>95996</v>
      </c>
      <c r="AA33" s="293">
        <f t="shared" si="8"/>
        <v>0.79668499999999998</v>
      </c>
      <c r="AB33" s="293">
        <f t="shared" si="9"/>
        <v>0.16744600000000001</v>
      </c>
      <c r="AC33" s="294">
        <f t="shared" si="10"/>
        <v>0.16744600000000001</v>
      </c>
      <c r="AD33" s="295">
        <f t="shared" si="18"/>
        <v>0</v>
      </c>
      <c r="AE33" s="296">
        <f t="shared" si="19"/>
        <v>0.16744600000000001</v>
      </c>
      <c r="AF33" s="357">
        <v>0</v>
      </c>
      <c r="AG33" s="357">
        <v>0</v>
      </c>
      <c r="AH33" s="254">
        <f t="shared" si="20"/>
        <v>0</v>
      </c>
      <c r="AI33" s="9">
        <f t="shared" si="11"/>
        <v>0</v>
      </c>
      <c r="AJ33" s="9">
        <v>0</v>
      </c>
      <c r="AK33" s="9">
        <f t="shared" si="21"/>
        <v>0</v>
      </c>
      <c r="AL33" s="9">
        <f t="shared" si="22"/>
        <v>0</v>
      </c>
      <c r="AM33" s="9">
        <f t="shared" si="23"/>
        <v>0</v>
      </c>
      <c r="AN33" s="9">
        <f t="shared" si="24"/>
        <v>0</v>
      </c>
      <c r="AO33" s="9">
        <f t="shared" si="12"/>
        <v>5662251</v>
      </c>
      <c r="AP33" s="9">
        <f t="shared" si="25"/>
        <v>5662251</v>
      </c>
      <c r="AQ33" s="9">
        <f t="shared" si="26"/>
        <v>5662251</v>
      </c>
      <c r="AR33" s="291">
        <v>6215712</v>
      </c>
      <c r="AS33" s="9">
        <f t="shared" si="27"/>
        <v>553461</v>
      </c>
      <c r="AT33" s="297" t="str">
        <f t="shared" si="28"/>
        <v>No</v>
      </c>
      <c r="AU33" s="357">
        <v>5870600</v>
      </c>
      <c r="AV33" s="291">
        <f t="shared" si="13"/>
        <v>46103.301299999999</v>
      </c>
      <c r="AW33" s="291">
        <f t="shared" si="29"/>
        <v>5870600</v>
      </c>
      <c r="AX33" s="291">
        <f t="shared" si="14"/>
        <v>5870600</v>
      </c>
      <c r="AY33" s="358">
        <f t="shared" si="30"/>
        <v>0</v>
      </c>
      <c r="AZ33" s="301"/>
      <c r="BA33" s="301"/>
      <c r="BB33" s="302"/>
      <c r="BC33" s="291"/>
      <c r="BD33" s="298"/>
      <c r="BF33" s="298"/>
      <c r="BG33" s="298"/>
      <c r="BK33" s="298"/>
      <c r="BL33" s="298"/>
      <c r="BM33" s="298"/>
      <c r="BN33" s="298"/>
      <c r="BO33" s="298"/>
    </row>
    <row r="34" spans="1:67" ht="15" x14ac:dyDescent="0.2">
      <c r="A34" s="10" t="s">
        <v>4</v>
      </c>
      <c r="B34" s="10"/>
      <c r="C34" s="276"/>
      <c r="D34" s="276"/>
      <c r="E34" s="276"/>
      <c r="F34" s="8">
        <v>3</v>
      </c>
      <c r="G34" s="355">
        <v>119</v>
      </c>
      <c r="H34" s="10">
        <v>8</v>
      </c>
      <c r="I34" s="7" t="s">
        <v>16</v>
      </c>
      <c r="J34" s="287"/>
      <c r="K34" s="356">
        <v>755.64</v>
      </c>
      <c r="L34" s="355"/>
      <c r="M34" s="289"/>
      <c r="N34" s="357">
        <v>83</v>
      </c>
      <c r="O34" s="290">
        <f t="shared" si="3"/>
        <v>0.10984066486686782</v>
      </c>
      <c r="P34" s="290">
        <f t="shared" si="15"/>
        <v>0</v>
      </c>
      <c r="Q34" s="291">
        <f t="shared" si="4"/>
        <v>0</v>
      </c>
      <c r="R34" s="291">
        <f t="shared" si="16"/>
        <v>0</v>
      </c>
      <c r="S34" s="357">
        <v>11</v>
      </c>
      <c r="T34" s="292">
        <f t="shared" si="5"/>
        <v>24.9</v>
      </c>
      <c r="U34" s="254">
        <f t="shared" si="17"/>
        <v>783.29</v>
      </c>
      <c r="V34" s="356">
        <v>824860372.66999996</v>
      </c>
      <c r="W34" s="357">
        <v>5504</v>
      </c>
      <c r="X34" s="264">
        <f t="shared" si="6"/>
        <v>149865.62</v>
      </c>
      <c r="Y34" s="293">
        <f t="shared" si="7"/>
        <v>0.77841400000000005</v>
      </c>
      <c r="Z34" s="357">
        <v>119653</v>
      </c>
      <c r="AA34" s="293">
        <f t="shared" si="8"/>
        <v>0.99301799999999996</v>
      </c>
      <c r="AB34" s="293">
        <f t="shared" si="9"/>
        <v>0.15720500000000001</v>
      </c>
      <c r="AC34" s="294">
        <f t="shared" si="10"/>
        <v>0.15720500000000001</v>
      </c>
      <c r="AD34" s="295">
        <f t="shared" si="18"/>
        <v>0</v>
      </c>
      <c r="AE34" s="296">
        <f t="shared" si="19"/>
        <v>0.15720500000000001</v>
      </c>
      <c r="AF34" s="357">
        <v>390</v>
      </c>
      <c r="AG34" s="357">
        <v>6</v>
      </c>
      <c r="AH34" s="254">
        <f t="shared" si="20"/>
        <v>600</v>
      </c>
      <c r="AI34" s="9">
        <f t="shared" si="11"/>
        <v>234000</v>
      </c>
      <c r="AJ34" s="9">
        <v>0</v>
      </c>
      <c r="AK34" s="9">
        <f t="shared" si="21"/>
        <v>0</v>
      </c>
      <c r="AL34" s="9">
        <f t="shared" si="22"/>
        <v>0</v>
      </c>
      <c r="AM34" s="9">
        <f t="shared" si="23"/>
        <v>0</v>
      </c>
      <c r="AN34" s="9">
        <f t="shared" si="24"/>
        <v>234000</v>
      </c>
      <c r="AO34" s="9">
        <f t="shared" si="12"/>
        <v>1419155</v>
      </c>
      <c r="AP34" s="9">
        <f t="shared" si="25"/>
        <v>1653155</v>
      </c>
      <c r="AQ34" s="9">
        <f t="shared" si="26"/>
        <v>1653155</v>
      </c>
      <c r="AR34" s="291">
        <v>2000209</v>
      </c>
      <c r="AS34" s="9">
        <f t="shared" si="27"/>
        <v>347054</v>
      </c>
      <c r="AT34" s="297" t="str">
        <f t="shared" si="28"/>
        <v>No</v>
      </c>
      <c r="AU34" s="357">
        <v>1764574</v>
      </c>
      <c r="AV34" s="291">
        <f t="shared" si="13"/>
        <v>28909.5982</v>
      </c>
      <c r="AW34" s="291">
        <f t="shared" si="29"/>
        <v>1764574</v>
      </c>
      <c r="AX34" s="291">
        <f t="shared" si="14"/>
        <v>1764574</v>
      </c>
      <c r="AY34" s="358">
        <f t="shared" si="30"/>
        <v>0</v>
      </c>
      <c r="AZ34" s="301"/>
      <c r="BA34" s="301"/>
      <c r="BB34" s="302"/>
      <c r="BC34" s="291"/>
      <c r="BD34" s="298"/>
      <c r="BF34" s="298"/>
      <c r="BG34" s="298"/>
      <c r="BK34" s="298"/>
      <c r="BL34" s="298"/>
      <c r="BM34" s="298"/>
      <c r="BN34" s="298"/>
      <c r="BO34" s="298"/>
    </row>
    <row r="35" spans="1:67" ht="15" x14ac:dyDescent="0.2">
      <c r="A35" s="10" t="s">
        <v>14</v>
      </c>
      <c r="B35" s="10"/>
      <c r="C35" s="276"/>
      <c r="D35" s="276"/>
      <c r="E35" s="276"/>
      <c r="F35" s="8">
        <v>4</v>
      </c>
      <c r="G35" s="355">
        <v>73</v>
      </c>
      <c r="H35" s="10">
        <v>9</v>
      </c>
      <c r="I35" s="7" t="s">
        <v>17</v>
      </c>
      <c r="J35" s="287"/>
      <c r="K35" s="356">
        <v>3056.47</v>
      </c>
      <c r="L35" s="355"/>
      <c r="M35" s="289"/>
      <c r="N35" s="357">
        <v>991</v>
      </c>
      <c r="O35" s="290">
        <f t="shared" si="3"/>
        <v>0.32423023945924551</v>
      </c>
      <c r="P35" s="290">
        <f t="shared" si="15"/>
        <v>0</v>
      </c>
      <c r="Q35" s="291">
        <f t="shared" si="4"/>
        <v>0</v>
      </c>
      <c r="R35" s="291">
        <f t="shared" si="16"/>
        <v>0</v>
      </c>
      <c r="S35" s="357">
        <v>183</v>
      </c>
      <c r="T35" s="292">
        <f t="shared" si="5"/>
        <v>297.3</v>
      </c>
      <c r="U35" s="254">
        <f t="shared" si="17"/>
        <v>3399.52</v>
      </c>
      <c r="V35" s="356">
        <v>2974067644.6700001</v>
      </c>
      <c r="W35" s="357">
        <v>19551</v>
      </c>
      <c r="X35" s="264">
        <f t="shared" si="6"/>
        <v>152118.44</v>
      </c>
      <c r="Y35" s="293">
        <f t="shared" si="7"/>
        <v>0.79011600000000004</v>
      </c>
      <c r="Z35" s="357">
        <v>101473</v>
      </c>
      <c r="AA35" s="293">
        <f t="shared" si="8"/>
        <v>0.84214</v>
      </c>
      <c r="AB35" s="293">
        <f t="shared" si="9"/>
        <v>0.19427700000000001</v>
      </c>
      <c r="AC35" s="294">
        <f t="shared" si="10"/>
        <v>0.19427700000000001</v>
      </c>
      <c r="AD35" s="295">
        <f t="shared" si="18"/>
        <v>0</v>
      </c>
      <c r="AE35" s="296">
        <f t="shared" si="19"/>
        <v>0.19427700000000001</v>
      </c>
      <c r="AF35" s="357">
        <v>0</v>
      </c>
      <c r="AG35" s="357">
        <v>0</v>
      </c>
      <c r="AH35" s="254">
        <f t="shared" si="20"/>
        <v>0</v>
      </c>
      <c r="AI35" s="9">
        <f t="shared" si="11"/>
        <v>0</v>
      </c>
      <c r="AJ35" s="9">
        <v>0</v>
      </c>
      <c r="AK35" s="9">
        <f t="shared" si="21"/>
        <v>0</v>
      </c>
      <c r="AL35" s="9">
        <f t="shared" si="22"/>
        <v>0</v>
      </c>
      <c r="AM35" s="9">
        <f t="shared" si="23"/>
        <v>0</v>
      </c>
      <c r="AN35" s="9">
        <f t="shared" si="24"/>
        <v>0</v>
      </c>
      <c r="AO35" s="9">
        <f t="shared" si="12"/>
        <v>7611670</v>
      </c>
      <c r="AP35" s="9">
        <f t="shared" si="25"/>
        <v>7611670</v>
      </c>
      <c r="AQ35" s="9">
        <f t="shared" si="26"/>
        <v>7611670</v>
      </c>
      <c r="AR35" s="291">
        <v>8087732</v>
      </c>
      <c r="AS35" s="9">
        <f t="shared" si="27"/>
        <v>476062</v>
      </c>
      <c r="AT35" s="297" t="str">
        <f t="shared" si="28"/>
        <v>No</v>
      </c>
      <c r="AU35" s="357">
        <v>7880729</v>
      </c>
      <c r="AV35" s="291">
        <f t="shared" si="13"/>
        <v>39655.964599999999</v>
      </c>
      <c r="AW35" s="291">
        <f t="shared" si="29"/>
        <v>7880729</v>
      </c>
      <c r="AX35" s="291">
        <f t="shared" si="14"/>
        <v>7880729</v>
      </c>
      <c r="AY35" s="358">
        <f t="shared" si="30"/>
        <v>0</v>
      </c>
      <c r="AZ35" s="301"/>
      <c r="BA35" s="301"/>
      <c r="BB35" s="302"/>
      <c r="BC35" s="291"/>
      <c r="BD35" s="298"/>
      <c r="BF35" s="298"/>
      <c r="BG35" s="298"/>
      <c r="BK35" s="298"/>
      <c r="BL35" s="298"/>
      <c r="BM35" s="298"/>
      <c r="BN35" s="298"/>
      <c r="BO35" s="298"/>
    </row>
    <row r="36" spans="1:67" ht="15" x14ac:dyDescent="0.2">
      <c r="A36" s="10" t="s">
        <v>4</v>
      </c>
      <c r="B36" s="10"/>
      <c r="C36" s="276"/>
      <c r="D36" s="276"/>
      <c r="E36" s="276"/>
      <c r="F36" s="8">
        <v>5</v>
      </c>
      <c r="G36" s="355">
        <v>102</v>
      </c>
      <c r="H36" s="10">
        <v>10</v>
      </c>
      <c r="I36" s="7" t="s">
        <v>18</v>
      </c>
      <c r="J36" s="287"/>
      <c r="K36" s="356">
        <v>363.14</v>
      </c>
      <c r="L36" s="355"/>
      <c r="M36" s="289"/>
      <c r="N36" s="357">
        <v>100</v>
      </c>
      <c r="O36" s="290">
        <f t="shared" si="3"/>
        <v>0.27537588808723912</v>
      </c>
      <c r="P36" s="290">
        <f t="shared" si="15"/>
        <v>0</v>
      </c>
      <c r="Q36" s="291">
        <f t="shared" si="4"/>
        <v>0</v>
      </c>
      <c r="R36" s="291">
        <f t="shared" si="16"/>
        <v>0</v>
      </c>
      <c r="S36" s="357">
        <v>3</v>
      </c>
      <c r="T36" s="292">
        <f t="shared" si="5"/>
        <v>30</v>
      </c>
      <c r="U36" s="254">
        <f t="shared" si="17"/>
        <v>393.89</v>
      </c>
      <c r="V36" s="356">
        <v>523151700.67000002</v>
      </c>
      <c r="W36" s="357">
        <v>3452</v>
      </c>
      <c r="X36" s="264">
        <f t="shared" si="6"/>
        <v>151550.32</v>
      </c>
      <c r="Y36" s="293">
        <f t="shared" si="7"/>
        <v>0.787165</v>
      </c>
      <c r="Z36" s="357">
        <v>93750</v>
      </c>
      <c r="AA36" s="293">
        <f t="shared" si="8"/>
        <v>0.77804499999999999</v>
      </c>
      <c r="AB36" s="293">
        <f t="shared" si="9"/>
        <v>0.21557100000000001</v>
      </c>
      <c r="AC36" s="294">
        <f t="shared" si="10"/>
        <v>0.21557100000000001</v>
      </c>
      <c r="AD36" s="295">
        <f t="shared" si="18"/>
        <v>0</v>
      </c>
      <c r="AE36" s="296">
        <f t="shared" si="19"/>
        <v>0.21557100000000001</v>
      </c>
      <c r="AF36" s="357">
        <v>363</v>
      </c>
      <c r="AG36" s="357">
        <v>13</v>
      </c>
      <c r="AH36" s="254">
        <f t="shared" si="20"/>
        <v>1300</v>
      </c>
      <c r="AI36" s="9">
        <f t="shared" si="11"/>
        <v>471900</v>
      </c>
      <c r="AJ36" s="9">
        <v>0</v>
      </c>
      <c r="AK36" s="9">
        <f t="shared" si="21"/>
        <v>0</v>
      </c>
      <c r="AL36" s="9">
        <f t="shared" si="22"/>
        <v>0</v>
      </c>
      <c r="AM36" s="9">
        <f t="shared" si="23"/>
        <v>0</v>
      </c>
      <c r="AN36" s="9">
        <f t="shared" si="24"/>
        <v>471900</v>
      </c>
      <c r="AO36" s="9">
        <f t="shared" si="12"/>
        <v>978602</v>
      </c>
      <c r="AP36" s="9">
        <f t="shared" si="25"/>
        <v>1450502</v>
      </c>
      <c r="AQ36" s="9">
        <f t="shared" si="26"/>
        <v>1450502</v>
      </c>
      <c r="AR36" s="291">
        <v>1278838</v>
      </c>
      <c r="AS36" s="9">
        <f t="shared" si="27"/>
        <v>171664</v>
      </c>
      <c r="AT36" s="297" t="str">
        <f t="shared" si="28"/>
        <v>Yes</v>
      </c>
      <c r="AU36" s="357">
        <v>1128527</v>
      </c>
      <c r="AV36" s="291">
        <f t="shared" si="13"/>
        <v>18299.382399999999</v>
      </c>
      <c r="AW36" s="291">
        <f t="shared" si="29"/>
        <v>1146826.3824</v>
      </c>
      <c r="AX36" s="291">
        <f t="shared" si="14"/>
        <v>1146826.3824</v>
      </c>
      <c r="AY36" s="358">
        <f t="shared" si="30"/>
        <v>18299.382400000002</v>
      </c>
      <c r="AZ36" s="301"/>
      <c r="BA36" s="301"/>
      <c r="BB36" s="302"/>
      <c r="BC36" s="291"/>
      <c r="BD36" s="298"/>
      <c r="BF36" s="298"/>
      <c r="BG36" s="298"/>
      <c r="BK36" s="298"/>
      <c r="BL36" s="298"/>
      <c r="BM36" s="298"/>
      <c r="BN36" s="298"/>
      <c r="BO36" s="298"/>
    </row>
    <row r="37" spans="1:67" ht="15" x14ac:dyDescent="0.2">
      <c r="A37" s="10" t="s">
        <v>19</v>
      </c>
      <c r="B37" s="10"/>
      <c r="C37" s="276">
        <v>1</v>
      </c>
      <c r="D37" s="276">
        <v>1</v>
      </c>
      <c r="E37" s="276"/>
      <c r="F37" s="8">
        <v>6</v>
      </c>
      <c r="G37" s="359">
        <v>37</v>
      </c>
      <c r="H37" s="10">
        <v>11</v>
      </c>
      <c r="I37" s="7" t="s">
        <v>20</v>
      </c>
      <c r="J37" s="287"/>
      <c r="K37" s="356">
        <v>2294.5</v>
      </c>
      <c r="L37" s="359"/>
      <c r="M37" s="289"/>
      <c r="N37" s="357">
        <v>1372</v>
      </c>
      <c r="O37" s="290">
        <f t="shared" si="3"/>
        <v>0.59795162344737418</v>
      </c>
      <c r="P37" s="290">
        <f t="shared" si="15"/>
        <v>0</v>
      </c>
      <c r="Q37" s="291">
        <f t="shared" si="4"/>
        <v>0</v>
      </c>
      <c r="R37" s="291">
        <f t="shared" si="16"/>
        <v>0</v>
      </c>
      <c r="S37" s="357">
        <v>67</v>
      </c>
      <c r="T37" s="292">
        <f t="shared" si="5"/>
        <v>411.6</v>
      </c>
      <c r="U37" s="254">
        <f t="shared" si="17"/>
        <v>2722.85</v>
      </c>
      <c r="V37" s="356">
        <v>3245061416</v>
      </c>
      <c r="W37" s="357">
        <v>20952</v>
      </c>
      <c r="X37" s="264">
        <f t="shared" si="6"/>
        <v>154880.75</v>
      </c>
      <c r="Y37" s="293">
        <f t="shared" si="7"/>
        <v>0.80446300000000004</v>
      </c>
      <c r="Z37" s="357">
        <v>76952</v>
      </c>
      <c r="AA37" s="293">
        <f t="shared" si="8"/>
        <v>0.63863599999999998</v>
      </c>
      <c r="AB37" s="293">
        <f t="shared" si="9"/>
        <v>0.245285</v>
      </c>
      <c r="AC37" s="294">
        <f t="shared" si="10"/>
        <v>0.245285</v>
      </c>
      <c r="AD37" s="295">
        <f t="shared" si="18"/>
        <v>0</v>
      </c>
      <c r="AE37" s="296">
        <f t="shared" si="19"/>
        <v>0.245285</v>
      </c>
      <c r="AF37" s="357">
        <v>0</v>
      </c>
      <c r="AG37" s="357">
        <v>0</v>
      </c>
      <c r="AH37" s="254">
        <f t="shared" si="20"/>
        <v>0</v>
      </c>
      <c r="AI37" s="9">
        <f t="shared" si="11"/>
        <v>0</v>
      </c>
      <c r="AJ37" s="9">
        <v>0</v>
      </c>
      <c r="AK37" s="9">
        <f t="shared" si="21"/>
        <v>0</v>
      </c>
      <c r="AL37" s="9">
        <f t="shared" si="22"/>
        <v>0</v>
      </c>
      <c r="AM37" s="9">
        <f t="shared" si="23"/>
        <v>0</v>
      </c>
      <c r="AN37" s="9">
        <f t="shared" si="24"/>
        <v>0</v>
      </c>
      <c r="AO37" s="9">
        <f t="shared" si="12"/>
        <v>7697251</v>
      </c>
      <c r="AP37" s="9">
        <f t="shared" si="25"/>
        <v>7697251</v>
      </c>
      <c r="AQ37" s="9">
        <f t="shared" si="26"/>
        <v>7697251</v>
      </c>
      <c r="AR37" s="291">
        <v>6160837</v>
      </c>
      <c r="AS37" s="9">
        <f t="shared" si="27"/>
        <v>1536414</v>
      </c>
      <c r="AT37" s="297" t="str">
        <f t="shared" si="28"/>
        <v>Yes</v>
      </c>
      <c r="AU37" s="357">
        <v>6700683</v>
      </c>
      <c r="AV37" s="291">
        <f t="shared" si="13"/>
        <v>163781.73240000001</v>
      </c>
      <c r="AW37" s="291">
        <f t="shared" si="29"/>
        <v>6864464.7324000001</v>
      </c>
      <c r="AX37" s="291">
        <f t="shared" si="14"/>
        <v>6864464.7324000001</v>
      </c>
      <c r="AY37" s="358">
        <f t="shared" si="30"/>
        <v>163781.7324000001</v>
      </c>
      <c r="AZ37" s="301"/>
      <c r="BA37" s="301"/>
      <c r="BB37" s="302"/>
      <c r="BC37" s="291"/>
      <c r="BD37" s="298"/>
      <c r="BF37" s="298"/>
      <c r="BG37" s="298"/>
      <c r="BK37" s="298"/>
      <c r="BL37" s="298"/>
      <c r="BM37" s="298"/>
      <c r="BN37" s="298"/>
      <c r="BO37" s="298"/>
    </row>
    <row r="38" spans="1:67" ht="15" x14ac:dyDescent="0.2">
      <c r="A38" s="10" t="s">
        <v>4</v>
      </c>
      <c r="B38" s="10"/>
      <c r="C38" s="276"/>
      <c r="D38" s="276"/>
      <c r="E38" s="276"/>
      <c r="F38" s="8">
        <v>5</v>
      </c>
      <c r="G38" s="355">
        <v>109</v>
      </c>
      <c r="H38" s="10">
        <v>12</v>
      </c>
      <c r="I38" s="7" t="s">
        <v>21</v>
      </c>
      <c r="J38" s="287"/>
      <c r="K38" s="356">
        <v>701.57</v>
      </c>
      <c r="L38" s="355"/>
      <c r="M38" s="289"/>
      <c r="N38" s="357">
        <v>142</v>
      </c>
      <c r="O38" s="290">
        <f t="shared" si="3"/>
        <v>0.20240318143592229</v>
      </c>
      <c r="P38" s="290">
        <f t="shared" si="15"/>
        <v>0</v>
      </c>
      <c r="Q38" s="291">
        <f t="shared" si="4"/>
        <v>0</v>
      </c>
      <c r="R38" s="291">
        <f t="shared" si="16"/>
        <v>0</v>
      </c>
      <c r="S38" s="357">
        <v>9</v>
      </c>
      <c r="T38" s="292">
        <f t="shared" si="5"/>
        <v>42.6</v>
      </c>
      <c r="U38" s="254">
        <f t="shared" si="17"/>
        <v>746.42000000000007</v>
      </c>
      <c r="V38" s="356">
        <v>633531617.66999996</v>
      </c>
      <c r="W38" s="357">
        <v>4928</v>
      </c>
      <c r="X38" s="264">
        <f t="shared" si="6"/>
        <v>128557.55</v>
      </c>
      <c r="Y38" s="293">
        <f t="shared" si="7"/>
        <v>0.66773899999999997</v>
      </c>
      <c r="Z38" s="357">
        <v>105417</v>
      </c>
      <c r="AA38" s="293">
        <f t="shared" si="8"/>
        <v>0.87487199999999998</v>
      </c>
      <c r="AB38" s="293">
        <f t="shared" si="9"/>
        <v>0.270121</v>
      </c>
      <c r="AC38" s="294">
        <f t="shared" si="10"/>
        <v>0.270121</v>
      </c>
      <c r="AD38" s="295">
        <f t="shared" si="18"/>
        <v>0</v>
      </c>
      <c r="AE38" s="296">
        <f t="shared" si="19"/>
        <v>0.270121</v>
      </c>
      <c r="AF38" s="357">
        <v>0</v>
      </c>
      <c r="AG38" s="357">
        <v>0</v>
      </c>
      <c r="AH38" s="254">
        <f t="shared" si="20"/>
        <v>0</v>
      </c>
      <c r="AI38" s="9">
        <f t="shared" si="11"/>
        <v>0</v>
      </c>
      <c r="AJ38" s="9">
        <v>0</v>
      </c>
      <c r="AK38" s="9">
        <f t="shared" si="21"/>
        <v>0</v>
      </c>
      <c r="AL38" s="9">
        <f t="shared" si="22"/>
        <v>0</v>
      </c>
      <c r="AM38" s="9">
        <f t="shared" si="23"/>
        <v>0</v>
      </c>
      <c r="AN38" s="9">
        <f t="shared" si="24"/>
        <v>0</v>
      </c>
      <c r="AO38" s="9">
        <f t="shared" si="12"/>
        <v>2323713</v>
      </c>
      <c r="AP38" s="9">
        <f t="shared" si="25"/>
        <v>2323713</v>
      </c>
      <c r="AQ38" s="9">
        <f t="shared" si="26"/>
        <v>2323713</v>
      </c>
      <c r="AR38" s="291">
        <v>2983350</v>
      </c>
      <c r="AS38" s="9">
        <f t="shared" si="27"/>
        <v>659637</v>
      </c>
      <c r="AT38" s="297" t="str">
        <f t="shared" si="28"/>
        <v>No</v>
      </c>
      <c r="AU38" s="357">
        <v>2683216</v>
      </c>
      <c r="AV38" s="291">
        <f t="shared" si="13"/>
        <v>54947.7621</v>
      </c>
      <c r="AW38" s="291">
        <f t="shared" si="29"/>
        <v>2683216</v>
      </c>
      <c r="AX38" s="291">
        <f t="shared" si="14"/>
        <v>2683216</v>
      </c>
      <c r="AY38" s="358">
        <f t="shared" si="30"/>
        <v>0</v>
      </c>
      <c r="AZ38" s="301"/>
      <c r="BA38" s="301"/>
      <c r="BB38" s="302"/>
      <c r="BC38" s="291"/>
      <c r="BD38" s="298"/>
      <c r="BF38" s="298"/>
      <c r="BG38" s="298"/>
      <c r="BK38" s="298"/>
      <c r="BL38" s="298"/>
      <c r="BM38" s="298"/>
      <c r="BN38" s="298"/>
      <c r="BO38" s="298"/>
    </row>
    <row r="39" spans="1:67" ht="15" x14ac:dyDescent="0.2">
      <c r="A39" s="10" t="s">
        <v>8</v>
      </c>
      <c r="B39" s="10"/>
      <c r="C39" s="276"/>
      <c r="D39" s="276"/>
      <c r="E39" s="276"/>
      <c r="F39" s="8">
        <v>7</v>
      </c>
      <c r="G39" s="355">
        <v>52</v>
      </c>
      <c r="H39" s="10">
        <v>13</v>
      </c>
      <c r="I39" s="7" t="s">
        <v>22</v>
      </c>
      <c r="J39" s="287"/>
      <c r="K39" s="356">
        <v>258.86</v>
      </c>
      <c r="L39" s="355"/>
      <c r="M39" s="289"/>
      <c r="N39" s="357">
        <v>95</v>
      </c>
      <c r="O39" s="290">
        <f t="shared" si="3"/>
        <v>0.36699374179092942</v>
      </c>
      <c r="P39" s="290">
        <f t="shared" si="15"/>
        <v>0</v>
      </c>
      <c r="Q39" s="291">
        <f t="shared" si="4"/>
        <v>0</v>
      </c>
      <c r="R39" s="291">
        <f t="shared" si="16"/>
        <v>0</v>
      </c>
      <c r="S39" s="357">
        <v>7</v>
      </c>
      <c r="T39" s="292">
        <f t="shared" si="5"/>
        <v>28.5</v>
      </c>
      <c r="U39" s="254">
        <f t="shared" si="17"/>
        <v>289.11</v>
      </c>
      <c r="V39" s="356">
        <v>343635194.32999998</v>
      </c>
      <c r="W39" s="357">
        <v>2567</v>
      </c>
      <c r="X39" s="264">
        <f t="shared" si="6"/>
        <v>133866.46</v>
      </c>
      <c r="Y39" s="293">
        <f t="shared" si="7"/>
        <v>0.69531299999999996</v>
      </c>
      <c r="Z39" s="357">
        <v>87109</v>
      </c>
      <c r="AA39" s="293">
        <f t="shared" si="8"/>
        <v>0.72293099999999999</v>
      </c>
      <c r="AB39" s="293">
        <f t="shared" si="9"/>
        <v>0.296402</v>
      </c>
      <c r="AC39" s="294">
        <f t="shared" si="10"/>
        <v>0.296402</v>
      </c>
      <c r="AD39" s="295">
        <f t="shared" si="18"/>
        <v>0</v>
      </c>
      <c r="AE39" s="296">
        <f t="shared" si="19"/>
        <v>0.296402</v>
      </c>
      <c r="AF39" s="357">
        <v>0</v>
      </c>
      <c r="AG39" s="357">
        <v>0</v>
      </c>
      <c r="AH39" s="254">
        <f t="shared" si="20"/>
        <v>0</v>
      </c>
      <c r="AI39" s="9">
        <f t="shared" si="11"/>
        <v>0</v>
      </c>
      <c r="AJ39" s="9">
        <v>63</v>
      </c>
      <c r="AK39" s="9">
        <f t="shared" si="21"/>
        <v>4</v>
      </c>
      <c r="AL39" s="9">
        <f t="shared" si="22"/>
        <v>400</v>
      </c>
      <c r="AM39" s="9">
        <f t="shared" si="23"/>
        <v>25200</v>
      </c>
      <c r="AN39" s="9">
        <f t="shared" si="24"/>
        <v>25200</v>
      </c>
      <c r="AO39" s="9">
        <f t="shared" si="12"/>
        <v>987609</v>
      </c>
      <c r="AP39" s="9">
        <f t="shared" si="25"/>
        <v>1012809</v>
      </c>
      <c r="AQ39" s="9">
        <f t="shared" si="26"/>
        <v>1012809</v>
      </c>
      <c r="AR39" s="291">
        <v>1223830</v>
      </c>
      <c r="AS39" s="9">
        <f t="shared" si="27"/>
        <v>211021</v>
      </c>
      <c r="AT39" s="297" t="str">
        <f t="shared" si="28"/>
        <v>No</v>
      </c>
      <c r="AU39" s="357">
        <v>1190095</v>
      </c>
      <c r="AV39" s="291">
        <f t="shared" si="13"/>
        <v>17578.049299999999</v>
      </c>
      <c r="AW39" s="291">
        <f t="shared" si="29"/>
        <v>1190095</v>
      </c>
      <c r="AX39" s="291">
        <f t="shared" si="14"/>
        <v>1190095</v>
      </c>
      <c r="AY39" s="358">
        <f t="shared" si="30"/>
        <v>0</v>
      </c>
      <c r="AZ39" s="301"/>
      <c r="BA39" s="301"/>
      <c r="BB39" s="302"/>
      <c r="BC39" s="291"/>
      <c r="BD39" s="298"/>
      <c r="BF39" s="298"/>
      <c r="BG39" s="298"/>
      <c r="BK39" s="298"/>
      <c r="BL39" s="298"/>
      <c r="BM39" s="298"/>
      <c r="BN39" s="298"/>
      <c r="BO39" s="298"/>
    </row>
    <row r="40" spans="1:67" ht="15" x14ac:dyDescent="0.2">
      <c r="A40" s="10" t="s">
        <v>14</v>
      </c>
      <c r="B40" s="10"/>
      <c r="C40" s="276"/>
      <c r="D40" s="276"/>
      <c r="E40" s="276"/>
      <c r="F40" s="8">
        <v>4</v>
      </c>
      <c r="G40" s="355">
        <v>97</v>
      </c>
      <c r="H40" s="10">
        <v>14</v>
      </c>
      <c r="I40" s="7" t="s">
        <v>23</v>
      </c>
      <c r="J40" s="287"/>
      <c r="K40" s="356">
        <v>2622.38</v>
      </c>
      <c r="L40" s="355"/>
      <c r="M40" s="289"/>
      <c r="N40" s="357">
        <v>953</v>
      </c>
      <c r="O40" s="290">
        <f t="shared" si="3"/>
        <v>0.36341033717462762</v>
      </c>
      <c r="P40" s="290">
        <f t="shared" si="15"/>
        <v>0</v>
      </c>
      <c r="Q40" s="291">
        <f t="shared" si="4"/>
        <v>0</v>
      </c>
      <c r="R40" s="291">
        <f t="shared" si="16"/>
        <v>0</v>
      </c>
      <c r="S40" s="357">
        <v>149</v>
      </c>
      <c r="T40" s="292">
        <f t="shared" si="5"/>
        <v>285.89999999999998</v>
      </c>
      <c r="U40" s="254">
        <f t="shared" si="17"/>
        <v>2945.53</v>
      </c>
      <c r="V40" s="356">
        <v>5385857224.3299999</v>
      </c>
      <c r="W40" s="357">
        <v>28094</v>
      </c>
      <c r="X40" s="264">
        <f t="shared" si="6"/>
        <v>191708.45</v>
      </c>
      <c r="Y40" s="293">
        <f t="shared" si="7"/>
        <v>0.995749</v>
      </c>
      <c r="Z40" s="357">
        <v>80167</v>
      </c>
      <c r="AA40" s="293">
        <f t="shared" si="8"/>
        <v>0.66531799999999996</v>
      </c>
      <c r="AB40" s="293">
        <f t="shared" si="9"/>
        <v>0.10338</v>
      </c>
      <c r="AC40" s="294">
        <f t="shared" si="10"/>
        <v>0.10338</v>
      </c>
      <c r="AD40" s="295">
        <f t="shared" si="18"/>
        <v>0</v>
      </c>
      <c r="AE40" s="296">
        <f t="shared" si="19"/>
        <v>0.10338</v>
      </c>
      <c r="AF40" s="357">
        <v>0</v>
      </c>
      <c r="AG40" s="357">
        <v>0</v>
      </c>
      <c r="AH40" s="254">
        <f t="shared" si="20"/>
        <v>0</v>
      </c>
      <c r="AI40" s="9">
        <f t="shared" si="11"/>
        <v>0</v>
      </c>
      <c r="AJ40" s="9">
        <v>0</v>
      </c>
      <c r="AK40" s="9">
        <f t="shared" si="21"/>
        <v>0</v>
      </c>
      <c r="AL40" s="9">
        <f t="shared" si="22"/>
        <v>0</v>
      </c>
      <c r="AM40" s="9">
        <f t="shared" si="23"/>
        <v>0</v>
      </c>
      <c r="AN40" s="9">
        <f t="shared" si="24"/>
        <v>0</v>
      </c>
      <c r="AO40" s="9">
        <f t="shared" si="12"/>
        <v>3509465</v>
      </c>
      <c r="AP40" s="9">
        <f t="shared" si="25"/>
        <v>3509465</v>
      </c>
      <c r="AQ40" s="9">
        <f t="shared" si="26"/>
        <v>3509465</v>
      </c>
      <c r="AR40" s="291">
        <v>2211848</v>
      </c>
      <c r="AS40" s="9">
        <f t="shared" si="27"/>
        <v>1297617</v>
      </c>
      <c r="AT40" s="297" t="str">
        <f t="shared" si="28"/>
        <v>Yes</v>
      </c>
      <c r="AU40" s="357">
        <v>2619087</v>
      </c>
      <c r="AV40" s="291">
        <f t="shared" si="13"/>
        <v>138325.97219999999</v>
      </c>
      <c r="AW40" s="291">
        <f t="shared" si="29"/>
        <v>2757412.9722000002</v>
      </c>
      <c r="AX40" s="291">
        <f t="shared" si="14"/>
        <v>2757412.9722000002</v>
      </c>
      <c r="AY40" s="358">
        <f t="shared" si="30"/>
        <v>138325.97220000019</v>
      </c>
      <c r="AZ40" s="301"/>
      <c r="BA40" s="301"/>
      <c r="BB40" s="302"/>
      <c r="BC40" s="291"/>
      <c r="BD40" s="298"/>
      <c r="BF40" s="298"/>
      <c r="BG40" s="298"/>
      <c r="BK40" s="298"/>
      <c r="BL40" s="298"/>
      <c r="BM40" s="298"/>
      <c r="BN40" s="298"/>
      <c r="BO40" s="298"/>
    </row>
    <row r="41" spans="1:67" ht="15" x14ac:dyDescent="0.2">
      <c r="A41" s="10" t="s">
        <v>24</v>
      </c>
      <c r="B41" s="10">
        <v>1</v>
      </c>
      <c r="C41" s="276">
        <v>1</v>
      </c>
      <c r="D41" s="276">
        <v>0</v>
      </c>
      <c r="E41" s="276">
        <v>1</v>
      </c>
      <c r="F41" s="8">
        <v>10</v>
      </c>
      <c r="G41" s="359">
        <v>5</v>
      </c>
      <c r="H41" s="10">
        <v>15</v>
      </c>
      <c r="I41" s="7" t="s">
        <v>25</v>
      </c>
      <c r="J41" s="287"/>
      <c r="K41" s="356">
        <v>19150.59</v>
      </c>
      <c r="L41" s="359"/>
      <c r="M41" s="289"/>
      <c r="N41" s="357">
        <v>13000</v>
      </c>
      <c r="O41" s="290">
        <f t="shared" si="3"/>
        <v>0.67883026058204998</v>
      </c>
      <c r="P41" s="290">
        <f t="shared" si="15"/>
        <v>7.8830260582050005E-2</v>
      </c>
      <c r="Q41" s="291">
        <f t="shared" si="4"/>
        <v>1509.6460000000011</v>
      </c>
      <c r="R41" s="291">
        <f t="shared" si="16"/>
        <v>226.44690000000017</v>
      </c>
      <c r="S41" s="357">
        <v>3972</v>
      </c>
      <c r="T41" s="292">
        <f t="shared" si="5"/>
        <v>3900</v>
      </c>
      <c r="U41" s="254">
        <f t="shared" si="17"/>
        <v>24270.036899999999</v>
      </c>
      <c r="V41" s="356">
        <v>9990188970</v>
      </c>
      <c r="W41" s="357">
        <v>146417</v>
      </c>
      <c r="X41" s="264">
        <f t="shared" si="6"/>
        <v>68231.070000000007</v>
      </c>
      <c r="Y41" s="293">
        <f t="shared" si="7"/>
        <v>0.35439799999999999</v>
      </c>
      <c r="Z41" s="357">
        <v>45441</v>
      </c>
      <c r="AA41" s="293">
        <f t="shared" si="8"/>
        <v>0.37712200000000001</v>
      </c>
      <c r="AB41" s="293">
        <f t="shared" si="9"/>
        <v>0.63878500000000005</v>
      </c>
      <c r="AC41" s="294">
        <f t="shared" si="10"/>
        <v>0.63878500000000005</v>
      </c>
      <c r="AD41" s="295">
        <f t="shared" si="18"/>
        <v>0.06</v>
      </c>
      <c r="AE41" s="296">
        <f t="shared" si="19"/>
        <v>0.69878499999999999</v>
      </c>
      <c r="AF41" s="357">
        <v>0</v>
      </c>
      <c r="AG41" s="357">
        <v>0</v>
      </c>
      <c r="AH41" s="254">
        <f t="shared" si="20"/>
        <v>0</v>
      </c>
      <c r="AI41" s="9">
        <f t="shared" si="11"/>
        <v>0</v>
      </c>
      <c r="AJ41" s="9">
        <v>0</v>
      </c>
      <c r="AK41" s="9">
        <f t="shared" si="21"/>
        <v>0</v>
      </c>
      <c r="AL41" s="9">
        <f t="shared" si="22"/>
        <v>0</v>
      </c>
      <c r="AM41" s="9">
        <f t="shared" si="23"/>
        <v>0</v>
      </c>
      <c r="AN41" s="9">
        <f t="shared" si="24"/>
        <v>0</v>
      </c>
      <c r="AO41" s="9">
        <f t="shared" si="12"/>
        <v>195458672</v>
      </c>
      <c r="AP41" s="9">
        <f t="shared" si="25"/>
        <v>195458672</v>
      </c>
      <c r="AQ41" s="9">
        <f t="shared" si="26"/>
        <v>195458672</v>
      </c>
      <c r="AR41" s="291">
        <v>181105390</v>
      </c>
      <c r="AS41" s="9">
        <f t="shared" si="27"/>
        <v>14353282</v>
      </c>
      <c r="AT41" s="297" t="str">
        <f t="shared" si="28"/>
        <v>Yes</v>
      </c>
      <c r="AU41" s="357">
        <v>187414378</v>
      </c>
      <c r="AV41" s="291">
        <f t="shared" si="13"/>
        <v>1530059.8611999999</v>
      </c>
      <c r="AW41" s="291">
        <f t="shared" si="29"/>
        <v>188944437.8612</v>
      </c>
      <c r="AX41" s="291">
        <f t="shared" si="14"/>
        <v>188944437.8612</v>
      </c>
      <c r="AY41" s="358">
        <f t="shared" si="30"/>
        <v>1530059.8612000048</v>
      </c>
      <c r="AZ41" s="301"/>
      <c r="BA41" s="301"/>
      <c r="BB41" s="302"/>
      <c r="BC41" s="291"/>
      <c r="BD41" s="298"/>
      <c r="BF41" s="298"/>
      <c r="BG41" s="298"/>
      <c r="BK41" s="298"/>
      <c r="BL41" s="298"/>
      <c r="BM41" s="298"/>
      <c r="BN41" s="298"/>
      <c r="BO41" s="298"/>
    </row>
    <row r="42" spans="1:67" ht="15" x14ac:dyDescent="0.2">
      <c r="A42" s="10" t="s">
        <v>4</v>
      </c>
      <c r="B42" s="10"/>
      <c r="C42" s="276"/>
      <c r="D42" s="276"/>
      <c r="E42" s="276"/>
      <c r="F42" s="8">
        <v>2</v>
      </c>
      <c r="G42" s="355">
        <v>155</v>
      </c>
      <c r="H42" s="10">
        <v>16</v>
      </c>
      <c r="I42" s="7" t="s">
        <v>26</v>
      </c>
      <c r="J42" s="287"/>
      <c r="K42" s="356">
        <v>112</v>
      </c>
      <c r="L42" s="355"/>
      <c r="M42" s="289"/>
      <c r="N42" s="357">
        <v>11</v>
      </c>
      <c r="O42" s="290">
        <f t="shared" si="3"/>
        <v>9.8214285714285712E-2</v>
      </c>
      <c r="P42" s="290">
        <f t="shared" si="15"/>
        <v>0</v>
      </c>
      <c r="Q42" s="291">
        <f t="shared" si="4"/>
        <v>0</v>
      </c>
      <c r="R42" s="291">
        <f t="shared" si="16"/>
        <v>0</v>
      </c>
      <c r="S42" s="357">
        <v>0</v>
      </c>
      <c r="T42" s="292">
        <f t="shared" si="5"/>
        <v>3.3</v>
      </c>
      <c r="U42" s="254">
        <f t="shared" si="17"/>
        <v>115.3</v>
      </c>
      <c r="V42" s="356">
        <v>531347514.67000002</v>
      </c>
      <c r="W42" s="357">
        <v>1706</v>
      </c>
      <c r="X42" s="264">
        <f t="shared" si="6"/>
        <v>311458.09999999998</v>
      </c>
      <c r="Y42" s="293">
        <f t="shared" si="7"/>
        <v>1.617739</v>
      </c>
      <c r="Z42" s="357">
        <v>106429</v>
      </c>
      <c r="AA42" s="293">
        <f t="shared" si="8"/>
        <v>0.88327</v>
      </c>
      <c r="AB42" s="293">
        <f t="shared" si="9"/>
        <v>-0.39739799999999997</v>
      </c>
      <c r="AC42" s="294">
        <f t="shared" si="10"/>
        <v>0.01</v>
      </c>
      <c r="AD42" s="295">
        <f t="shared" si="18"/>
        <v>0</v>
      </c>
      <c r="AE42" s="296">
        <f t="shared" si="19"/>
        <v>0.01</v>
      </c>
      <c r="AF42" s="357">
        <v>112</v>
      </c>
      <c r="AG42" s="357">
        <v>13</v>
      </c>
      <c r="AH42" s="254">
        <f t="shared" si="20"/>
        <v>1300</v>
      </c>
      <c r="AI42" s="9">
        <f t="shared" si="11"/>
        <v>145600</v>
      </c>
      <c r="AJ42" s="9">
        <v>0</v>
      </c>
      <c r="AK42" s="9">
        <f t="shared" si="21"/>
        <v>0</v>
      </c>
      <c r="AL42" s="9">
        <f t="shared" si="22"/>
        <v>0</v>
      </c>
      <c r="AM42" s="9">
        <f t="shared" si="23"/>
        <v>0</v>
      </c>
      <c r="AN42" s="9">
        <f t="shared" si="24"/>
        <v>145600</v>
      </c>
      <c r="AO42" s="9">
        <f t="shared" si="12"/>
        <v>13288</v>
      </c>
      <c r="AP42" s="9">
        <f t="shared" si="25"/>
        <v>158888</v>
      </c>
      <c r="AQ42" s="9">
        <f t="shared" si="26"/>
        <v>158888</v>
      </c>
      <c r="AR42" s="291">
        <v>23014</v>
      </c>
      <c r="AS42" s="9">
        <f t="shared" si="27"/>
        <v>135874</v>
      </c>
      <c r="AT42" s="297" t="str">
        <f t="shared" si="28"/>
        <v>Yes</v>
      </c>
      <c r="AU42" s="357">
        <v>23564</v>
      </c>
      <c r="AV42" s="291">
        <f t="shared" si="13"/>
        <v>14484.1684</v>
      </c>
      <c r="AW42" s="291">
        <f t="shared" si="29"/>
        <v>38048.168400000002</v>
      </c>
      <c r="AX42" s="291">
        <f t="shared" si="14"/>
        <v>38048.168400000002</v>
      </c>
      <c r="AY42" s="358">
        <f t="shared" si="30"/>
        <v>14484.168400000002</v>
      </c>
      <c r="AZ42" s="301"/>
      <c r="BA42" s="301"/>
      <c r="BB42" s="302"/>
      <c r="BC42" s="291"/>
      <c r="BD42" s="298"/>
      <c r="BF42" s="298"/>
      <c r="BG42" s="298"/>
      <c r="BK42" s="298"/>
      <c r="BL42" s="298"/>
      <c r="BM42" s="298"/>
      <c r="BN42" s="298"/>
      <c r="BO42" s="298"/>
    </row>
    <row r="43" spans="1:67" ht="15" x14ac:dyDescent="0.2">
      <c r="A43" s="10" t="s">
        <v>19</v>
      </c>
      <c r="B43" s="10"/>
      <c r="C43" s="276">
        <v>1</v>
      </c>
      <c r="D43" s="276">
        <v>1</v>
      </c>
      <c r="E43" s="276"/>
      <c r="F43" s="8">
        <v>9</v>
      </c>
      <c r="G43" s="359">
        <v>20</v>
      </c>
      <c r="H43" s="10">
        <v>17</v>
      </c>
      <c r="I43" s="7" t="s">
        <v>27</v>
      </c>
      <c r="J43" s="287"/>
      <c r="K43" s="356">
        <v>7929.3</v>
      </c>
      <c r="L43" s="359"/>
      <c r="M43" s="289"/>
      <c r="N43" s="357">
        <v>4333</v>
      </c>
      <c r="O43" s="290">
        <f t="shared" si="3"/>
        <v>0.54645428978598365</v>
      </c>
      <c r="P43" s="290">
        <f t="shared" si="15"/>
        <v>0</v>
      </c>
      <c r="Q43" s="291">
        <f t="shared" si="4"/>
        <v>0</v>
      </c>
      <c r="R43" s="291">
        <f t="shared" si="16"/>
        <v>0</v>
      </c>
      <c r="S43" s="357">
        <v>407</v>
      </c>
      <c r="T43" s="292">
        <f t="shared" si="5"/>
        <v>1299.9000000000001</v>
      </c>
      <c r="U43" s="254">
        <f t="shared" si="17"/>
        <v>9330.9500000000007</v>
      </c>
      <c r="V43" s="356">
        <v>5870571310.3299999</v>
      </c>
      <c r="W43" s="357">
        <v>60308</v>
      </c>
      <c r="X43" s="264">
        <f t="shared" si="6"/>
        <v>97343.16</v>
      </c>
      <c r="Y43" s="293">
        <f t="shared" si="7"/>
        <v>0.50560799999999995</v>
      </c>
      <c r="Z43" s="357">
        <v>66829</v>
      </c>
      <c r="AA43" s="293">
        <f t="shared" si="8"/>
        <v>0.55462400000000001</v>
      </c>
      <c r="AB43" s="293">
        <f t="shared" si="9"/>
        <v>0.47968699999999997</v>
      </c>
      <c r="AC43" s="294">
        <f t="shared" si="10"/>
        <v>0.47968699999999997</v>
      </c>
      <c r="AD43" s="295">
        <f t="shared" si="18"/>
        <v>0</v>
      </c>
      <c r="AE43" s="296">
        <f t="shared" si="19"/>
        <v>0.47968699999999997</v>
      </c>
      <c r="AF43" s="357">
        <v>0</v>
      </c>
      <c r="AG43" s="357">
        <v>0</v>
      </c>
      <c r="AH43" s="254">
        <f t="shared" si="20"/>
        <v>0</v>
      </c>
      <c r="AI43" s="9">
        <f t="shared" si="11"/>
        <v>0</v>
      </c>
      <c r="AJ43" s="9">
        <v>0</v>
      </c>
      <c r="AK43" s="9">
        <f t="shared" si="21"/>
        <v>0</v>
      </c>
      <c r="AL43" s="9">
        <f t="shared" si="22"/>
        <v>0</v>
      </c>
      <c r="AM43" s="9">
        <f t="shared" si="23"/>
        <v>0</v>
      </c>
      <c r="AN43" s="9">
        <f t="shared" si="24"/>
        <v>0</v>
      </c>
      <c r="AO43" s="9">
        <f t="shared" si="12"/>
        <v>51585156</v>
      </c>
      <c r="AP43" s="9">
        <f t="shared" si="25"/>
        <v>51585156</v>
      </c>
      <c r="AQ43" s="9">
        <f t="shared" si="26"/>
        <v>51585156</v>
      </c>
      <c r="AR43" s="291">
        <v>44853676</v>
      </c>
      <c r="AS43" s="9">
        <f t="shared" si="27"/>
        <v>6731480</v>
      </c>
      <c r="AT43" s="297" t="str">
        <f t="shared" si="28"/>
        <v>Yes</v>
      </c>
      <c r="AU43" s="357">
        <v>47424566</v>
      </c>
      <c r="AV43" s="291">
        <f t="shared" si="13"/>
        <v>717575.76800000004</v>
      </c>
      <c r="AW43" s="291">
        <f t="shared" si="29"/>
        <v>48142141.767999999</v>
      </c>
      <c r="AX43" s="291">
        <f t="shared" si="14"/>
        <v>48142141.767999999</v>
      </c>
      <c r="AY43" s="358">
        <f t="shared" si="30"/>
        <v>717575.76799999923</v>
      </c>
      <c r="AZ43" s="301"/>
      <c r="BA43" s="301"/>
      <c r="BB43" s="302"/>
      <c r="BC43" s="291"/>
      <c r="BD43" s="298"/>
      <c r="BF43" s="298"/>
      <c r="BG43" s="298"/>
      <c r="BK43" s="298"/>
      <c r="BL43" s="298"/>
      <c r="BM43" s="298"/>
      <c r="BN43" s="298"/>
      <c r="BO43" s="298"/>
    </row>
    <row r="44" spans="1:67" ht="15" x14ac:dyDescent="0.2">
      <c r="A44" s="10" t="s">
        <v>10</v>
      </c>
      <c r="B44" s="10"/>
      <c r="C44" s="276"/>
      <c r="D44" s="276"/>
      <c r="E44" s="276"/>
      <c r="F44" s="8">
        <v>2</v>
      </c>
      <c r="G44" s="355">
        <v>112</v>
      </c>
      <c r="H44" s="10">
        <v>18</v>
      </c>
      <c r="I44" s="7" t="s">
        <v>28</v>
      </c>
      <c r="J44" s="287"/>
      <c r="K44" s="356">
        <v>2601.5</v>
      </c>
      <c r="L44" s="355"/>
      <c r="M44" s="289"/>
      <c r="N44" s="357">
        <v>540</v>
      </c>
      <c r="O44" s="290">
        <f t="shared" si="3"/>
        <v>0.2075725542955987</v>
      </c>
      <c r="P44" s="290">
        <f t="shared" si="15"/>
        <v>0</v>
      </c>
      <c r="Q44" s="291">
        <f t="shared" si="4"/>
        <v>0</v>
      </c>
      <c r="R44" s="291">
        <f t="shared" si="16"/>
        <v>0</v>
      </c>
      <c r="S44" s="357">
        <v>92</v>
      </c>
      <c r="T44" s="292">
        <f t="shared" si="5"/>
        <v>162</v>
      </c>
      <c r="U44" s="254">
        <f t="shared" si="17"/>
        <v>2786.5</v>
      </c>
      <c r="V44" s="356">
        <v>3411056588</v>
      </c>
      <c r="W44" s="357">
        <v>17013</v>
      </c>
      <c r="X44" s="264">
        <f t="shared" si="6"/>
        <v>200497.07</v>
      </c>
      <c r="Y44" s="293">
        <f t="shared" si="7"/>
        <v>1.041398</v>
      </c>
      <c r="Z44" s="357">
        <v>107255</v>
      </c>
      <c r="AA44" s="293">
        <f t="shared" si="8"/>
        <v>0.89012500000000006</v>
      </c>
      <c r="AB44" s="293">
        <f t="shared" si="9"/>
        <v>3.9839999999999997E-3</v>
      </c>
      <c r="AC44" s="294">
        <f t="shared" si="10"/>
        <v>0.01</v>
      </c>
      <c r="AD44" s="295">
        <f t="shared" si="18"/>
        <v>0</v>
      </c>
      <c r="AE44" s="296">
        <f t="shared" si="19"/>
        <v>0.01</v>
      </c>
      <c r="AF44" s="357">
        <v>0</v>
      </c>
      <c r="AG44" s="357">
        <v>0</v>
      </c>
      <c r="AH44" s="254">
        <f t="shared" si="20"/>
        <v>0</v>
      </c>
      <c r="AI44" s="9">
        <f t="shared" si="11"/>
        <v>0</v>
      </c>
      <c r="AJ44" s="9">
        <v>0</v>
      </c>
      <c r="AK44" s="9">
        <f t="shared" si="21"/>
        <v>0</v>
      </c>
      <c r="AL44" s="9">
        <f t="shared" si="22"/>
        <v>0</v>
      </c>
      <c r="AM44" s="9">
        <f t="shared" si="23"/>
        <v>0</v>
      </c>
      <c r="AN44" s="9">
        <f t="shared" si="24"/>
        <v>0</v>
      </c>
      <c r="AO44" s="9">
        <f t="shared" si="12"/>
        <v>321144</v>
      </c>
      <c r="AP44" s="9">
        <f t="shared" si="25"/>
        <v>321144</v>
      </c>
      <c r="AQ44" s="9">
        <f t="shared" si="26"/>
        <v>321144</v>
      </c>
      <c r="AR44" s="291">
        <v>1417583</v>
      </c>
      <c r="AS44" s="9">
        <f t="shared" si="27"/>
        <v>1096439</v>
      </c>
      <c r="AT44" s="297" t="str">
        <f t="shared" si="28"/>
        <v>No</v>
      </c>
      <c r="AU44" s="357">
        <v>962317</v>
      </c>
      <c r="AV44" s="291">
        <f t="shared" si="13"/>
        <v>91333.368699999992</v>
      </c>
      <c r="AW44" s="291">
        <f t="shared" si="29"/>
        <v>962317</v>
      </c>
      <c r="AX44" s="291">
        <f t="shared" si="14"/>
        <v>962317</v>
      </c>
      <c r="AY44" s="358">
        <f t="shared" si="30"/>
        <v>0</v>
      </c>
      <c r="AZ44" s="301"/>
      <c r="BA44" s="301"/>
      <c r="BB44" s="302"/>
      <c r="BC44" s="291"/>
      <c r="BD44" s="298"/>
      <c r="BF44" s="298"/>
      <c r="BG44" s="298"/>
      <c r="BK44" s="298"/>
      <c r="BL44" s="298"/>
      <c r="BM44" s="298"/>
      <c r="BN44" s="298"/>
      <c r="BO44" s="298"/>
    </row>
    <row r="45" spans="1:67" ht="15" x14ac:dyDescent="0.2">
      <c r="A45" s="10" t="s">
        <v>8</v>
      </c>
      <c r="B45" s="10"/>
      <c r="C45" s="276"/>
      <c r="D45" s="276"/>
      <c r="E45" s="276"/>
      <c r="F45" s="8">
        <v>9</v>
      </c>
      <c r="G45" s="360">
        <v>54</v>
      </c>
      <c r="H45" s="10">
        <v>19</v>
      </c>
      <c r="I45" s="7" t="s">
        <v>29</v>
      </c>
      <c r="J45" s="287"/>
      <c r="K45" s="356">
        <v>1154.98</v>
      </c>
      <c r="L45" s="360"/>
      <c r="M45" s="289"/>
      <c r="N45" s="357">
        <v>377</v>
      </c>
      <c r="O45" s="290">
        <f t="shared" si="3"/>
        <v>0.32641257857278916</v>
      </c>
      <c r="P45" s="290">
        <f t="shared" si="15"/>
        <v>0</v>
      </c>
      <c r="Q45" s="291">
        <f t="shared" si="4"/>
        <v>0</v>
      </c>
      <c r="R45" s="291">
        <f t="shared" si="16"/>
        <v>0</v>
      </c>
      <c r="S45" s="357">
        <v>14</v>
      </c>
      <c r="T45" s="292">
        <f t="shared" si="5"/>
        <v>113.1</v>
      </c>
      <c r="U45" s="254">
        <f t="shared" si="17"/>
        <v>1271.58</v>
      </c>
      <c r="V45" s="356">
        <v>903194473.33000004</v>
      </c>
      <c r="W45" s="357">
        <v>8243</v>
      </c>
      <c r="X45" s="264">
        <f t="shared" si="6"/>
        <v>109571.09</v>
      </c>
      <c r="Y45" s="293">
        <f t="shared" si="7"/>
        <v>0.56912099999999999</v>
      </c>
      <c r="Z45" s="357">
        <v>72090</v>
      </c>
      <c r="AA45" s="293">
        <f t="shared" si="8"/>
        <v>0.59828599999999998</v>
      </c>
      <c r="AB45" s="293">
        <f t="shared" si="9"/>
        <v>0.42213000000000001</v>
      </c>
      <c r="AC45" s="294">
        <f t="shared" si="10"/>
        <v>0.42213000000000001</v>
      </c>
      <c r="AD45" s="295">
        <f t="shared" si="18"/>
        <v>0</v>
      </c>
      <c r="AE45" s="296">
        <f t="shared" si="19"/>
        <v>0.42213000000000001</v>
      </c>
      <c r="AF45" s="357">
        <v>0</v>
      </c>
      <c r="AG45" s="357">
        <v>0</v>
      </c>
      <c r="AH45" s="254">
        <f t="shared" si="20"/>
        <v>0</v>
      </c>
      <c r="AI45" s="9">
        <f t="shared" si="11"/>
        <v>0</v>
      </c>
      <c r="AJ45" s="9">
        <v>202</v>
      </c>
      <c r="AK45" s="9">
        <f t="shared" si="21"/>
        <v>4</v>
      </c>
      <c r="AL45" s="9">
        <f t="shared" si="22"/>
        <v>400</v>
      </c>
      <c r="AM45" s="9">
        <f t="shared" si="23"/>
        <v>80800</v>
      </c>
      <c r="AN45" s="9">
        <f t="shared" si="24"/>
        <v>80800</v>
      </c>
      <c r="AO45" s="9">
        <f t="shared" si="12"/>
        <v>6186298</v>
      </c>
      <c r="AP45" s="9">
        <f t="shared" si="25"/>
        <v>6267098</v>
      </c>
      <c r="AQ45" s="9">
        <f t="shared" si="26"/>
        <v>6267098</v>
      </c>
      <c r="AR45" s="291">
        <v>6975373</v>
      </c>
      <c r="AS45" s="9">
        <f t="shared" si="27"/>
        <v>708275</v>
      </c>
      <c r="AT45" s="297" t="str">
        <f t="shared" si="28"/>
        <v>No</v>
      </c>
      <c r="AU45" s="357">
        <v>6926095</v>
      </c>
      <c r="AV45" s="291">
        <f t="shared" si="13"/>
        <v>58999.307500000003</v>
      </c>
      <c r="AW45" s="291">
        <f t="shared" si="29"/>
        <v>6926095</v>
      </c>
      <c r="AX45" s="291">
        <f t="shared" si="14"/>
        <v>6926095</v>
      </c>
      <c r="AY45" s="358">
        <f t="shared" si="30"/>
        <v>0</v>
      </c>
      <c r="AZ45" s="301"/>
      <c r="BA45" s="301"/>
      <c r="BB45" s="302"/>
      <c r="BC45" s="291"/>
      <c r="BD45" s="298"/>
      <c r="BF45" s="298"/>
      <c r="BG45" s="298"/>
      <c r="BK45" s="298"/>
      <c r="BL45" s="298"/>
      <c r="BM45" s="298"/>
      <c r="BN45" s="298"/>
      <c r="BO45" s="298"/>
    </row>
    <row r="46" spans="1:67" ht="15" x14ac:dyDescent="0.2">
      <c r="A46" s="10" t="s">
        <v>4</v>
      </c>
      <c r="B46" s="10"/>
      <c r="C46" s="276"/>
      <c r="D46" s="276"/>
      <c r="E46" s="276"/>
      <c r="F46" s="8">
        <v>3</v>
      </c>
      <c r="G46" s="355">
        <v>128</v>
      </c>
      <c r="H46" s="10">
        <v>20</v>
      </c>
      <c r="I46" s="7" t="s">
        <v>30</v>
      </c>
      <c r="J46" s="287"/>
      <c r="K46" s="356">
        <v>1492.32</v>
      </c>
      <c r="L46" s="355"/>
      <c r="M46" s="289"/>
      <c r="N46" s="357">
        <v>170</v>
      </c>
      <c r="O46" s="290">
        <f t="shared" si="3"/>
        <v>0.11391658625495872</v>
      </c>
      <c r="P46" s="290">
        <f t="shared" si="15"/>
        <v>0</v>
      </c>
      <c r="Q46" s="291">
        <f t="shared" si="4"/>
        <v>0</v>
      </c>
      <c r="R46" s="291">
        <f t="shared" si="16"/>
        <v>0</v>
      </c>
      <c r="S46" s="357">
        <v>31</v>
      </c>
      <c r="T46" s="292">
        <f t="shared" si="5"/>
        <v>51</v>
      </c>
      <c r="U46" s="254">
        <f t="shared" si="17"/>
        <v>1551.07</v>
      </c>
      <c r="V46" s="356">
        <v>1354355903.3299999</v>
      </c>
      <c r="W46" s="357">
        <v>9607</v>
      </c>
      <c r="X46" s="264">
        <f t="shared" si="6"/>
        <v>140975.94</v>
      </c>
      <c r="Y46" s="293">
        <f t="shared" si="7"/>
        <v>0.73224100000000003</v>
      </c>
      <c r="Z46" s="357">
        <v>126341</v>
      </c>
      <c r="AA46" s="293">
        <f t="shared" si="8"/>
        <v>1.0485230000000001</v>
      </c>
      <c r="AB46" s="293">
        <f t="shared" si="9"/>
        <v>0.172874</v>
      </c>
      <c r="AC46" s="294">
        <f t="shared" si="10"/>
        <v>0.172874</v>
      </c>
      <c r="AD46" s="295">
        <f t="shared" si="18"/>
        <v>0</v>
      </c>
      <c r="AE46" s="296">
        <f t="shared" si="19"/>
        <v>0.172874</v>
      </c>
      <c r="AF46" s="357">
        <v>1493</v>
      </c>
      <c r="AG46" s="357">
        <v>13</v>
      </c>
      <c r="AH46" s="254">
        <f t="shared" si="20"/>
        <v>1300</v>
      </c>
      <c r="AI46" s="9">
        <f t="shared" si="11"/>
        <v>1940900</v>
      </c>
      <c r="AJ46" s="9">
        <v>0</v>
      </c>
      <c r="AK46" s="9">
        <f t="shared" si="21"/>
        <v>0</v>
      </c>
      <c r="AL46" s="9">
        <f t="shared" si="22"/>
        <v>0</v>
      </c>
      <c r="AM46" s="9">
        <f t="shared" si="23"/>
        <v>0</v>
      </c>
      <c r="AN46" s="9">
        <f t="shared" si="24"/>
        <v>1940900</v>
      </c>
      <c r="AO46" s="9">
        <f t="shared" si="12"/>
        <v>3090310</v>
      </c>
      <c r="AP46" s="9">
        <f t="shared" si="25"/>
        <v>5031210</v>
      </c>
      <c r="AQ46" s="9">
        <f t="shared" si="26"/>
        <v>5031210</v>
      </c>
      <c r="AR46" s="291">
        <v>4359350</v>
      </c>
      <c r="AS46" s="9">
        <f t="shared" si="27"/>
        <v>671860</v>
      </c>
      <c r="AT46" s="297" t="str">
        <f t="shared" si="28"/>
        <v>Yes</v>
      </c>
      <c r="AU46" s="357">
        <v>3923648</v>
      </c>
      <c r="AV46" s="291">
        <f t="shared" si="13"/>
        <v>71620.275999999998</v>
      </c>
      <c r="AW46" s="291">
        <f t="shared" si="29"/>
        <v>3995268.2760000001</v>
      </c>
      <c r="AX46" s="291">
        <f t="shared" si="14"/>
        <v>3995268.2760000001</v>
      </c>
      <c r="AY46" s="358">
        <f t="shared" si="30"/>
        <v>71620.276000000071</v>
      </c>
      <c r="AZ46" s="301"/>
      <c r="BA46" s="301"/>
      <c r="BB46" s="302"/>
      <c r="BC46" s="291"/>
      <c r="BD46" s="298"/>
      <c r="BF46" s="298"/>
      <c r="BG46" s="298"/>
      <c r="BK46" s="298"/>
      <c r="BL46" s="298"/>
      <c r="BM46" s="298"/>
      <c r="BN46" s="298"/>
      <c r="BO46" s="298"/>
    </row>
    <row r="47" spans="1:67" ht="15" x14ac:dyDescent="0.2">
      <c r="A47" s="10" t="s">
        <v>8</v>
      </c>
      <c r="B47" s="10"/>
      <c r="C47" s="276"/>
      <c r="D47" s="276"/>
      <c r="E47" s="276"/>
      <c r="F47" s="8">
        <v>4</v>
      </c>
      <c r="G47" s="355">
        <v>152</v>
      </c>
      <c r="H47" s="10">
        <v>21</v>
      </c>
      <c r="I47" s="7" t="s">
        <v>31</v>
      </c>
      <c r="J47" s="287"/>
      <c r="K47" s="356">
        <v>99.1</v>
      </c>
      <c r="L47" s="355"/>
      <c r="M47" s="289"/>
      <c r="N47" s="357">
        <v>38</v>
      </c>
      <c r="O47" s="290">
        <f t="shared" si="3"/>
        <v>0.38345105953582242</v>
      </c>
      <c r="P47" s="290">
        <f t="shared" si="15"/>
        <v>0</v>
      </c>
      <c r="Q47" s="291">
        <f t="shared" si="4"/>
        <v>0</v>
      </c>
      <c r="R47" s="291">
        <f t="shared" si="16"/>
        <v>0</v>
      </c>
      <c r="S47" s="357">
        <v>2</v>
      </c>
      <c r="T47" s="292">
        <f t="shared" si="5"/>
        <v>11.4</v>
      </c>
      <c r="U47" s="254">
        <f t="shared" si="17"/>
        <v>111</v>
      </c>
      <c r="V47" s="356">
        <v>252403063.33000001</v>
      </c>
      <c r="W47" s="357">
        <v>1196</v>
      </c>
      <c r="X47" s="264">
        <f t="shared" si="6"/>
        <v>211039.35</v>
      </c>
      <c r="Y47" s="293">
        <f t="shared" si="7"/>
        <v>1.0961559999999999</v>
      </c>
      <c r="Z47" s="357">
        <v>77847</v>
      </c>
      <c r="AA47" s="293">
        <f t="shared" si="8"/>
        <v>0.64606399999999997</v>
      </c>
      <c r="AB47" s="293">
        <f t="shared" si="9"/>
        <v>3.8871999999999997E-2</v>
      </c>
      <c r="AC47" s="294">
        <f t="shared" si="10"/>
        <v>3.8871999999999997E-2</v>
      </c>
      <c r="AD47" s="295">
        <f t="shared" si="18"/>
        <v>0</v>
      </c>
      <c r="AE47" s="296">
        <f t="shared" si="19"/>
        <v>3.8871999999999997E-2</v>
      </c>
      <c r="AF47" s="357">
        <v>34</v>
      </c>
      <c r="AG47" s="357">
        <v>4</v>
      </c>
      <c r="AH47" s="254">
        <f t="shared" si="20"/>
        <v>400</v>
      </c>
      <c r="AI47" s="9">
        <f t="shared" si="11"/>
        <v>13600</v>
      </c>
      <c r="AJ47" s="9">
        <v>0</v>
      </c>
      <c r="AK47" s="9">
        <f t="shared" si="21"/>
        <v>0</v>
      </c>
      <c r="AL47" s="9">
        <f t="shared" si="22"/>
        <v>0</v>
      </c>
      <c r="AM47" s="9">
        <f t="shared" si="23"/>
        <v>0</v>
      </c>
      <c r="AN47" s="9">
        <f t="shared" si="24"/>
        <v>13600</v>
      </c>
      <c r="AO47" s="9">
        <f t="shared" si="12"/>
        <v>49728</v>
      </c>
      <c r="AP47" s="9">
        <f t="shared" si="25"/>
        <v>63328</v>
      </c>
      <c r="AQ47" s="9">
        <f t="shared" si="26"/>
        <v>63328</v>
      </c>
      <c r="AR47" s="291">
        <v>177216</v>
      </c>
      <c r="AS47" s="9">
        <f t="shared" si="27"/>
        <v>113888</v>
      </c>
      <c r="AT47" s="297" t="str">
        <f t="shared" si="28"/>
        <v>No</v>
      </c>
      <c r="AU47" s="357">
        <v>125752</v>
      </c>
      <c r="AV47" s="291">
        <f t="shared" si="13"/>
        <v>9486.8703999999998</v>
      </c>
      <c r="AW47" s="291">
        <f t="shared" si="29"/>
        <v>125752</v>
      </c>
      <c r="AX47" s="291">
        <f t="shared" si="14"/>
        <v>125752</v>
      </c>
      <c r="AY47" s="358">
        <f t="shared" si="30"/>
        <v>0</v>
      </c>
      <c r="AZ47" s="301"/>
      <c r="BA47" s="301"/>
      <c r="BB47" s="302"/>
      <c r="BC47" s="291"/>
      <c r="BD47" s="298"/>
      <c r="BF47" s="298"/>
      <c r="BG47" s="298"/>
      <c r="BK47" s="298"/>
      <c r="BL47" s="298"/>
      <c r="BM47" s="298"/>
      <c r="BN47" s="298"/>
      <c r="BO47" s="298"/>
    </row>
    <row r="48" spans="1:67" ht="15" x14ac:dyDescent="0.2">
      <c r="A48" s="10" t="s">
        <v>32</v>
      </c>
      <c r="B48" s="10"/>
      <c r="C48" s="276"/>
      <c r="D48" s="276"/>
      <c r="E48" s="276"/>
      <c r="F48" s="8">
        <v>8</v>
      </c>
      <c r="G48" s="355">
        <v>62</v>
      </c>
      <c r="H48" s="10">
        <v>22</v>
      </c>
      <c r="I48" s="7" t="s">
        <v>33</v>
      </c>
      <c r="J48" s="287"/>
      <c r="K48" s="356">
        <v>590</v>
      </c>
      <c r="L48" s="355"/>
      <c r="M48" s="289"/>
      <c r="N48" s="357">
        <v>155</v>
      </c>
      <c r="O48" s="290">
        <f t="shared" si="3"/>
        <v>0.26271186440677968</v>
      </c>
      <c r="P48" s="290">
        <f t="shared" si="15"/>
        <v>0</v>
      </c>
      <c r="Q48" s="291">
        <f t="shared" si="4"/>
        <v>0</v>
      </c>
      <c r="R48" s="291">
        <f t="shared" si="16"/>
        <v>0</v>
      </c>
      <c r="S48" s="357">
        <v>1</v>
      </c>
      <c r="T48" s="292">
        <f t="shared" si="5"/>
        <v>46.5</v>
      </c>
      <c r="U48" s="254">
        <f t="shared" si="17"/>
        <v>636.75</v>
      </c>
      <c r="V48" s="356">
        <v>550952590.33000004</v>
      </c>
      <c r="W48" s="357">
        <v>5074</v>
      </c>
      <c r="X48" s="264">
        <f t="shared" si="6"/>
        <v>108583.48</v>
      </c>
      <c r="Y48" s="293">
        <f t="shared" si="7"/>
        <v>0.56399200000000005</v>
      </c>
      <c r="Z48" s="357">
        <v>92835</v>
      </c>
      <c r="AA48" s="293">
        <f t="shared" si="8"/>
        <v>0.77045200000000003</v>
      </c>
      <c r="AB48" s="293">
        <f t="shared" si="9"/>
        <v>0.37407000000000001</v>
      </c>
      <c r="AC48" s="294">
        <f t="shared" si="10"/>
        <v>0.37407000000000001</v>
      </c>
      <c r="AD48" s="295">
        <f t="shared" si="18"/>
        <v>0</v>
      </c>
      <c r="AE48" s="296">
        <f t="shared" si="19"/>
        <v>0.37407000000000001</v>
      </c>
      <c r="AF48" s="357">
        <v>0</v>
      </c>
      <c r="AG48" s="357">
        <v>0</v>
      </c>
      <c r="AH48" s="254">
        <f t="shared" si="20"/>
        <v>0</v>
      </c>
      <c r="AI48" s="9">
        <f t="shared" si="11"/>
        <v>0</v>
      </c>
      <c r="AJ48" s="9">
        <v>147</v>
      </c>
      <c r="AK48" s="9">
        <f t="shared" si="21"/>
        <v>4</v>
      </c>
      <c r="AL48" s="9">
        <f t="shared" si="22"/>
        <v>400</v>
      </c>
      <c r="AM48" s="9">
        <f t="shared" si="23"/>
        <v>58800</v>
      </c>
      <c r="AN48" s="9">
        <f t="shared" si="24"/>
        <v>58800</v>
      </c>
      <c r="AO48" s="9">
        <f t="shared" si="12"/>
        <v>2745129</v>
      </c>
      <c r="AP48" s="9">
        <f t="shared" si="25"/>
        <v>2803929</v>
      </c>
      <c r="AQ48" s="9">
        <f t="shared" si="26"/>
        <v>2803929</v>
      </c>
      <c r="AR48" s="291">
        <v>4665608</v>
      </c>
      <c r="AS48" s="9">
        <f t="shared" si="27"/>
        <v>1861679</v>
      </c>
      <c r="AT48" s="297" t="str">
        <f t="shared" si="28"/>
        <v>No</v>
      </c>
      <c r="AU48" s="357">
        <v>4004835</v>
      </c>
      <c r="AV48" s="291">
        <f t="shared" si="13"/>
        <v>155077.86069999999</v>
      </c>
      <c r="AW48" s="291">
        <f t="shared" si="29"/>
        <v>4004835</v>
      </c>
      <c r="AX48" s="291">
        <f t="shared" si="14"/>
        <v>4004835</v>
      </c>
      <c r="AY48" s="358">
        <f t="shared" si="30"/>
        <v>0</v>
      </c>
      <c r="AZ48" s="301"/>
      <c r="BA48" s="301"/>
      <c r="BB48" s="302"/>
      <c r="BC48" s="291"/>
      <c r="BD48" s="298"/>
      <c r="BF48" s="298"/>
      <c r="BG48" s="298"/>
      <c r="BK48" s="298"/>
      <c r="BL48" s="298"/>
      <c r="BM48" s="298"/>
      <c r="BN48" s="298"/>
      <c r="BO48" s="298"/>
    </row>
    <row r="49" spans="1:67" ht="15" x14ac:dyDescent="0.2">
      <c r="A49" s="10" t="s">
        <v>4</v>
      </c>
      <c r="B49" s="10"/>
      <c r="C49" s="276"/>
      <c r="D49" s="276"/>
      <c r="E49" s="276"/>
      <c r="F49" s="8">
        <v>4</v>
      </c>
      <c r="G49" s="355">
        <v>130</v>
      </c>
      <c r="H49" s="10">
        <v>23</v>
      </c>
      <c r="I49" s="7" t="s">
        <v>34</v>
      </c>
      <c r="J49" s="287"/>
      <c r="K49" s="356">
        <v>1492.21</v>
      </c>
      <c r="L49" s="355"/>
      <c r="M49" s="289"/>
      <c r="N49" s="357">
        <v>180</v>
      </c>
      <c r="O49" s="290">
        <f t="shared" si="3"/>
        <v>0.1206264533812265</v>
      </c>
      <c r="P49" s="290">
        <f t="shared" si="15"/>
        <v>0</v>
      </c>
      <c r="Q49" s="291">
        <f t="shared" si="4"/>
        <v>0</v>
      </c>
      <c r="R49" s="291">
        <f t="shared" si="16"/>
        <v>0</v>
      </c>
      <c r="S49" s="357">
        <v>8</v>
      </c>
      <c r="T49" s="292">
        <f t="shared" si="5"/>
        <v>54</v>
      </c>
      <c r="U49" s="254">
        <f t="shared" si="17"/>
        <v>1548.21</v>
      </c>
      <c r="V49" s="356">
        <v>1550294648.6700001</v>
      </c>
      <c r="W49" s="357">
        <v>10306</v>
      </c>
      <c r="X49" s="264">
        <f t="shared" si="6"/>
        <v>150426.42000000001</v>
      </c>
      <c r="Y49" s="293">
        <f t="shared" si="7"/>
        <v>0.78132699999999999</v>
      </c>
      <c r="Z49" s="357">
        <v>89255</v>
      </c>
      <c r="AA49" s="293">
        <f t="shared" si="8"/>
        <v>0.74074099999999998</v>
      </c>
      <c r="AB49" s="293">
        <f t="shared" si="9"/>
        <v>0.230849</v>
      </c>
      <c r="AC49" s="294">
        <f t="shared" si="10"/>
        <v>0.230849</v>
      </c>
      <c r="AD49" s="295">
        <f t="shared" si="18"/>
        <v>0</v>
      </c>
      <c r="AE49" s="296">
        <f t="shared" si="19"/>
        <v>0.230849</v>
      </c>
      <c r="AF49" s="357">
        <v>0</v>
      </c>
      <c r="AG49" s="357">
        <v>0</v>
      </c>
      <c r="AH49" s="254">
        <f t="shared" si="20"/>
        <v>0</v>
      </c>
      <c r="AI49" s="9">
        <f t="shared" si="11"/>
        <v>0</v>
      </c>
      <c r="AJ49" s="9">
        <v>0</v>
      </c>
      <c r="AK49" s="9">
        <f t="shared" si="21"/>
        <v>0</v>
      </c>
      <c r="AL49" s="9">
        <f t="shared" si="22"/>
        <v>0</v>
      </c>
      <c r="AM49" s="9">
        <f t="shared" si="23"/>
        <v>0</v>
      </c>
      <c r="AN49" s="9">
        <f t="shared" si="24"/>
        <v>0</v>
      </c>
      <c r="AO49" s="9">
        <f t="shared" si="12"/>
        <v>4119066</v>
      </c>
      <c r="AP49" s="9">
        <f t="shared" si="25"/>
        <v>4119066</v>
      </c>
      <c r="AQ49" s="9">
        <f t="shared" si="26"/>
        <v>4119066</v>
      </c>
      <c r="AR49" s="291">
        <v>3403900</v>
      </c>
      <c r="AS49" s="9">
        <f t="shared" si="27"/>
        <v>715166</v>
      </c>
      <c r="AT49" s="297" t="str">
        <f t="shared" si="28"/>
        <v>Yes</v>
      </c>
      <c r="AU49" s="357">
        <v>3423208</v>
      </c>
      <c r="AV49" s="291">
        <f t="shared" si="13"/>
        <v>76236.695600000006</v>
      </c>
      <c r="AW49" s="291">
        <f t="shared" si="29"/>
        <v>3499444.6956000002</v>
      </c>
      <c r="AX49" s="291">
        <f t="shared" si="14"/>
        <v>3499444.6956000002</v>
      </c>
      <c r="AY49" s="358">
        <f t="shared" si="30"/>
        <v>76236.69560000021</v>
      </c>
      <c r="AZ49" s="301"/>
      <c r="BA49" s="301"/>
      <c r="BB49" s="302"/>
      <c r="BC49" s="291"/>
      <c r="BD49" s="298"/>
      <c r="BF49" s="298"/>
      <c r="BG49" s="298"/>
      <c r="BK49" s="298"/>
      <c r="BL49" s="298"/>
      <c r="BM49" s="298"/>
      <c r="BN49" s="298"/>
      <c r="BO49" s="298"/>
    </row>
    <row r="50" spans="1:67" ht="15" x14ac:dyDescent="0.2">
      <c r="A50" s="10" t="s">
        <v>8</v>
      </c>
      <c r="B50" s="10"/>
      <c r="C50" s="276"/>
      <c r="D50" s="276"/>
      <c r="E50" s="276"/>
      <c r="F50" s="8">
        <v>9</v>
      </c>
      <c r="G50" s="359">
        <v>36</v>
      </c>
      <c r="H50" s="10">
        <v>24</v>
      </c>
      <c r="I50" s="7" t="s">
        <v>35</v>
      </c>
      <c r="J50" s="287"/>
      <c r="K50" s="356">
        <v>238.68</v>
      </c>
      <c r="L50" s="359"/>
      <c r="M50" s="289"/>
      <c r="N50" s="357">
        <v>101</v>
      </c>
      <c r="O50" s="290">
        <f t="shared" si="3"/>
        <v>0.42316071727836435</v>
      </c>
      <c r="P50" s="290">
        <f t="shared" si="15"/>
        <v>0</v>
      </c>
      <c r="Q50" s="291">
        <f t="shared" si="4"/>
        <v>0</v>
      </c>
      <c r="R50" s="291">
        <f t="shared" si="16"/>
        <v>0</v>
      </c>
      <c r="S50" s="357">
        <v>4</v>
      </c>
      <c r="T50" s="292">
        <f t="shared" si="5"/>
        <v>30.3</v>
      </c>
      <c r="U50" s="254">
        <f t="shared" si="17"/>
        <v>269.98</v>
      </c>
      <c r="V50" s="356">
        <v>295317266.67000002</v>
      </c>
      <c r="W50" s="357">
        <v>2329</v>
      </c>
      <c r="X50" s="264">
        <f t="shared" si="6"/>
        <v>126800.03</v>
      </c>
      <c r="Y50" s="293">
        <f t="shared" si="7"/>
        <v>0.65861000000000003</v>
      </c>
      <c r="Z50" s="357">
        <v>68889</v>
      </c>
      <c r="AA50" s="293">
        <f t="shared" si="8"/>
        <v>0.57172000000000001</v>
      </c>
      <c r="AB50" s="293">
        <f t="shared" si="9"/>
        <v>0.36745699999999998</v>
      </c>
      <c r="AC50" s="294">
        <f t="shared" si="10"/>
        <v>0.36745699999999998</v>
      </c>
      <c r="AD50" s="295">
        <f t="shared" si="18"/>
        <v>0</v>
      </c>
      <c r="AE50" s="296">
        <f t="shared" si="19"/>
        <v>0.36745699999999998</v>
      </c>
      <c r="AF50" s="357">
        <v>105</v>
      </c>
      <c r="AG50" s="357">
        <v>6</v>
      </c>
      <c r="AH50" s="254">
        <f t="shared" si="20"/>
        <v>600</v>
      </c>
      <c r="AI50" s="9">
        <f t="shared" si="11"/>
        <v>63000</v>
      </c>
      <c r="AJ50" s="9">
        <v>0</v>
      </c>
      <c r="AK50" s="9">
        <f t="shared" si="21"/>
        <v>0</v>
      </c>
      <c r="AL50" s="9">
        <f t="shared" si="22"/>
        <v>0</v>
      </c>
      <c r="AM50" s="9">
        <f t="shared" si="23"/>
        <v>0</v>
      </c>
      <c r="AN50" s="9">
        <f t="shared" si="24"/>
        <v>63000</v>
      </c>
      <c r="AO50" s="9">
        <f t="shared" si="12"/>
        <v>1143350</v>
      </c>
      <c r="AP50" s="9">
        <f t="shared" si="25"/>
        <v>1206350</v>
      </c>
      <c r="AQ50" s="9">
        <f t="shared" si="26"/>
        <v>1206350</v>
      </c>
      <c r="AR50" s="291">
        <v>1856992</v>
      </c>
      <c r="AS50" s="9">
        <f t="shared" si="27"/>
        <v>650642</v>
      </c>
      <c r="AT50" s="297" t="str">
        <f t="shared" si="28"/>
        <v>No</v>
      </c>
      <c r="AU50" s="357">
        <v>1652147</v>
      </c>
      <c r="AV50" s="291">
        <f t="shared" si="13"/>
        <v>54198.478600000002</v>
      </c>
      <c r="AW50" s="291">
        <f t="shared" si="29"/>
        <v>1652147</v>
      </c>
      <c r="AX50" s="291">
        <f t="shared" si="14"/>
        <v>1652147</v>
      </c>
      <c r="AY50" s="358">
        <f t="shared" si="30"/>
        <v>0</v>
      </c>
      <c r="AZ50" s="301"/>
      <c r="BA50" s="301"/>
      <c r="BB50" s="302"/>
      <c r="BC50" s="291"/>
      <c r="BD50" s="298"/>
      <c r="BF50" s="298"/>
      <c r="BG50" s="298"/>
      <c r="BK50" s="298"/>
      <c r="BL50" s="298"/>
      <c r="BM50" s="298"/>
      <c r="BN50" s="298"/>
      <c r="BO50" s="298"/>
    </row>
    <row r="51" spans="1:67" ht="15" x14ac:dyDescent="0.2">
      <c r="A51" s="10" t="s">
        <v>10</v>
      </c>
      <c r="B51" s="10"/>
      <c r="C51" s="276"/>
      <c r="D51" s="276"/>
      <c r="E51" s="276"/>
      <c r="F51" s="8">
        <v>4</v>
      </c>
      <c r="G51" s="355">
        <v>132</v>
      </c>
      <c r="H51" s="10">
        <v>25</v>
      </c>
      <c r="I51" s="7" t="s">
        <v>36</v>
      </c>
      <c r="J51" s="287"/>
      <c r="K51" s="356">
        <v>4077.98</v>
      </c>
      <c r="L51" s="355"/>
      <c r="M51" s="289"/>
      <c r="N51" s="357">
        <v>624</v>
      </c>
      <c r="O51" s="290">
        <f t="shared" si="3"/>
        <v>0.15301693485500173</v>
      </c>
      <c r="P51" s="290">
        <f t="shared" si="15"/>
        <v>0</v>
      </c>
      <c r="Q51" s="291">
        <f t="shared" si="4"/>
        <v>0</v>
      </c>
      <c r="R51" s="291">
        <f t="shared" si="16"/>
        <v>0</v>
      </c>
      <c r="S51" s="357">
        <v>75</v>
      </c>
      <c r="T51" s="292">
        <f t="shared" si="5"/>
        <v>187.2</v>
      </c>
      <c r="U51" s="254">
        <f t="shared" si="17"/>
        <v>4283.93</v>
      </c>
      <c r="V51" s="356">
        <v>4115533223</v>
      </c>
      <c r="W51" s="357">
        <v>29208</v>
      </c>
      <c r="X51" s="264">
        <f t="shared" si="6"/>
        <v>140904.31</v>
      </c>
      <c r="Y51" s="293">
        <f t="shared" si="7"/>
        <v>0.73186899999999999</v>
      </c>
      <c r="Z51" s="357">
        <v>112945</v>
      </c>
      <c r="AA51" s="293">
        <f t="shared" si="8"/>
        <v>0.93734799999999996</v>
      </c>
      <c r="AB51" s="293">
        <f t="shared" si="9"/>
        <v>0.206487</v>
      </c>
      <c r="AC51" s="294">
        <f t="shared" si="10"/>
        <v>0.206487</v>
      </c>
      <c r="AD51" s="295">
        <f t="shared" si="18"/>
        <v>0</v>
      </c>
      <c r="AE51" s="296">
        <f t="shared" si="19"/>
        <v>0.206487</v>
      </c>
      <c r="AF51" s="357">
        <v>0</v>
      </c>
      <c r="AG51" s="357">
        <v>0</v>
      </c>
      <c r="AH51" s="254">
        <f t="shared" si="20"/>
        <v>0</v>
      </c>
      <c r="AI51" s="9">
        <f t="shared" si="11"/>
        <v>0</v>
      </c>
      <c r="AJ51" s="9">
        <v>0</v>
      </c>
      <c r="AK51" s="9">
        <f t="shared" si="21"/>
        <v>0</v>
      </c>
      <c r="AL51" s="9">
        <f t="shared" si="22"/>
        <v>0</v>
      </c>
      <c r="AM51" s="9">
        <f t="shared" si="23"/>
        <v>0</v>
      </c>
      <c r="AN51" s="9">
        <f t="shared" si="24"/>
        <v>0</v>
      </c>
      <c r="AO51" s="9">
        <f t="shared" si="12"/>
        <v>10194737</v>
      </c>
      <c r="AP51" s="9">
        <f t="shared" si="25"/>
        <v>10194737</v>
      </c>
      <c r="AQ51" s="9">
        <f t="shared" si="26"/>
        <v>10194737</v>
      </c>
      <c r="AR51" s="291">
        <v>9436665</v>
      </c>
      <c r="AS51" s="9">
        <f t="shared" si="27"/>
        <v>758072</v>
      </c>
      <c r="AT51" s="297" t="str">
        <f t="shared" si="28"/>
        <v>Yes</v>
      </c>
      <c r="AU51" s="357">
        <v>9339412</v>
      </c>
      <c r="AV51" s="291">
        <f t="shared" si="13"/>
        <v>80810.475200000001</v>
      </c>
      <c r="AW51" s="291">
        <f t="shared" si="29"/>
        <v>9420222.4751999993</v>
      </c>
      <c r="AX51" s="291">
        <f t="shared" si="14"/>
        <v>9420222.4751999993</v>
      </c>
      <c r="AY51" s="358">
        <f t="shared" si="30"/>
        <v>80810.475199999288</v>
      </c>
      <c r="AZ51" s="301"/>
      <c r="BA51" s="301"/>
      <c r="BB51" s="302"/>
      <c r="BC51" s="291"/>
      <c r="BD51" s="298"/>
      <c r="BF51" s="298"/>
      <c r="BG51" s="298"/>
      <c r="BK51" s="298"/>
      <c r="BL51" s="298"/>
      <c r="BM51" s="298"/>
      <c r="BN51" s="298"/>
      <c r="BO51" s="298"/>
    </row>
    <row r="52" spans="1:67" ht="15" x14ac:dyDescent="0.2">
      <c r="A52" s="10" t="s">
        <v>8</v>
      </c>
      <c r="B52" s="10"/>
      <c r="C52" s="276"/>
      <c r="D52" s="276"/>
      <c r="E52" s="276"/>
      <c r="F52" s="8">
        <v>4</v>
      </c>
      <c r="G52" s="355">
        <v>122</v>
      </c>
      <c r="H52" s="10">
        <v>26</v>
      </c>
      <c r="I52" s="7" t="s">
        <v>37</v>
      </c>
      <c r="J52" s="287"/>
      <c r="K52" s="356">
        <v>408.86</v>
      </c>
      <c r="L52" s="355"/>
      <c r="M52" s="289"/>
      <c r="N52" s="357">
        <v>102</v>
      </c>
      <c r="O52" s="290">
        <f t="shared" si="3"/>
        <v>0.24947414762999559</v>
      </c>
      <c r="P52" s="290">
        <f t="shared" si="15"/>
        <v>0</v>
      </c>
      <c r="Q52" s="291">
        <f t="shared" si="4"/>
        <v>0</v>
      </c>
      <c r="R52" s="291">
        <f t="shared" si="16"/>
        <v>0</v>
      </c>
      <c r="S52" s="357">
        <v>6</v>
      </c>
      <c r="T52" s="292">
        <f t="shared" si="5"/>
        <v>30.6</v>
      </c>
      <c r="U52" s="254">
        <f t="shared" si="17"/>
        <v>440.96000000000004</v>
      </c>
      <c r="V52" s="356">
        <v>645287072</v>
      </c>
      <c r="W52" s="357">
        <v>4268</v>
      </c>
      <c r="X52" s="264">
        <f t="shared" si="6"/>
        <v>151191.91</v>
      </c>
      <c r="Y52" s="293">
        <f t="shared" si="7"/>
        <v>0.78530299999999997</v>
      </c>
      <c r="Z52" s="357">
        <v>92417</v>
      </c>
      <c r="AA52" s="293">
        <f t="shared" si="8"/>
        <v>0.76698299999999997</v>
      </c>
      <c r="AB52" s="293">
        <f t="shared" si="9"/>
        <v>0.220193</v>
      </c>
      <c r="AC52" s="294">
        <f t="shared" si="10"/>
        <v>0.220193</v>
      </c>
      <c r="AD52" s="295">
        <f t="shared" si="18"/>
        <v>0</v>
      </c>
      <c r="AE52" s="296">
        <f t="shared" si="19"/>
        <v>0.220193</v>
      </c>
      <c r="AF52" s="357">
        <v>201</v>
      </c>
      <c r="AG52" s="357">
        <v>6</v>
      </c>
      <c r="AH52" s="254">
        <f t="shared" si="20"/>
        <v>600</v>
      </c>
      <c r="AI52" s="9">
        <f t="shared" si="11"/>
        <v>120600</v>
      </c>
      <c r="AJ52" s="9">
        <v>0</v>
      </c>
      <c r="AK52" s="9">
        <f t="shared" si="21"/>
        <v>0</v>
      </c>
      <c r="AL52" s="9">
        <f t="shared" si="22"/>
        <v>0</v>
      </c>
      <c r="AM52" s="9">
        <f t="shared" si="23"/>
        <v>0</v>
      </c>
      <c r="AN52" s="9">
        <f t="shared" si="24"/>
        <v>120600</v>
      </c>
      <c r="AO52" s="9">
        <f t="shared" si="12"/>
        <v>1119035</v>
      </c>
      <c r="AP52" s="9">
        <f t="shared" si="25"/>
        <v>1239635</v>
      </c>
      <c r="AQ52" s="9">
        <f t="shared" si="26"/>
        <v>1239635</v>
      </c>
      <c r="AR52" s="291">
        <v>659216</v>
      </c>
      <c r="AS52" s="9">
        <f t="shared" si="27"/>
        <v>580419</v>
      </c>
      <c r="AT52" s="297" t="str">
        <f t="shared" si="28"/>
        <v>Yes</v>
      </c>
      <c r="AU52" s="357">
        <v>768291</v>
      </c>
      <c r="AV52" s="291">
        <f t="shared" si="13"/>
        <v>61872.665399999998</v>
      </c>
      <c r="AW52" s="291">
        <f t="shared" si="29"/>
        <v>830163.66540000006</v>
      </c>
      <c r="AX52" s="291">
        <f t="shared" si="14"/>
        <v>830163.66540000006</v>
      </c>
      <c r="AY52" s="358">
        <f t="shared" si="30"/>
        <v>61872.665400000056</v>
      </c>
      <c r="AZ52" s="301"/>
      <c r="BA52" s="301"/>
      <c r="BB52" s="302"/>
      <c r="BC52" s="291"/>
      <c r="BD52" s="298"/>
      <c r="BF52" s="298"/>
      <c r="BG52" s="298"/>
      <c r="BK52" s="298"/>
      <c r="BL52" s="298"/>
      <c r="BM52" s="298"/>
      <c r="BN52" s="298"/>
      <c r="BO52" s="298"/>
    </row>
    <row r="53" spans="1:67" ht="15" x14ac:dyDescent="0.2">
      <c r="A53" s="10" t="s">
        <v>14</v>
      </c>
      <c r="B53" s="10"/>
      <c r="C53" s="276"/>
      <c r="D53" s="276"/>
      <c r="E53" s="276"/>
      <c r="F53" s="8">
        <v>5</v>
      </c>
      <c r="G53" s="355">
        <v>84</v>
      </c>
      <c r="H53" s="10">
        <v>27</v>
      </c>
      <c r="I53" s="7" t="s">
        <v>38</v>
      </c>
      <c r="J53" s="287"/>
      <c r="K53" s="356">
        <v>1551.28</v>
      </c>
      <c r="L53" s="355"/>
      <c r="M53" s="289"/>
      <c r="N53" s="357">
        <v>577</v>
      </c>
      <c r="O53" s="290">
        <f t="shared" si="3"/>
        <v>0.37195090505904804</v>
      </c>
      <c r="P53" s="290">
        <f t="shared" si="15"/>
        <v>0</v>
      </c>
      <c r="Q53" s="291">
        <f t="shared" si="4"/>
        <v>0</v>
      </c>
      <c r="R53" s="291">
        <f t="shared" si="16"/>
        <v>0</v>
      </c>
      <c r="S53" s="357">
        <v>108</v>
      </c>
      <c r="T53" s="292">
        <f t="shared" si="5"/>
        <v>173.1</v>
      </c>
      <c r="U53" s="254">
        <f t="shared" si="17"/>
        <v>1751.3799999999999</v>
      </c>
      <c r="V53" s="356">
        <v>2321389950</v>
      </c>
      <c r="W53" s="357">
        <v>12976</v>
      </c>
      <c r="X53" s="264">
        <f t="shared" si="6"/>
        <v>178898.73</v>
      </c>
      <c r="Y53" s="293">
        <f t="shared" si="7"/>
        <v>0.92921500000000001</v>
      </c>
      <c r="Z53" s="357">
        <v>76360</v>
      </c>
      <c r="AA53" s="293">
        <f t="shared" si="8"/>
        <v>0.63372300000000004</v>
      </c>
      <c r="AB53" s="293">
        <f t="shared" si="9"/>
        <v>0.15943299999999999</v>
      </c>
      <c r="AC53" s="294">
        <f t="shared" si="10"/>
        <v>0.15943299999999999</v>
      </c>
      <c r="AD53" s="295">
        <f t="shared" si="18"/>
        <v>0</v>
      </c>
      <c r="AE53" s="296">
        <f t="shared" si="19"/>
        <v>0.15943299999999999</v>
      </c>
      <c r="AF53" s="357">
        <v>0</v>
      </c>
      <c r="AG53" s="357">
        <v>0</v>
      </c>
      <c r="AH53" s="254">
        <f t="shared" si="20"/>
        <v>0</v>
      </c>
      <c r="AI53" s="9">
        <f t="shared" si="11"/>
        <v>0</v>
      </c>
      <c r="AJ53" s="9">
        <v>0</v>
      </c>
      <c r="AK53" s="9">
        <f t="shared" si="21"/>
        <v>0</v>
      </c>
      <c r="AL53" s="9">
        <f t="shared" si="22"/>
        <v>0</v>
      </c>
      <c r="AM53" s="9">
        <f t="shared" si="23"/>
        <v>0</v>
      </c>
      <c r="AN53" s="9">
        <f t="shared" si="24"/>
        <v>0</v>
      </c>
      <c r="AO53" s="9">
        <f t="shared" si="12"/>
        <v>3218100</v>
      </c>
      <c r="AP53" s="9">
        <f t="shared" si="25"/>
        <v>3218100</v>
      </c>
      <c r="AQ53" s="9">
        <f t="shared" si="26"/>
        <v>3218100</v>
      </c>
      <c r="AR53" s="291">
        <v>6326998</v>
      </c>
      <c r="AS53" s="9">
        <f t="shared" si="27"/>
        <v>3108898</v>
      </c>
      <c r="AT53" s="297" t="str">
        <f t="shared" si="28"/>
        <v>No</v>
      </c>
      <c r="AU53" s="357">
        <v>5192084</v>
      </c>
      <c r="AV53" s="291">
        <f t="shared" si="13"/>
        <v>258971.2034</v>
      </c>
      <c r="AW53" s="291">
        <f t="shared" si="29"/>
        <v>5192084</v>
      </c>
      <c r="AX53" s="291">
        <f t="shared" si="14"/>
        <v>5192084</v>
      </c>
      <c r="AY53" s="358">
        <f t="shared" si="30"/>
        <v>0</v>
      </c>
      <c r="AZ53" s="301"/>
      <c r="BA53" s="301"/>
      <c r="BB53" s="302"/>
      <c r="BC53" s="291"/>
      <c r="BD53" s="298"/>
      <c r="BF53" s="298"/>
      <c r="BG53" s="298"/>
      <c r="BK53" s="298"/>
      <c r="BL53" s="298"/>
      <c r="BM53" s="298"/>
      <c r="BN53" s="298"/>
      <c r="BO53" s="298"/>
    </row>
    <row r="54" spans="1:67" ht="15" x14ac:dyDescent="0.2">
      <c r="A54" s="10" t="s">
        <v>14</v>
      </c>
      <c r="B54" s="10"/>
      <c r="C54" s="276"/>
      <c r="D54" s="276"/>
      <c r="E54" s="276"/>
      <c r="F54" s="8">
        <v>6</v>
      </c>
      <c r="G54" s="355">
        <v>64</v>
      </c>
      <c r="H54" s="10">
        <v>28</v>
      </c>
      <c r="I54" s="7" t="s">
        <v>39</v>
      </c>
      <c r="J54" s="287"/>
      <c r="K54" s="356">
        <v>2211.62</v>
      </c>
      <c r="L54" s="355"/>
      <c r="M54" s="289"/>
      <c r="N54" s="357">
        <v>518</v>
      </c>
      <c r="O54" s="290">
        <f t="shared" si="3"/>
        <v>0.23421745146092007</v>
      </c>
      <c r="P54" s="290">
        <f t="shared" si="15"/>
        <v>0</v>
      </c>
      <c r="Q54" s="291">
        <f t="shared" si="4"/>
        <v>0</v>
      </c>
      <c r="R54" s="291">
        <f t="shared" si="16"/>
        <v>0</v>
      </c>
      <c r="S54" s="357">
        <v>13</v>
      </c>
      <c r="T54" s="292">
        <f t="shared" si="5"/>
        <v>155.4</v>
      </c>
      <c r="U54" s="254">
        <f t="shared" si="17"/>
        <v>2370.27</v>
      </c>
      <c r="V54" s="356">
        <v>1788735536</v>
      </c>
      <c r="W54" s="357">
        <v>15927</v>
      </c>
      <c r="X54" s="264">
        <f t="shared" si="6"/>
        <v>112308.38</v>
      </c>
      <c r="Y54" s="293">
        <f t="shared" si="7"/>
        <v>0.58333900000000005</v>
      </c>
      <c r="Z54" s="357">
        <v>103380</v>
      </c>
      <c r="AA54" s="293">
        <f t="shared" si="8"/>
        <v>0.85796600000000001</v>
      </c>
      <c r="AB54" s="293">
        <f t="shared" si="9"/>
        <v>0.33427299999999999</v>
      </c>
      <c r="AC54" s="294">
        <f t="shared" si="10"/>
        <v>0.33427299999999999</v>
      </c>
      <c r="AD54" s="295">
        <f t="shared" si="18"/>
        <v>0</v>
      </c>
      <c r="AE54" s="296">
        <f t="shared" si="19"/>
        <v>0.33427299999999999</v>
      </c>
      <c r="AF54" s="357">
        <v>0</v>
      </c>
      <c r="AG54" s="357">
        <v>0</v>
      </c>
      <c r="AH54" s="254">
        <f t="shared" si="20"/>
        <v>0</v>
      </c>
      <c r="AI54" s="9">
        <f t="shared" si="11"/>
        <v>0</v>
      </c>
      <c r="AJ54" s="9">
        <v>0</v>
      </c>
      <c r="AK54" s="9">
        <f t="shared" si="21"/>
        <v>0</v>
      </c>
      <c r="AL54" s="9">
        <f t="shared" si="22"/>
        <v>0</v>
      </c>
      <c r="AM54" s="9">
        <f t="shared" si="23"/>
        <v>0</v>
      </c>
      <c r="AN54" s="9">
        <f t="shared" si="24"/>
        <v>0</v>
      </c>
      <c r="AO54" s="9">
        <f t="shared" si="12"/>
        <v>9131456</v>
      </c>
      <c r="AP54" s="9">
        <f t="shared" si="25"/>
        <v>9131456</v>
      </c>
      <c r="AQ54" s="9">
        <f t="shared" si="26"/>
        <v>9131456</v>
      </c>
      <c r="AR54" s="291">
        <v>13503310</v>
      </c>
      <c r="AS54" s="9">
        <f t="shared" si="27"/>
        <v>4371854</v>
      </c>
      <c r="AT54" s="297" t="str">
        <f t="shared" si="28"/>
        <v>No</v>
      </c>
      <c r="AU54" s="357">
        <v>12040218</v>
      </c>
      <c r="AV54" s="291">
        <f t="shared" si="13"/>
        <v>364175.43819999998</v>
      </c>
      <c r="AW54" s="291">
        <f t="shared" si="29"/>
        <v>12040218</v>
      </c>
      <c r="AX54" s="291">
        <f t="shared" si="14"/>
        <v>12040218</v>
      </c>
      <c r="AY54" s="358">
        <f t="shared" si="30"/>
        <v>0</v>
      </c>
      <c r="AZ54" s="301"/>
      <c r="BA54" s="301"/>
      <c r="BB54" s="302"/>
      <c r="BC54" s="291"/>
      <c r="BD54" s="298"/>
      <c r="BF54" s="298"/>
      <c r="BG54" s="298"/>
      <c r="BK54" s="298"/>
      <c r="BL54" s="298"/>
      <c r="BM54" s="298"/>
      <c r="BN54" s="298"/>
      <c r="BO54" s="298"/>
    </row>
    <row r="55" spans="1:67" ht="15" x14ac:dyDescent="0.2">
      <c r="A55" s="10" t="s">
        <v>8</v>
      </c>
      <c r="B55" s="10"/>
      <c r="C55" s="276"/>
      <c r="D55" s="276"/>
      <c r="E55" s="276"/>
      <c r="F55" s="8">
        <v>5</v>
      </c>
      <c r="G55" s="360">
        <v>58</v>
      </c>
      <c r="H55" s="10">
        <v>29</v>
      </c>
      <c r="I55" s="7" t="s">
        <v>40</v>
      </c>
      <c r="J55" s="287"/>
      <c r="K55" s="356">
        <v>167.89</v>
      </c>
      <c r="L55" s="360"/>
      <c r="M55" s="289"/>
      <c r="N55" s="357">
        <v>50</v>
      </c>
      <c r="O55" s="290">
        <f t="shared" si="3"/>
        <v>0.29781404491035801</v>
      </c>
      <c r="P55" s="290">
        <f t="shared" si="15"/>
        <v>0</v>
      </c>
      <c r="Q55" s="291">
        <f t="shared" si="4"/>
        <v>0</v>
      </c>
      <c r="R55" s="291">
        <f t="shared" si="16"/>
        <v>0</v>
      </c>
      <c r="S55" s="357">
        <v>0</v>
      </c>
      <c r="T55" s="292">
        <f t="shared" si="5"/>
        <v>15</v>
      </c>
      <c r="U55" s="254">
        <f t="shared" si="17"/>
        <v>182.89</v>
      </c>
      <c r="V55" s="356">
        <v>264040418.66999999</v>
      </c>
      <c r="W55" s="357">
        <v>1518</v>
      </c>
      <c r="X55" s="264">
        <f t="shared" si="6"/>
        <v>173939.67</v>
      </c>
      <c r="Y55" s="293">
        <f t="shared" si="7"/>
        <v>0.90345699999999995</v>
      </c>
      <c r="Z55" s="357">
        <v>91786</v>
      </c>
      <c r="AA55" s="293">
        <f t="shared" si="8"/>
        <v>0.76174600000000003</v>
      </c>
      <c r="AB55" s="293">
        <f t="shared" si="9"/>
        <v>0.13905600000000001</v>
      </c>
      <c r="AC55" s="294">
        <f t="shared" si="10"/>
        <v>0.13905600000000001</v>
      </c>
      <c r="AD55" s="295">
        <f t="shared" si="18"/>
        <v>0</v>
      </c>
      <c r="AE55" s="296">
        <f t="shared" si="19"/>
        <v>0.13905600000000001</v>
      </c>
      <c r="AF55" s="357">
        <v>89</v>
      </c>
      <c r="AG55" s="357">
        <v>6</v>
      </c>
      <c r="AH55" s="254">
        <f t="shared" si="20"/>
        <v>600</v>
      </c>
      <c r="AI55" s="9">
        <f t="shared" si="11"/>
        <v>53400</v>
      </c>
      <c r="AJ55" s="9">
        <v>0</v>
      </c>
      <c r="AK55" s="9">
        <f t="shared" si="21"/>
        <v>0</v>
      </c>
      <c r="AL55" s="9">
        <f t="shared" si="22"/>
        <v>0</v>
      </c>
      <c r="AM55" s="9">
        <f t="shared" si="23"/>
        <v>0</v>
      </c>
      <c r="AN55" s="9">
        <f t="shared" si="24"/>
        <v>53400</v>
      </c>
      <c r="AO55" s="9">
        <f t="shared" si="12"/>
        <v>293103</v>
      </c>
      <c r="AP55" s="9">
        <f t="shared" si="25"/>
        <v>346503</v>
      </c>
      <c r="AQ55" s="9">
        <f t="shared" si="26"/>
        <v>346503</v>
      </c>
      <c r="AR55" s="291">
        <v>491388</v>
      </c>
      <c r="AS55" s="9">
        <f t="shared" si="27"/>
        <v>144885</v>
      </c>
      <c r="AT55" s="297" t="str">
        <f t="shared" si="28"/>
        <v>No</v>
      </c>
      <c r="AU55" s="357">
        <v>403912</v>
      </c>
      <c r="AV55" s="291">
        <f t="shared" si="13"/>
        <v>12068.9205</v>
      </c>
      <c r="AW55" s="291">
        <f t="shared" si="29"/>
        <v>403912</v>
      </c>
      <c r="AX55" s="291">
        <f t="shared" si="14"/>
        <v>403912</v>
      </c>
      <c r="AY55" s="358">
        <f t="shared" si="30"/>
        <v>0</v>
      </c>
      <c r="AZ55" s="301"/>
      <c r="BA55" s="301"/>
      <c r="BB55" s="302"/>
      <c r="BC55" s="291"/>
      <c r="BD55" s="298"/>
      <c r="BF55" s="298"/>
      <c r="BG55" s="298"/>
      <c r="BK55" s="298"/>
      <c r="BL55" s="298"/>
      <c r="BM55" s="298"/>
      <c r="BN55" s="298"/>
      <c r="BO55" s="298"/>
    </row>
    <row r="56" spans="1:67" ht="15" x14ac:dyDescent="0.2">
      <c r="A56" s="10" t="s">
        <v>4</v>
      </c>
      <c r="B56" s="10"/>
      <c r="C56" s="276"/>
      <c r="D56" s="276"/>
      <c r="E56" s="276"/>
      <c r="F56" s="8">
        <v>6</v>
      </c>
      <c r="G56" s="355">
        <v>104</v>
      </c>
      <c r="H56" s="10">
        <v>30</v>
      </c>
      <c r="I56" s="7" t="s">
        <v>41</v>
      </c>
      <c r="J56" s="287"/>
      <c r="K56" s="356">
        <v>614.17999999999995</v>
      </c>
      <c r="L56" s="355"/>
      <c r="M56" s="289"/>
      <c r="N56" s="357">
        <v>144</v>
      </c>
      <c r="O56" s="290">
        <f t="shared" si="3"/>
        <v>0.23445895340128303</v>
      </c>
      <c r="P56" s="290">
        <f t="shared" si="15"/>
        <v>0</v>
      </c>
      <c r="Q56" s="291">
        <f t="shared" si="4"/>
        <v>0</v>
      </c>
      <c r="R56" s="291">
        <f t="shared" si="16"/>
        <v>0</v>
      </c>
      <c r="S56" s="357">
        <v>8</v>
      </c>
      <c r="T56" s="292">
        <f t="shared" si="5"/>
        <v>43.2</v>
      </c>
      <c r="U56" s="254">
        <f t="shared" si="17"/>
        <v>659.38</v>
      </c>
      <c r="V56" s="356">
        <v>742774994.33000004</v>
      </c>
      <c r="W56" s="357">
        <v>5421</v>
      </c>
      <c r="X56" s="264">
        <f t="shared" si="6"/>
        <v>137018.07999999999</v>
      </c>
      <c r="Y56" s="293">
        <f t="shared" si="7"/>
        <v>0.71168299999999995</v>
      </c>
      <c r="Z56" s="357">
        <v>106604</v>
      </c>
      <c r="AA56" s="293">
        <f t="shared" si="8"/>
        <v>0.88472300000000004</v>
      </c>
      <c r="AB56" s="293">
        <f t="shared" si="9"/>
        <v>0.236405</v>
      </c>
      <c r="AC56" s="294">
        <f t="shared" si="10"/>
        <v>0.236405</v>
      </c>
      <c r="AD56" s="295">
        <f t="shared" si="18"/>
        <v>0</v>
      </c>
      <c r="AE56" s="296">
        <f t="shared" si="19"/>
        <v>0.236405</v>
      </c>
      <c r="AF56" s="357">
        <v>0</v>
      </c>
      <c r="AG56" s="357">
        <v>0</v>
      </c>
      <c r="AH56" s="254">
        <f t="shared" si="20"/>
        <v>0</v>
      </c>
      <c r="AI56" s="9">
        <f t="shared" si="11"/>
        <v>0</v>
      </c>
      <c r="AJ56" s="9">
        <v>1</v>
      </c>
      <c r="AK56" s="9">
        <f t="shared" si="21"/>
        <v>4</v>
      </c>
      <c r="AL56" s="9">
        <f t="shared" si="22"/>
        <v>400</v>
      </c>
      <c r="AM56" s="9">
        <f t="shared" si="23"/>
        <v>400</v>
      </c>
      <c r="AN56" s="9">
        <f t="shared" si="24"/>
        <v>400</v>
      </c>
      <c r="AO56" s="9">
        <f t="shared" si="12"/>
        <v>1796525</v>
      </c>
      <c r="AP56" s="9">
        <f t="shared" si="25"/>
        <v>1796925</v>
      </c>
      <c r="AQ56" s="9">
        <f t="shared" si="26"/>
        <v>1796925</v>
      </c>
      <c r="AR56" s="291">
        <v>2523462</v>
      </c>
      <c r="AS56" s="9">
        <f t="shared" si="27"/>
        <v>726537</v>
      </c>
      <c r="AT56" s="297" t="str">
        <f t="shared" si="28"/>
        <v>No</v>
      </c>
      <c r="AU56" s="357">
        <v>2316189</v>
      </c>
      <c r="AV56" s="291">
        <f t="shared" si="13"/>
        <v>60520.532099999997</v>
      </c>
      <c r="AW56" s="291">
        <f t="shared" si="29"/>
        <v>2316189</v>
      </c>
      <c r="AX56" s="291">
        <f t="shared" si="14"/>
        <v>2316189</v>
      </c>
      <c r="AY56" s="358">
        <f t="shared" si="30"/>
        <v>0</v>
      </c>
      <c r="AZ56" s="301"/>
      <c r="BA56" s="301"/>
      <c r="BB56" s="302"/>
      <c r="BC56" s="291"/>
      <c r="BD56" s="298"/>
      <c r="BF56" s="298"/>
      <c r="BG56" s="298"/>
      <c r="BK56" s="298"/>
      <c r="BL56" s="298"/>
      <c r="BM56" s="298"/>
      <c r="BN56" s="298"/>
      <c r="BO56" s="298"/>
    </row>
    <row r="57" spans="1:67" ht="15" x14ac:dyDescent="0.2">
      <c r="A57" s="10" t="s">
        <v>4</v>
      </c>
      <c r="B57" s="10"/>
      <c r="C57" s="276"/>
      <c r="D57" s="276"/>
      <c r="E57" s="276"/>
      <c r="F57" s="8">
        <v>1</v>
      </c>
      <c r="G57" s="355">
        <v>154</v>
      </c>
      <c r="H57" s="10">
        <v>31</v>
      </c>
      <c r="I57" s="7" t="s">
        <v>42</v>
      </c>
      <c r="J57" s="287"/>
      <c r="K57" s="356">
        <v>120.9</v>
      </c>
      <c r="L57" s="355"/>
      <c r="M57" s="289"/>
      <c r="N57" s="357">
        <v>25</v>
      </c>
      <c r="O57" s="290">
        <f t="shared" si="3"/>
        <v>0.20678246484698096</v>
      </c>
      <c r="P57" s="290">
        <f t="shared" si="15"/>
        <v>0</v>
      </c>
      <c r="Q57" s="291">
        <f t="shared" si="4"/>
        <v>0</v>
      </c>
      <c r="R57" s="291">
        <f t="shared" si="16"/>
        <v>0</v>
      </c>
      <c r="S57" s="357">
        <v>3</v>
      </c>
      <c r="T57" s="292">
        <f t="shared" si="5"/>
        <v>7.5</v>
      </c>
      <c r="U57" s="254">
        <f t="shared" si="17"/>
        <v>129.15</v>
      </c>
      <c r="V57" s="356">
        <v>563980513</v>
      </c>
      <c r="W57" s="357">
        <v>1302</v>
      </c>
      <c r="X57" s="264">
        <f t="shared" si="6"/>
        <v>433164.76</v>
      </c>
      <c r="Y57" s="293">
        <f t="shared" si="7"/>
        <v>2.2498930000000001</v>
      </c>
      <c r="Z57" s="357">
        <v>82083</v>
      </c>
      <c r="AA57" s="293">
        <f t="shared" si="8"/>
        <v>0.68121900000000002</v>
      </c>
      <c r="AB57" s="293">
        <f t="shared" si="9"/>
        <v>-0.77929099999999996</v>
      </c>
      <c r="AC57" s="294">
        <f t="shared" si="10"/>
        <v>0.01</v>
      </c>
      <c r="AD57" s="295">
        <f t="shared" si="18"/>
        <v>0</v>
      </c>
      <c r="AE57" s="296">
        <f t="shared" si="19"/>
        <v>0.01</v>
      </c>
      <c r="AF57" s="357">
        <v>29</v>
      </c>
      <c r="AG57" s="357">
        <v>4</v>
      </c>
      <c r="AH57" s="254">
        <f t="shared" si="20"/>
        <v>400</v>
      </c>
      <c r="AI57" s="9">
        <f t="shared" si="11"/>
        <v>11600</v>
      </c>
      <c r="AJ57" s="9">
        <v>0</v>
      </c>
      <c r="AK57" s="9">
        <f t="shared" si="21"/>
        <v>0</v>
      </c>
      <c r="AL57" s="9">
        <f t="shared" si="22"/>
        <v>0</v>
      </c>
      <c r="AM57" s="9">
        <f t="shared" si="23"/>
        <v>0</v>
      </c>
      <c r="AN57" s="9">
        <f t="shared" si="24"/>
        <v>11600</v>
      </c>
      <c r="AO57" s="9">
        <f t="shared" si="12"/>
        <v>14885</v>
      </c>
      <c r="AP57" s="9">
        <f t="shared" si="25"/>
        <v>26485</v>
      </c>
      <c r="AQ57" s="9">
        <f t="shared" si="26"/>
        <v>26485</v>
      </c>
      <c r="AR57" s="291">
        <v>6976</v>
      </c>
      <c r="AS57" s="9">
        <f t="shared" si="27"/>
        <v>19509</v>
      </c>
      <c r="AT57" s="297" t="str">
        <f t="shared" si="28"/>
        <v>Yes</v>
      </c>
      <c r="AU57" s="357">
        <v>9149</v>
      </c>
      <c r="AV57" s="291">
        <f t="shared" si="13"/>
        <v>2079.6594</v>
      </c>
      <c r="AW57" s="291">
        <f t="shared" si="29"/>
        <v>11228.6594</v>
      </c>
      <c r="AX57" s="291">
        <f t="shared" si="14"/>
        <v>11228.6594</v>
      </c>
      <c r="AY57" s="358">
        <f t="shared" si="30"/>
        <v>2079.6594000000005</v>
      </c>
      <c r="AZ57" s="301"/>
      <c r="BA57" s="301"/>
      <c r="BB57" s="302"/>
      <c r="BC57" s="291"/>
      <c r="BD57" s="298"/>
      <c r="BF57" s="298"/>
      <c r="BG57" s="298"/>
      <c r="BK57" s="298"/>
      <c r="BL57" s="298"/>
      <c r="BM57" s="298"/>
      <c r="BN57" s="298"/>
      <c r="BO57" s="298"/>
    </row>
    <row r="58" spans="1:67" ht="15" x14ac:dyDescent="0.2">
      <c r="A58" s="10" t="s">
        <v>8</v>
      </c>
      <c r="B58" s="10"/>
      <c r="C58" s="276"/>
      <c r="D58" s="276"/>
      <c r="E58" s="276"/>
      <c r="F58" s="8">
        <v>7</v>
      </c>
      <c r="G58" s="355">
        <v>87</v>
      </c>
      <c r="H58" s="10">
        <v>32</v>
      </c>
      <c r="I58" s="7" t="s">
        <v>43</v>
      </c>
      <c r="J58" s="287"/>
      <c r="K58" s="356">
        <v>1609.73</v>
      </c>
      <c r="L58" s="355"/>
      <c r="M58" s="289"/>
      <c r="N58" s="357">
        <v>408</v>
      </c>
      <c r="O58" s="290">
        <f t="shared" si="3"/>
        <v>0.25345865455697542</v>
      </c>
      <c r="P58" s="290">
        <f t="shared" si="15"/>
        <v>0</v>
      </c>
      <c r="Q58" s="291">
        <f t="shared" si="4"/>
        <v>0</v>
      </c>
      <c r="R58" s="291">
        <f t="shared" si="16"/>
        <v>0</v>
      </c>
      <c r="S58" s="357">
        <v>16</v>
      </c>
      <c r="T58" s="292">
        <f t="shared" si="5"/>
        <v>122.4</v>
      </c>
      <c r="U58" s="254">
        <f t="shared" si="17"/>
        <v>1736.13</v>
      </c>
      <c r="V58" s="356">
        <v>1492783189.6700001</v>
      </c>
      <c r="W58" s="357">
        <v>12422</v>
      </c>
      <c r="X58" s="264">
        <f t="shared" si="6"/>
        <v>120172.53</v>
      </c>
      <c r="Y58" s="293">
        <f t="shared" si="7"/>
        <v>0.62418600000000002</v>
      </c>
      <c r="Z58" s="357">
        <v>91461</v>
      </c>
      <c r="AA58" s="293">
        <f t="shared" si="8"/>
        <v>0.75904899999999997</v>
      </c>
      <c r="AB58" s="293">
        <f t="shared" si="9"/>
        <v>0.33535500000000001</v>
      </c>
      <c r="AC58" s="294">
        <f t="shared" si="10"/>
        <v>0.33535500000000001</v>
      </c>
      <c r="AD58" s="295">
        <f t="shared" si="18"/>
        <v>0</v>
      </c>
      <c r="AE58" s="296">
        <f t="shared" si="19"/>
        <v>0.33535500000000001</v>
      </c>
      <c r="AF58" s="357">
        <v>0</v>
      </c>
      <c r="AG58" s="357">
        <v>0</v>
      </c>
      <c r="AH58" s="254">
        <f t="shared" si="20"/>
        <v>0</v>
      </c>
      <c r="AI58" s="9">
        <f t="shared" si="11"/>
        <v>0</v>
      </c>
      <c r="AJ58" s="9">
        <v>0</v>
      </c>
      <c r="AK58" s="9">
        <f t="shared" si="21"/>
        <v>0</v>
      </c>
      <c r="AL58" s="9">
        <f t="shared" si="22"/>
        <v>0</v>
      </c>
      <c r="AM58" s="9">
        <f t="shared" si="23"/>
        <v>0</v>
      </c>
      <c r="AN58" s="9">
        <f t="shared" si="24"/>
        <v>0</v>
      </c>
      <c r="AO58" s="9">
        <f t="shared" si="12"/>
        <v>6710084</v>
      </c>
      <c r="AP58" s="9">
        <f t="shared" si="25"/>
        <v>6710084</v>
      </c>
      <c r="AQ58" s="9">
        <f t="shared" si="26"/>
        <v>6710084</v>
      </c>
      <c r="AR58" s="291">
        <v>8756165</v>
      </c>
      <c r="AS58" s="9">
        <f t="shared" si="27"/>
        <v>2046081</v>
      </c>
      <c r="AT58" s="297" t="str">
        <f t="shared" si="28"/>
        <v>No</v>
      </c>
      <c r="AU58" s="357">
        <v>7952911</v>
      </c>
      <c r="AV58" s="291">
        <f t="shared" si="13"/>
        <v>170438.54730000001</v>
      </c>
      <c r="AW58" s="291">
        <f t="shared" si="29"/>
        <v>7952911</v>
      </c>
      <c r="AX58" s="291">
        <f t="shared" si="14"/>
        <v>7952911</v>
      </c>
      <c r="AY58" s="358">
        <f t="shared" si="30"/>
        <v>0</v>
      </c>
      <c r="AZ58" s="301"/>
      <c r="BA58" s="301"/>
      <c r="BB58" s="302"/>
      <c r="BC58" s="291"/>
      <c r="BD58" s="298"/>
      <c r="BF58" s="298"/>
      <c r="BG58" s="298"/>
      <c r="BK58" s="298"/>
      <c r="BL58" s="298"/>
      <c r="BM58" s="298"/>
      <c r="BN58" s="298"/>
      <c r="BO58" s="298"/>
    </row>
    <row r="59" spans="1:67" ht="15" x14ac:dyDescent="0.2">
      <c r="A59" s="10" t="s">
        <v>14</v>
      </c>
      <c r="B59" s="10"/>
      <c r="C59" s="276"/>
      <c r="D59" s="276"/>
      <c r="E59" s="276"/>
      <c r="F59" s="8">
        <v>6</v>
      </c>
      <c r="G59" s="355">
        <v>95</v>
      </c>
      <c r="H59" s="10">
        <v>33</v>
      </c>
      <c r="I59" s="7" t="s">
        <v>44</v>
      </c>
      <c r="J59" s="287"/>
      <c r="K59" s="356">
        <v>2038.75</v>
      </c>
      <c r="L59" s="355"/>
      <c r="M59" s="289"/>
      <c r="N59" s="357">
        <v>507</v>
      </c>
      <c r="O59" s="290">
        <f t="shared" si="3"/>
        <v>0.24868179031269161</v>
      </c>
      <c r="P59" s="290">
        <f t="shared" si="15"/>
        <v>0</v>
      </c>
      <c r="Q59" s="291">
        <f t="shared" si="4"/>
        <v>0</v>
      </c>
      <c r="R59" s="291">
        <f t="shared" si="16"/>
        <v>0</v>
      </c>
      <c r="S59" s="357">
        <v>97</v>
      </c>
      <c r="T59" s="292">
        <f t="shared" si="5"/>
        <v>152.1</v>
      </c>
      <c r="U59" s="254">
        <f t="shared" si="17"/>
        <v>2215.1</v>
      </c>
      <c r="V59" s="356">
        <v>2084716103.3299999</v>
      </c>
      <c r="W59" s="357">
        <v>13973</v>
      </c>
      <c r="X59" s="264">
        <f t="shared" si="6"/>
        <v>149196.03</v>
      </c>
      <c r="Y59" s="293">
        <f t="shared" si="7"/>
        <v>0.77493599999999996</v>
      </c>
      <c r="Z59" s="357">
        <v>91841</v>
      </c>
      <c r="AA59" s="293">
        <f t="shared" si="8"/>
        <v>0.76220200000000005</v>
      </c>
      <c r="AB59" s="293">
        <f t="shared" si="9"/>
        <v>0.228884</v>
      </c>
      <c r="AC59" s="294">
        <f t="shared" si="10"/>
        <v>0.228884</v>
      </c>
      <c r="AD59" s="295">
        <f t="shared" si="18"/>
        <v>0</v>
      </c>
      <c r="AE59" s="296">
        <f t="shared" si="19"/>
        <v>0.228884</v>
      </c>
      <c r="AF59" s="357">
        <v>0</v>
      </c>
      <c r="AG59" s="357">
        <v>0</v>
      </c>
      <c r="AH59" s="254">
        <f t="shared" si="20"/>
        <v>0</v>
      </c>
      <c r="AI59" s="9">
        <f t="shared" si="11"/>
        <v>0</v>
      </c>
      <c r="AJ59" s="9">
        <v>0</v>
      </c>
      <c r="AK59" s="9">
        <f t="shared" si="21"/>
        <v>0</v>
      </c>
      <c r="AL59" s="9">
        <f t="shared" si="22"/>
        <v>0</v>
      </c>
      <c r="AM59" s="9">
        <f t="shared" si="23"/>
        <v>0</v>
      </c>
      <c r="AN59" s="9">
        <f t="shared" si="24"/>
        <v>0</v>
      </c>
      <c r="AO59" s="9">
        <f t="shared" si="12"/>
        <v>5843186</v>
      </c>
      <c r="AP59" s="9">
        <f t="shared" si="25"/>
        <v>5843186</v>
      </c>
      <c r="AQ59" s="9">
        <f t="shared" si="26"/>
        <v>5843186</v>
      </c>
      <c r="AR59" s="291">
        <v>4646922</v>
      </c>
      <c r="AS59" s="9">
        <f t="shared" si="27"/>
        <v>1196264</v>
      </c>
      <c r="AT59" s="297" t="str">
        <f t="shared" si="28"/>
        <v>Yes</v>
      </c>
      <c r="AU59" s="357">
        <v>4977403</v>
      </c>
      <c r="AV59" s="291">
        <f t="shared" si="13"/>
        <v>127521.7424</v>
      </c>
      <c r="AW59" s="291">
        <f t="shared" si="29"/>
        <v>5104924.7423999999</v>
      </c>
      <c r="AX59" s="291">
        <f t="shared" si="14"/>
        <v>5104924.7423999999</v>
      </c>
      <c r="AY59" s="358">
        <f t="shared" si="30"/>
        <v>127521.74239999987</v>
      </c>
      <c r="AZ59" s="301"/>
      <c r="BA59" s="301"/>
      <c r="BB59" s="302"/>
      <c r="BC59" s="291"/>
      <c r="BD59" s="298"/>
      <c r="BF59" s="298"/>
      <c r="BG59" s="298"/>
      <c r="BK59" s="298"/>
      <c r="BL59" s="298"/>
      <c r="BM59" s="298"/>
      <c r="BN59" s="298"/>
      <c r="BO59" s="298"/>
    </row>
    <row r="60" spans="1:67" ht="15" x14ac:dyDescent="0.2">
      <c r="A60" s="10" t="s">
        <v>6</v>
      </c>
      <c r="B60" s="10">
        <v>1</v>
      </c>
      <c r="C60" s="276">
        <v>1</v>
      </c>
      <c r="D60" s="276">
        <v>1</v>
      </c>
      <c r="E60" s="276"/>
      <c r="F60" s="8">
        <v>8</v>
      </c>
      <c r="G60" s="355">
        <v>59</v>
      </c>
      <c r="H60" s="10">
        <v>34</v>
      </c>
      <c r="I60" s="7" t="s">
        <v>45</v>
      </c>
      <c r="J60" s="287"/>
      <c r="K60" s="356">
        <v>11704.88</v>
      </c>
      <c r="L60" s="355"/>
      <c r="M60" s="289"/>
      <c r="N60" s="357">
        <v>6411</v>
      </c>
      <c r="O60" s="290">
        <f t="shared" si="3"/>
        <v>0.54772026710226851</v>
      </c>
      <c r="P60" s="290">
        <f t="shared" si="15"/>
        <v>0</v>
      </c>
      <c r="Q60" s="291">
        <f t="shared" si="4"/>
        <v>0</v>
      </c>
      <c r="R60" s="291">
        <f t="shared" si="16"/>
        <v>0</v>
      </c>
      <c r="S60" s="357">
        <v>3298</v>
      </c>
      <c r="T60" s="292">
        <f t="shared" si="5"/>
        <v>1923.3</v>
      </c>
      <c r="U60" s="254">
        <f t="shared" si="17"/>
        <v>14452.679999999998</v>
      </c>
      <c r="V60" s="356">
        <v>11350977717.67</v>
      </c>
      <c r="W60" s="357">
        <v>84479</v>
      </c>
      <c r="X60" s="264">
        <f t="shared" si="6"/>
        <v>134364.49</v>
      </c>
      <c r="Y60" s="293">
        <f t="shared" si="7"/>
        <v>0.69789999999999996</v>
      </c>
      <c r="Z60" s="357">
        <v>71672</v>
      </c>
      <c r="AA60" s="293">
        <f t="shared" si="8"/>
        <v>0.59481700000000004</v>
      </c>
      <c r="AB60" s="293">
        <f t="shared" si="9"/>
        <v>0.33302500000000002</v>
      </c>
      <c r="AC60" s="294">
        <f t="shared" si="10"/>
        <v>0.33302500000000002</v>
      </c>
      <c r="AD60" s="295">
        <f t="shared" si="18"/>
        <v>0</v>
      </c>
      <c r="AE60" s="296">
        <f t="shared" si="19"/>
        <v>0.33302500000000002</v>
      </c>
      <c r="AF60" s="357">
        <v>0</v>
      </c>
      <c r="AG60" s="357">
        <v>0</v>
      </c>
      <c r="AH60" s="254">
        <f t="shared" si="20"/>
        <v>0</v>
      </c>
      <c r="AI60" s="9">
        <f t="shared" si="11"/>
        <v>0</v>
      </c>
      <c r="AJ60" s="9">
        <v>0</v>
      </c>
      <c r="AK60" s="9">
        <f t="shared" si="21"/>
        <v>0</v>
      </c>
      <c r="AL60" s="9">
        <f t="shared" si="22"/>
        <v>0</v>
      </c>
      <c r="AM60" s="9">
        <f t="shared" si="23"/>
        <v>0</v>
      </c>
      <c r="AN60" s="9">
        <f t="shared" si="24"/>
        <v>0</v>
      </c>
      <c r="AO60" s="9">
        <f t="shared" si="12"/>
        <v>55471021</v>
      </c>
      <c r="AP60" s="9">
        <f t="shared" si="25"/>
        <v>55471021</v>
      </c>
      <c r="AQ60" s="9">
        <f t="shared" si="26"/>
        <v>55471021</v>
      </c>
      <c r="AR60" s="291">
        <v>31290480</v>
      </c>
      <c r="AS60" s="9">
        <f t="shared" si="27"/>
        <v>24180541</v>
      </c>
      <c r="AT60" s="297" t="str">
        <f t="shared" si="28"/>
        <v>Yes</v>
      </c>
      <c r="AU60" s="357">
        <v>37698473</v>
      </c>
      <c r="AV60" s="291">
        <f t="shared" si="13"/>
        <v>2577645.6705999998</v>
      </c>
      <c r="AW60" s="291">
        <f t="shared" si="29"/>
        <v>40276118.670599997</v>
      </c>
      <c r="AX60" s="291">
        <f t="shared" si="14"/>
        <v>40276118.670599997</v>
      </c>
      <c r="AY60" s="358">
        <f t="shared" si="30"/>
        <v>2577645.670599997</v>
      </c>
      <c r="AZ60" s="301"/>
      <c r="BA60" s="301"/>
      <c r="BB60" s="302"/>
      <c r="BC60" s="291"/>
      <c r="BD60" s="298"/>
      <c r="BF60" s="298"/>
      <c r="BG60" s="298"/>
      <c r="BK60" s="298"/>
      <c r="BL60" s="298"/>
      <c r="BM60" s="298"/>
      <c r="BN60" s="298"/>
      <c r="BO60" s="298"/>
    </row>
    <row r="61" spans="1:67" ht="15" x14ac:dyDescent="0.2">
      <c r="A61" s="10" t="s">
        <v>46</v>
      </c>
      <c r="B61" s="10"/>
      <c r="C61" s="276"/>
      <c r="D61" s="276"/>
      <c r="E61" s="276"/>
      <c r="F61" s="8">
        <v>1</v>
      </c>
      <c r="G61" s="355">
        <v>167</v>
      </c>
      <c r="H61" s="10">
        <v>35</v>
      </c>
      <c r="I61" s="7" t="s">
        <v>47</v>
      </c>
      <c r="J61" s="287"/>
      <c r="K61" s="356">
        <v>4646.72</v>
      </c>
      <c r="L61" s="355"/>
      <c r="M61" s="289"/>
      <c r="N61" s="357">
        <v>61</v>
      </c>
      <c r="O61" s="290">
        <f t="shared" si="3"/>
        <v>1.3127539425659389E-2</v>
      </c>
      <c r="P61" s="290">
        <f t="shared" si="15"/>
        <v>0</v>
      </c>
      <c r="Q61" s="291">
        <f t="shared" si="4"/>
        <v>0</v>
      </c>
      <c r="R61" s="291">
        <f t="shared" si="16"/>
        <v>0</v>
      </c>
      <c r="S61" s="357">
        <v>55</v>
      </c>
      <c r="T61" s="292">
        <f t="shared" si="5"/>
        <v>18.3</v>
      </c>
      <c r="U61" s="254">
        <f t="shared" si="17"/>
        <v>4678.7700000000004</v>
      </c>
      <c r="V61" s="356">
        <v>12872179293</v>
      </c>
      <c r="W61" s="357">
        <v>21759</v>
      </c>
      <c r="X61" s="264">
        <f t="shared" si="6"/>
        <v>591579.54</v>
      </c>
      <c r="Y61" s="293">
        <f t="shared" si="7"/>
        <v>3.0727129999999998</v>
      </c>
      <c r="Z61" s="357">
        <v>210511</v>
      </c>
      <c r="AA61" s="293">
        <f t="shared" si="8"/>
        <v>1.747063</v>
      </c>
      <c r="AB61" s="293">
        <f t="shared" si="9"/>
        <v>-1.6750179999999999</v>
      </c>
      <c r="AC61" s="294">
        <f t="shared" si="10"/>
        <v>0.01</v>
      </c>
      <c r="AD61" s="295">
        <f t="shared" si="18"/>
        <v>0</v>
      </c>
      <c r="AE61" s="296">
        <f t="shared" si="19"/>
        <v>0.01</v>
      </c>
      <c r="AF61" s="357">
        <v>0</v>
      </c>
      <c r="AG61" s="357">
        <v>0</v>
      </c>
      <c r="AH61" s="254">
        <f t="shared" si="20"/>
        <v>0</v>
      </c>
      <c r="AI61" s="9">
        <f t="shared" si="11"/>
        <v>0</v>
      </c>
      <c r="AJ61" s="9">
        <v>0</v>
      </c>
      <c r="AK61" s="9">
        <f t="shared" si="21"/>
        <v>0</v>
      </c>
      <c r="AL61" s="9">
        <f t="shared" si="22"/>
        <v>0</v>
      </c>
      <c r="AM61" s="9">
        <f t="shared" si="23"/>
        <v>0</v>
      </c>
      <c r="AN61" s="9">
        <f t="shared" si="24"/>
        <v>0</v>
      </c>
      <c r="AO61" s="9">
        <f t="shared" si="12"/>
        <v>539228</v>
      </c>
      <c r="AP61" s="9">
        <f t="shared" si="25"/>
        <v>539228</v>
      </c>
      <c r="AQ61" s="9">
        <f t="shared" si="26"/>
        <v>539228</v>
      </c>
      <c r="AR61" s="291">
        <v>406683</v>
      </c>
      <c r="AS61" s="9">
        <f t="shared" si="27"/>
        <v>132545</v>
      </c>
      <c r="AT61" s="297" t="str">
        <f t="shared" si="28"/>
        <v>Yes</v>
      </c>
      <c r="AU61" s="357">
        <v>443228</v>
      </c>
      <c r="AV61" s="291">
        <f t="shared" si="13"/>
        <v>14129.297</v>
      </c>
      <c r="AW61" s="291">
        <f t="shared" si="29"/>
        <v>457357.29700000002</v>
      </c>
      <c r="AX61" s="291">
        <f t="shared" si="14"/>
        <v>457357.29700000002</v>
      </c>
      <c r="AY61" s="358">
        <f t="shared" si="30"/>
        <v>14129.29700000002</v>
      </c>
      <c r="AZ61" s="301"/>
      <c r="BA61" s="301"/>
      <c r="BB61" s="302"/>
      <c r="BC61" s="291"/>
      <c r="BD61" s="298"/>
      <c r="BF61" s="298"/>
      <c r="BG61" s="298"/>
      <c r="BK61" s="298"/>
      <c r="BL61" s="298"/>
      <c r="BM61" s="298"/>
      <c r="BN61" s="298"/>
      <c r="BO61" s="298"/>
    </row>
    <row r="62" spans="1:67" ht="15" x14ac:dyDescent="0.2">
      <c r="A62" s="10" t="s">
        <v>8</v>
      </c>
      <c r="B62" s="10"/>
      <c r="C62" s="276"/>
      <c r="D62" s="276"/>
      <c r="E62" s="276"/>
      <c r="F62" s="8">
        <v>6</v>
      </c>
      <c r="G62" s="355">
        <v>114</v>
      </c>
      <c r="H62" s="10">
        <v>36</v>
      </c>
      <c r="I62" s="7" t="s">
        <v>48</v>
      </c>
      <c r="J62" s="287"/>
      <c r="K62" s="356">
        <v>528.96</v>
      </c>
      <c r="L62" s="355"/>
      <c r="M62" s="289"/>
      <c r="N62" s="357">
        <v>171</v>
      </c>
      <c r="O62" s="290">
        <f t="shared" si="3"/>
        <v>0.32327586206896547</v>
      </c>
      <c r="P62" s="290">
        <f t="shared" si="15"/>
        <v>0</v>
      </c>
      <c r="Q62" s="291">
        <f t="shared" si="4"/>
        <v>0</v>
      </c>
      <c r="R62" s="291">
        <f t="shared" si="16"/>
        <v>0</v>
      </c>
      <c r="S62" s="357">
        <v>6</v>
      </c>
      <c r="T62" s="292">
        <f t="shared" si="5"/>
        <v>51.3</v>
      </c>
      <c r="U62" s="254">
        <f t="shared" si="17"/>
        <v>581.76</v>
      </c>
      <c r="V62" s="356">
        <v>724594227.33000004</v>
      </c>
      <c r="W62" s="357">
        <v>4493</v>
      </c>
      <c r="X62" s="264">
        <f t="shared" si="6"/>
        <v>161271.81</v>
      </c>
      <c r="Y62" s="293">
        <f t="shared" si="7"/>
        <v>0.83765900000000004</v>
      </c>
      <c r="Z62" s="357">
        <v>71641</v>
      </c>
      <c r="AA62" s="293">
        <f t="shared" si="8"/>
        <v>0.59455899999999995</v>
      </c>
      <c r="AB62" s="293">
        <f t="shared" si="9"/>
        <v>0.23527100000000001</v>
      </c>
      <c r="AC62" s="294">
        <f t="shared" si="10"/>
        <v>0.23527100000000001</v>
      </c>
      <c r="AD62" s="295">
        <f t="shared" si="18"/>
        <v>0</v>
      </c>
      <c r="AE62" s="296">
        <f t="shared" si="19"/>
        <v>0.23527100000000001</v>
      </c>
      <c r="AF62" s="357">
        <v>297</v>
      </c>
      <c r="AG62" s="357">
        <v>6</v>
      </c>
      <c r="AH62" s="254">
        <f t="shared" si="20"/>
        <v>600</v>
      </c>
      <c r="AI62" s="9">
        <f t="shared" si="11"/>
        <v>178200</v>
      </c>
      <c r="AJ62" s="9">
        <v>0</v>
      </c>
      <c r="AK62" s="9">
        <f t="shared" si="21"/>
        <v>0</v>
      </c>
      <c r="AL62" s="9">
        <f t="shared" si="22"/>
        <v>0</v>
      </c>
      <c r="AM62" s="9">
        <f t="shared" si="23"/>
        <v>0</v>
      </c>
      <c r="AN62" s="9">
        <f t="shared" si="24"/>
        <v>178200</v>
      </c>
      <c r="AO62" s="9">
        <f t="shared" si="12"/>
        <v>1577441</v>
      </c>
      <c r="AP62" s="9">
        <f t="shared" si="25"/>
        <v>1755641</v>
      </c>
      <c r="AQ62" s="9">
        <f t="shared" si="26"/>
        <v>1755641</v>
      </c>
      <c r="AR62" s="291">
        <v>1675092</v>
      </c>
      <c r="AS62" s="9">
        <f t="shared" si="27"/>
        <v>80549</v>
      </c>
      <c r="AT62" s="297" t="str">
        <f t="shared" si="28"/>
        <v>Yes</v>
      </c>
      <c r="AU62" s="357">
        <v>1662870</v>
      </c>
      <c r="AV62" s="291">
        <f t="shared" si="13"/>
        <v>8586.5234</v>
      </c>
      <c r="AW62" s="291">
        <f t="shared" si="29"/>
        <v>1671456.5234000001</v>
      </c>
      <c r="AX62" s="291">
        <f t="shared" si="14"/>
        <v>1671456.5234000001</v>
      </c>
      <c r="AY62" s="358">
        <f t="shared" si="30"/>
        <v>8586.5234000000637</v>
      </c>
      <c r="AZ62" s="301"/>
      <c r="BA62" s="301"/>
      <c r="BB62" s="302"/>
      <c r="BC62" s="291"/>
      <c r="BD62" s="298"/>
      <c r="BF62" s="298"/>
      <c r="BG62" s="298"/>
      <c r="BK62" s="298"/>
      <c r="BL62" s="298"/>
      <c r="BM62" s="298"/>
      <c r="BN62" s="298"/>
      <c r="BO62" s="298"/>
    </row>
    <row r="63" spans="1:67" ht="15" x14ac:dyDescent="0.2">
      <c r="A63" s="10" t="s">
        <v>6</v>
      </c>
      <c r="B63" s="276">
        <v>1</v>
      </c>
      <c r="C63" s="276">
        <v>1</v>
      </c>
      <c r="D63" s="276">
        <v>1</v>
      </c>
      <c r="E63" s="276"/>
      <c r="F63" s="8">
        <v>10</v>
      </c>
      <c r="G63" s="359">
        <v>12</v>
      </c>
      <c r="H63" s="10">
        <v>37</v>
      </c>
      <c r="I63" s="7" t="s">
        <v>49</v>
      </c>
      <c r="J63" s="287"/>
      <c r="K63" s="356">
        <v>1358.84</v>
      </c>
      <c r="L63" s="359"/>
      <c r="M63" s="289"/>
      <c r="N63" s="357">
        <v>737</v>
      </c>
      <c r="O63" s="290">
        <f t="shared" si="3"/>
        <v>0.54237437814606582</v>
      </c>
      <c r="P63" s="290">
        <f t="shared" si="15"/>
        <v>0</v>
      </c>
      <c r="Q63" s="291">
        <f t="shared" si="4"/>
        <v>0</v>
      </c>
      <c r="R63" s="291">
        <f t="shared" si="16"/>
        <v>0</v>
      </c>
      <c r="S63" s="357">
        <v>40</v>
      </c>
      <c r="T63" s="292">
        <f t="shared" si="5"/>
        <v>221.1</v>
      </c>
      <c r="U63" s="254">
        <f t="shared" si="17"/>
        <v>1589.9399999999998</v>
      </c>
      <c r="V63" s="356">
        <v>1091479200</v>
      </c>
      <c r="W63" s="357">
        <v>12596</v>
      </c>
      <c r="X63" s="264">
        <f t="shared" si="6"/>
        <v>86652.84</v>
      </c>
      <c r="Y63" s="293">
        <f t="shared" si="7"/>
        <v>0.45008199999999998</v>
      </c>
      <c r="Z63" s="357">
        <v>56301</v>
      </c>
      <c r="AA63" s="293">
        <f t="shared" si="8"/>
        <v>0.46725100000000003</v>
      </c>
      <c r="AB63" s="293">
        <f t="shared" si="9"/>
        <v>0.544767</v>
      </c>
      <c r="AC63" s="294">
        <f t="shared" si="10"/>
        <v>0.544767</v>
      </c>
      <c r="AD63" s="295">
        <f t="shared" si="18"/>
        <v>0.04</v>
      </c>
      <c r="AE63" s="296">
        <f t="shared" si="19"/>
        <v>0.58476700000000004</v>
      </c>
      <c r="AF63" s="357">
        <v>0</v>
      </c>
      <c r="AG63" s="357">
        <v>0</v>
      </c>
      <c r="AH63" s="254">
        <f t="shared" si="20"/>
        <v>0</v>
      </c>
      <c r="AI63" s="9">
        <f t="shared" si="11"/>
        <v>0</v>
      </c>
      <c r="AJ63" s="9">
        <v>0</v>
      </c>
      <c r="AK63" s="9">
        <f t="shared" si="21"/>
        <v>0</v>
      </c>
      <c r="AL63" s="9">
        <f t="shared" si="22"/>
        <v>0</v>
      </c>
      <c r="AM63" s="9">
        <f t="shared" si="23"/>
        <v>0</v>
      </c>
      <c r="AN63" s="9">
        <f t="shared" si="24"/>
        <v>0</v>
      </c>
      <c r="AO63" s="9">
        <f t="shared" si="12"/>
        <v>10715305</v>
      </c>
      <c r="AP63" s="9">
        <f t="shared" si="25"/>
        <v>10715305</v>
      </c>
      <c r="AQ63" s="9">
        <f t="shared" si="26"/>
        <v>10715305</v>
      </c>
      <c r="AR63" s="291">
        <v>7902388</v>
      </c>
      <c r="AS63" s="9">
        <f t="shared" si="27"/>
        <v>2812917</v>
      </c>
      <c r="AT63" s="297" t="str">
        <f t="shared" si="28"/>
        <v>Yes</v>
      </c>
      <c r="AU63" s="357">
        <v>8840423</v>
      </c>
      <c r="AV63" s="291">
        <f t="shared" si="13"/>
        <v>299856.9522</v>
      </c>
      <c r="AW63" s="291">
        <f t="shared" si="29"/>
        <v>9140279.9521999992</v>
      </c>
      <c r="AX63" s="291">
        <f t="shared" si="14"/>
        <v>9140279.9521999992</v>
      </c>
      <c r="AY63" s="358">
        <f t="shared" si="30"/>
        <v>299856.95219999924</v>
      </c>
      <c r="AZ63" s="301"/>
      <c r="BA63" s="301"/>
      <c r="BB63" s="302"/>
      <c r="BC63" s="291"/>
      <c r="BD63" s="298"/>
      <c r="BF63" s="298"/>
      <c r="BG63" s="298"/>
      <c r="BK63" s="298"/>
      <c r="BL63" s="298"/>
      <c r="BM63" s="298"/>
      <c r="BN63" s="298"/>
      <c r="BO63" s="298"/>
    </row>
    <row r="64" spans="1:67" ht="15" x14ac:dyDescent="0.2">
      <c r="A64" s="10" t="s">
        <v>4</v>
      </c>
      <c r="B64" s="10"/>
      <c r="C64" s="276"/>
      <c r="D64" s="276"/>
      <c r="E64" s="276"/>
      <c r="F64" s="8">
        <v>3</v>
      </c>
      <c r="G64" s="355">
        <v>135</v>
      </c>
      <c r="H64" s="10">
        <v>38</v>
      </c>
      <c r="I64" s="7" t="s">
        <v>50</v>
      </c>
      <c r="J64" s="287"/>
      <c r="K64" s="356">
        <v>948.77</v>
      </c>
      <c r="L64" s="355"/>
      <c r="M64" s="289"/>
      <c r="N64" s="357">
        <v>135</v>
      </c>
      <c r="O64" s="290">
        <f t="shared" si="3"/>
        <v>0.14228949060362364</v>
      </c>
      <c r="P64" s="290">
        <f t="shared" si="15"/>
        <v>0</v>
      </c>
      <c r="Q64" s="291">
        <f t="shared" si="4"/>
        <v>0</v>
      </c>
      <c r="R64" s="291">
        <f t="shared" si="16"/>
        <v>0</v>
      </c>
      <c r="S64" s="357">
        <v>10</v>
      </c>
      <c r="T64" s="292">
        <f t="shared" si="5"/>
        <v>40.5</v>
      </c>
      <c r="U64" s="254">
        <f t="shared" si="17"/>
        <v>991.77</v>
      </c>
      <c r="V64" s="356">
        <v>1036982772.67</v>
      </c>
      <c r="W64" s="357">
        <v>7248</v>
      </c>
      <c r="X64" s="264">
        <f t="shared" si="6"/>
        <v>143071.57</v>
      </c>
      <c r="Y64" s="293">
        <f t="shared" si="7"/>
        <v>0.74312599999999995</v>
      </c>
      <c r="Z64" s="357">
        <v>117631</v>
      </c>
      <c r="AA64" s="293">
        <f t="shared" si="8"/>
        <v>0.97623700000000002</v>
      </c>
      <c r="AB64" s="293">
        <f t="shared" si="9"/>
        <v>0.186941</v>
      </c>
      <c r="AC64" s="294">
        <f t="shared" si="10"/>
        <v>0.186941</v>
      </c>
      <c r="AD64" s="295">
        <f t="shared" si="18"/>
        <v>0</v>
      </c>
      <c r="AE64" s="296">
        <f t="shared" si="19"/>
        <v>0.186941</v>
      </c>
      <c r="AF64" s="357">
        <v>956</v>
      </c>
      <c r="AG64" s="357">
        <v>13</v>
      </c>
      <c r="AH64" s="254">
        <f t="shared" si="20"/>
        <v>1300</v>
      </c>
      <c r="AI64" s="9">
        <f t="shared" si="11"/>
        <v>1242800</v>
      </c>
      <c r="AJ64" s="9">
        <v>0</v>
      </c>
      <c r="AK64" s="9">
        <f t="shared" si="21"/>
        <v>0</v>
      </c>
      <c r="AL64" s="9">
        <f t="shared" si="22"/>
        <v>0</v>
      </c>
      <c r="AM64" s="9">
        <f t="shared" si="23"/>
        <v>0</v>
      </c>
      <c r="AN64" s="9">
        <f t="shared" si="24"/>
        <v>1242800</v>
      </c>
      <c r="AO64" s="9">
        <f t="shared" si="12"/>
        <v>2136764</v>
      </c>
      <c r="AP64" s="9">
        <f t="shared" si="25"/>
        <v>3379564</v>
      </c>
      <c r="AQ64" s="9">
        <f t="shared" si="26"/>
        <v>3379564</v>
      </c>
      <c r="AR64" s="291">
        <v>3895303</v>
      </c>
      <c r="AS64" s="9">
        <f t="shared" si="27"/>
        <v>515739</v>
      </c>
      <c r="AT64" s="297" t="str">
        <f t="shared" si="28"/>
        <v>No</v>
      </c>
      <c r="AU64" s="357">
        <v>3165733</v>
      </c>
      <c r="AV64" s="291">
        <f t="shared" si="13"/>
        <v>42961.058700000001</v>
      </c>
      <c r="AW64" s="291">
        <f t="shared" si="29"/>
        <v>3165733</v>
      </c>
      <c r="AX64" s="291">
        <f t="shared" si="14"/>
        <v>3165733</v>
      </c>
      <c r="AY64" s="358">
        <f t="shared" si="30"/>
        <v>0</v>
      </c>
      <c r="AZ64" s="301"/>
      <c r="BA64" s="301"/>
      <c r="BB64" s="302"/>
      <c r="BC64" s="291"/>
      <c r="BD64" s="298"/>
      <c r="BF64" s="298"/>
      <c r="BG64" s="298"/>
      <c r="BK64" s="298"/>
      <c r="BL64" s="298"/>
      <c r="BM64" s="298"/>
      <c r="BN64" s="298"/>
      <c r="BO64" s="298"/>
    </row>
    <row r="65" spans="1:67" ht="15" x14ac:dyDescent="0.2">
      <c r="A65" s="10" t="s">
        <v>8</v>
      </c>
      <c r="B65" s="10"/>
      <c r="C65" s="276"/>
      <c r="D65" s="276"/>
      <c r="E65" s="276"/>
      <c r="F65" s="8">
        <v>7</v>
      </c>
      <c r="G65" s="355">
        <v>118</v>
      </c>
      <c r="H65" s="10">
        <v>39</v>
      </c>
      <c r="I65" s="7" t="s">
        <v>51</v>
      </c>
      <c r="J65" s="287"/>
      <c r="K65" s="356">
        <v>179</v>
      </c>
      <c r="L65" s="355"/>
      <c r="M65" s="289"/>
      <c r="N65" s="357">
        <v>46</v>
      </c>
      <c r="O65" s="290">
        <f t="shared" si="3"/>
        <v>0.25698324022346369</v>
      </c>
      <c r="P65" s="290">
        <f t="shared" si="15"/>
        <v>0</v>
      </c>
      <c r="Q65" s="291">
        <f t="shared" si="4"/>
        <v>0</v>
      </c>
      <c r="R65" s="291">
        <f t="shared" si="16"/>
        <v>0</v>
      </c>
      <c r="S65" s="357">
        <v>1</v>
      </c>
      <c r="T65" s="292">
        <f t="shared" si="5"/>
        <v>13.8</v>
      </c>
      <c r="U65" s="254">
        <f t="shared" si="17"/>
        <v>193.05</v>
      </c>
      <c r="V65" s="356">
        <v>227054576.66999999</v>
      </c>
      <c r="W65" s="357">
        <v>1721</v>
      </c>
      <c r="X65" s="264">
        <f t="shared" si="6"/>
        <v>131931.76999999999</v>
      </c>
      <c r="Y65" s="293">
        <f t="shared" si="7"/>
        <v>0.68526399999999998</v>
      </c>
      <c r="Z65" s="357">
        <v>86667</v>
      </c>
      <c r="AA65" s="293">
        <f t="shared" si="8"/>
        <v>0.71926299999999999</v>
      </c>
      <c r="AB65" s="293">
        <f t="shared" si="9"/>
        <v>0.30453599999999997</v>
      </c>
      <c r="AC65" s="294">
        <f t="shared" si="10"/>
        <v>0.30453599999999997</v>
      </c>
      <c r="AD65" s="295">
        <f t="shared" si="18"/>
        <v>0</v>
      </c>
      <c r="AE65" s="296">
        <f t="shared" si="19"/>
        <v>0.30453599999999997</v>
      </c>
      <c r="AF65" s="357">
        <v>0</v>
      </c>
      <c r="AG65" s="357">
        <v>0</v>
      </c>
      <c r="AH65" s="254">
        <f t="shared" si="20"/>
        <v>0</v>
      </c>
      <c r="AI65" s="9">
        <f t="shared" si="11"/>
        <v>0</v>
      </c>
      <c r="AJ65" s="9">
        <v>43</v>
      </c>
      <c r="AK65" s="9">
        <f t="shared" si="21"/>
        <v>4</v>
      </c>
      <c r="AL65" s="9">
        <f t="shared" si="22"/>
        <v>400</v>
      </c>
      <c r="AM65" s="9">
        <f t="shared" si="23"/>
        <v>17200</v>
      </c>
      <c r="AN65" s="9">
        <f t="shared" si="24"/>
        <v>17200</v>
      </c>
      <c r="AO65" s="9">
        <f t="shared" si="12"/>
        <v>677563</v>
      </c>
      <c r="AP65" s="9">
        <f t="shared" si="25"/>
        <v>694763</v>
      </c>
      <c r="AQ65" s="9">
        <f t="shared" si="26"/>
        <v>694763</v>
      </c>
      <c r="AR65" s="291">
        <v>1091881</v>
      </c>
      <c r="AS65" s="9">
        <f t="shared" si="27"/>
        <v>397118</v>
      </c>
      <c r="AT65" s="297" t="str">
        <f t="shared" si="28"/>
        <v>No</v>
      </c>
      <c r="AU65" s="357">
        <v>947176</v>
      </c>
      <c r="AV65" s="291">
        <f t="shared" si="13"/>
        <v>33079.929400000001</v>
      </c>
      <c r="AW65" s="291">
        <f t="shared" si="29"/>
        <v>947176</v>
      </c>
      <c r="AX65" s="291">
        <f t="shared" si="14"/>
        <v>947176</v>
      </c>
      <c r="AY65" s="358">
        <f t="shared" si="30"/>
        <v>0</v>
      </c>
      <c r="AZ65" s="301"/>
      <c r="BA65" s="301"/>
      <c r="BB65" s="302"/>
      <c r="BC65" s="291"/>
      <c r="BD65" s="298"/>
      <c r="BF65" s="298"/>
      <c r="BG65" s="298"/>
      <c r="BK65" s="298"/>
      <c r="BL65" s="298"/>
      <c r="BM65" s="298"/>
      <c r="BN65" s="298"/>
      <c r="BO65" s="298"/>
    </row>
    <row r="66" spans="1:67" ht="15" x14ac:dyDescent="0.2">
      <c r="A66" s="10" t="s">
        <v>14</v>
      </c>
      <c r="B66" s="10"/>
      <c r="C66" s="276"/>
      <c r="D66" s="276"/>
      <c r="E66" s="276"/>
      <c r="F66" s="8">
        <v>5</v>
      </c>
      <c r="G66" s="355">
        <v>106</v>
      </c>
      <c r="H66" s="10">
        <v>40</v>
      </c>
      <c r="I66" s="7" t="s">
        <v>52</v>
      </c>
      <c r="J66" s="287"/>
      <c r="K66" s="356">
        <v>847.21</v>
      </c>
      <c r="L66" s="355"/>
      <c r="M66" s="289"/>
      <c r="N66" s="357">
        <v>93</v>
      </c>
      <c r="O66" s="290">
        <f t="shared" si="3"/>
        <v>0.109772075400432</v>
      </c>
      <c r="P66" s="290">
        <f t="shared" si="15"/>
        <v>0</v>
      </c>
      <c r="Q66" s="291">
        <f t="shared" si="4"/>
        <v>0</v>
      </c>
      <c r="R66" s="291">
        <f t="shared" si="16"/>
        <v>0</v>
      </c>
      <c r="S66" s="357">
        <v>16</v>
      </c>
      <c r="T66" s="292">
        <f t="shared" si="5"/>
        <v>27.9</v>
      </c>
      <c r="U66" s="254">
        <f t="shared" si="17"/>
        <v>879.11</v>
      </c>
      <c r="V66" s="356">
        <v>862107097.66999996</v>
      </c>
      <c r="W66" s="357">
        <v>5256</v>
      </c>
      <c r="X66" s="264">
        <f t="shared" si="6"/>
        <v>164023.42000000001</v>
      </c>
      <c r="Y66" s="293">
        <f t="shared" si="7"/>
        <v>0.85195100000000001</v>
      </c>
      <c r="Z66" s="357">
        <v>100689</v>
      </c>
      <c r="AA66" s="293">
        <f t="shared" si="8"/>
        <v>0.83563299999999996</v>
      </c>
      <c r="AB66" s="293">
        <f t="shared" si="9"/>
        <v>0.152944</v>
      </c>
      <c r="AC66" s="294">
        <f t="shared" si="10"/>
        <v>0.152944</v>
      </c>
      <c r="AD66" s="295">
        <f t="shared" si="18"/>
        <v>0</v>
      </c>
      <c r="AE66" s="296">
        <f t="shared" si="19"/>
        <v>0.152944</v>
      </c>
      <c r="AF66" s="357">
        <v>0</v>
      </c>
      <c r="AG66" s="357">
        <v>0</v>
      </c>
      <c r="AH66" s="254">
        <f t="shared" si="20"/>
        <v>0</v>
      </c>
      <c r="AI66" s="9">
        <f t="shared" si="11"/>
        <v>0</v>
      </c>
      <c r="AJ66" s="9">
        <v>0</v>
      </c>
      <c r="AK66" s="9">
        <f t="shared" si="21"/>
        <v>0</v>
      </c>
      <c r="AL66" s="9">
        <f t="shared" si="22"/>
        <v>0</v>
      </c>
      <c r="AM66" s="9">
        <f t="shared" si="23"/>
        <v>0</v>
      </c>
      <c r="AN66" s="9">
        <f t="shared" si="24"/>
        <v>0</v>
      </c>
      <c r="AO66" s="9">
        <f t="shared" si="12"/>
        <v>1549589</v>
      </c>
      <c r="AP66" s="9">
        <f t="shared" si="25"/>
        <v>1549589</v>
      </c>
      <c r="AQ66" s="9">
        <f t="shared" si="26"/>
        <v>1549589</v>
      </c>
      <c r="AR66" s="291">
        <v>1439845</v>
      </c>
      <c r="AS66" s="9">
        <f t="shared" si="27"/>
        <v>109744</v>
      </c>
      <c r="AT66" s="297" t="str">
        <f t="shared" si="28"/>
        <v>Yes</v>
      </c>
      <c r="AU66" s="357">
        <v>1434092</v>
      </c>
      <c r="AV66" s="291">
        <f t="shared" si="13"/>
        <v>11698.7104</v>
      </c>
      <c r="AW66" s="291">
        <f t="shared" si="29"/>
        <v>1445790.7104</v>
      </c>
      <c r="AX66" s="291">
        <f t="shared" si="14"/>
        <v>1445790.7104</v>
      </c>
      <c r="AY66" s="358">
        <f t="shared" si="30"/>
        <v>11698.710399999982</v>
      </c>
      <c r="AZ66" s="301"/>
      <c r="BA66" s="301"/>
      <c r="BB66" s="302"/>
      <c r="BC66" s="291"/>
      <c r="BD66" s="298"/>
      <c r="BF66" s="298"/>
      <c r="BG66" s="298"/>
      <c r="BK66" s="298"/>
      <c r="BL66" s="298"/>
      <c r="BM66" s="298"/>
      <c r="BN66" s="298"/>
      <c r="BO66" s="298"/>
    </row>
    <row r="67" spans="1:67" ht="15" x14ac:dyDescent="0.2">
      <c r="A67" s="10" t="s">
        <v>8</v>
      </c>
      <c r="B67" s="10"/>
      <c r="C67" s="276"/>
      <c r="D67" s="276"/>
      <c r="E67" s="276"/>
      <c r="F67" s="8">
        <v>5</v>
      </c>
      <c r="G67" s="355">
        <v>76</v>
      </c>
      <c r="H67" s="10">
        <v>41</v>
      </c>
      <c r="I67" s="7" t="s">
        <v>53</v>
      </c>
      <c r="J67" s="287"/>
      <c r="K67" s="356">
        <v>955.84</v>
      </c>
      <c r="L67" s="355"/>
      <c r="M67" s="289"/>
      <c r="N67" s="357">
        <v>203</v>
      </c>
      <c r="O67" s="290">
        <f t="shared" si="3"/>
        <v>0.21237864077669902</v>
      </c>
      <c r="P67" s="290">
        <f t="shared" si="15"/>
        <v>0</v>
      </c>
      <c r="Q67" s="291">
        <f t="shared" si="4"/>
        <v>0</v>
      </c>
      <c r="R67" s="291">
        <f t="shared" si="16"/>
        <v>0</v>
      </c>
      <c r="S67" s="357">
        <v>2</v>
      </c>
      <c r="T67" s="292">
        <f t="shared" si="5"/>
        <v>60.9</v>
      </c>
      <c r="U67" s="254">
        <f t="shared" si="17"/>
        <v>1017.24</v>
      </c>
      <c r="V67" s="356">
        <v>1272740846.6700001</v>
      </c>
      <c r="W67" s="357">
        <v>9032</v>
      </c>
      <c r="X67" s="264">
        <f t="shared" si="6"/>
        <v>140914.62</v>
      </c>
      <c r="Y67" s="293">
        <f t="shared" si="7"/>
        <v>0.73192199999999996</v>
      </c>
      <c r="Z67" s="357">
        <v>91339</v>
      </c>
      <c r="AA67" s="293">
        <f t="shared" si="8"/>
        <v>0.75803600000000004</v>
      </c>
      <c r="AB67" s="293">
        <f t="shared" si="9"/>
        <v>0.26024399999999998</v>
      </c>
      <c r="AC67" s="294">
        <f t="shared" si="10"/>
        <v>0.26024399999999998</v>
      </c>
      <c r="AD67" s="295">
        <f t="shared" si="18"/>
        <v>0</v>
      </c>
      <c r="AE67" s="296">
        <f t="shared" si="19"/>
        <v>0.26024399999999998</v>
      </c>
      <c r="AF67" s="357">
        <v>0</v>
      </c>
      <c r="AG67" s="357">
        <v>0</v>
      </c>
      <c r="AH67" s="254">
        <f t="shared" si="20"/>
        <v>0</v>
      </c>
      <c r="AI67" s="9">
        <f t="shared" si="11"/>
        <v>0</v>
      </c>
      <c r="AJ67" s="9">
        <v>0</v>
      </c>
      <c r="AK67" s="9">
        <f t="shared" si="21"/>
        <v>0</v>
      </c>
      <c r="AL67" s="9">
        <f t="shared" si="22"/>
        <v>0</v>
      </c>
      <c r="AM67" s="9">
        <f t="shared" si="23"/>
        <v>0</v>
      </c>
      <c r="AN67" s="9">
        <f t="shared" si="24"/>
        <v>0</v>
      </c>
      <c r="AO67" s="9">
        <f t="shared" si="12"/>
        <v>3051020</v>
      </c>
      <c r="AP67" s="9">
        <f t="shared" si="25"/>
        <v>3051020</v>
      </c>
      <c r="AQ67" s="9">
        <f t="shared" si="26"/>
        <v>3051020</v>
      </c>
      <c r="AR67" s="291">
        <v>3686134</v>
      </c>
      <c r="AS67" s="9">
        <f t="shared" si="27"/>
        <v>635114</v>
      </c>
      <c r="AT67" s="297" t="str">
        <f t="shared" si="28"/>
        <v>No</v>
      </c>
      <c r="AU67" s="357">
        <v>3555957</v>
      </c>
      <c r="AV67" s="291">
        <f t="shared" si="13"/>
        <v>52904.996200000001</v>
      </c>
      <c r="AW67" s="291">
        <f t="shared" si="29"/>
        <v>3555957</v>
      </c>
      <c r="AX67" s="291">
        <f t="shared" si="14"/>
        <v>3555957</v>
      </c>
      <c r="AY67" s="358">
        <f t="shared" si="30"/>
        <v>0</v>
      </c>
      <c r="AZ67" s="301"/>
      <c r="BA67" s="301"/>
      <c r="BB67" s="302"/>
      <c r="BC67" s="291"/>
      <c r="BD67" s="298"/>
      <c r="BF67" s="298"/>
      <c r="BG67" s="298"/>
      <c r="BK67" s="298"/>
      <c r="BL67" s="298"/>
      <c r="BM67" s="298"/>
      <c r="BN67" s="298"/>
      <c r="BO67" s="298"/>
    </row>
    <row r="68" spans="1:67" ht="15" x14ac:dyDescent="0.2">
      <c r="A68" s="10" t="s">
        <v>14</v>
      </c>
      <c r="B68" s="10"/>
      <c r="C68" s="276"/>
      <c r="D68" s="276"/>
      <c r="E68" s="276"/>
      <c r="F68" s="8">
        <v>6</v>
      </c>
      <c r="G68" s="355">
        <v>88</v>
      </c>
      <c r="H68" s="10">
        <v>42</v>
      </c>
      <c r="I68" s="7" t="s">
        <v>54</v>
      </c>
      <c r="J68" s="287"/>
      <c r="K68" s="356">
        <v>1866.49</v>
      </c>
      <c r="L68" s="355"/>
      <c r="M68" s="289"/>
      <c r="N68" s="357">
        <v>390</v>
      </c>
      <c r="O68" s="290">
        <f t="shared" si="3"/>
        <v>0.20894834689711705</v>
      </c>
      <c r="P68" s="290">
        <f t="shared" si="15"/>
        <v>0</v>
      </c>
      <c r="Q68" s="291">
        <f t="shared" si="4"/>
        <v>0</v>
      </c>
      <c r="R68" s="291">
        <f t="shared" si="16"/>
        <v>0</v>
      </c>
      <c r="S68" s="357">
        <v>7</v>
      </c>
      <c r="T68" s="292">
        <f t="shared" si="5"/>
        <v>117</v>
      </c>
      <c r="U68" s="254">
        <f t="shared" si="17"/>
        <v>1985.24</v>
      </c>
      <c r="V68" s="356">
        <v>1664012492.6700001</v>
      </c>
      <c r="W68" s="357">
        <v>12856</v>
      </c>
      <c r="X68" s="264">
        <f t="shared" si="6"/>
        <v>129434.7</v>
      </c>
      <c r="Y68" s="293">
        <f t="shared" si="7"/>
        <v>0.67229399999999995</v>
      </c>
      <c r="Z68" s="357">
        <v>100780</v>
      </c>
      <c r="AA68" s="293">
        <f t="shared" si="8"/>
        <v>0.83638800000000002</v>
      </c>
      <c r="AB68" s="293">
        <f t="shared" si="9"/>
        <v>0.278478</v>
      </c>
      <c r="AC68" s="294">
        <f t="shared" si="10"/>
        <v>0.278478</v>
      </c>
      <c r="AD68" s="295">
        <f t="shared" si="18"/>
        <v>0</v>
      </c>
      <c r="AE68" s="296">
        <f t="shared" si="19"/>
        <v>0.278478</v>
      </c>
      <c r="AF68" s="357">
        <v>0</v>
      </c>
      <c r="AG68" s="357">
        <v>0</v>
      </c>
      <c r="AH68" s="254">
        <f t="shared" si="20"/>
        <v>0</v>
      </c>
      <c r="AI68" s="9">
        <f t="shared" si="11"/>
        <v>0</v>
      </c>
      <c r="AJ68" s="9">
        <v>0</v>
      </c>
      <c r="AK68" s="9">
        <f t="shared" si="21"/>
        <v>0</v>
      </c>
      <c r="AL68" s="9">
        <f t="shared" si="22"/>
        <v>0</v>
      </c>
      <c r="AM68" s="9">
        <f t="shared" si="23"/>
        <v>0</v>
      </c>
      <c r="AN68" s="9">
        <f t="shared" si="24"/>
        <v>0</v>
      </c>
      <c r="AO68" s="9">
        <f t="shared" si="12"/>
        <v>6371546</v>
      </c>
      <c r="AP68" s="9">
        <f t="shared" si="25"/>
        <v>6371546</v>
      </c>
      <c r="AQ68" s="9">
        <f t="shared" si="26"/>
        <v>6371546</v>
      </c>
      <c r="AR68" s="291">
        <v>7538993</v>
      </c>
      <c r="AS68" s="9">
        <f t="shared" si="27"/>
        <v>1167447</v>
      </c>
      <c r="AT68" s="297" t="str">
        <f t="shared" si="28"/>
        <v>No</v>
      </c>
      <c r="AU68" s="357">
        <v>6902775</v>
      </c>
      <c r="AV68" s="291">
        <f t="shared" si="13"/>
        <v>97248.335099999997</v>
      </c>
      <c r="AW68" s="291">
        <f t="shared" si="29"/>
        <v>6902775</v>
      </c>
      <c r="AX68" s="291">
        <f t="shared" si="14"/>
        <v>6902775</v>
      </c>
      <c r="AY68" s="358">
        <f t="shared" si="30"/>
        <v>0</v>
      </c>
      <c r="AZ68" s="301"/>
      <c r="BA68" s="301"/>
      <c r="BB68" s="302"/>
      <c r="BC68" s="291"/>
      <c r="BD68" s="298"/>
      <c r="BF68" s="298"/>
      <c r="BG68" s="298"/>
      <c r="BK68" s="298"/>
      <c r="BL68" s="298"/>
      <c r="BM68" s="298"/>
      <c r="BN68" s="298"/>
      <c r="BO68" s="298"/>
    </row>
    <row r="69" spans="1:67" ht="15" x14ac:dyDescent="0.2">
      <c r="A69" s="10" t="s">
        <v>6</v>
      </c>
      <c r="B69" s="10">
        <v>1</v>
      </c>
      <c r="C69" s="276">
        <v>1</v>
      </c>
      <c r="D69" s="276">
        <v>0</v>
      </c>
      <c r="E69" s="276">
        <v>1</v>
      </c>
      <c r="F69" s="8">
        <v>10</v>
      </c>
      <c r="G69" s="359">
        <v>9</v>
      </c>
      <c r="H69" s="10">
        <v>43</v>
      </c>
      <c r="I69" s="7" t="s">
        <v>55</v>
      </c>
      <c r="J69" s="287"/>
      <c r="K69" s="356">
        <v>8026.66</v>
      </c>
      <c r="L69" s="359"/>
      <c r="M69" s="289"/>
      <c r="N69" s="357">
        <v>5050</v>
      </c>
      <c r="O69" s="290">
        <f t="shared" si="3"/>
        <v>0.62915334647287913</v>
      </c>
      <c r="P69" s="290">
        <f t="shared" si="15"/>
        <v>2.9153346472879149E-2</v>
      </c>
      <c r="Q69" s="291">
        <f t="shared" si="4"/>
        <v>234.00400000000016</v>
      </c>
      <c r="R69" s="291">
        <f t="shared" si="16"/>
        <v>35.100600000000021</v>
      </c>
      <c r="S69" s="357">
        <v>1076</v>
      </c>
      <c r="T69" s="292">
        <f t="shared" si="5"/>
        <v>1515</v>
      </c>
      <c r="U69" s="254">
        <f t="shared" si="17"/>
        <v>9845.7605999999996</v>
      </c>
      <c r="V69" s="356">
        <v>4158046027</v>
      </c>
      <c r="W69" s="357">
        <v>50453</v>
      </c>
      <c r="X69" s="264">
        <f t="shared" si="6"/>
        <v>82414.25</v>
      </c>
      <c r="Y69" s="293">
        <f t="shared" si="7"/>
        <v>0.428066</v>
      </c>
      <c r="Z69" s="357">
        <v>55468</v>
      </c>
      <c r="AA69" s="293">
        <f t="shared" si="8"/>
        <v>0.460337</v>
      </c>
      <c r="AB69" s="293">
        <f t="shared" si="9"/>
        <v>0.562253</v>
      </c>
      <c r="AC69" s="294">
        <f t="shared" si="10"/>
        <v>0.562253</v>
      </c>
      <c r="AD69" s="295">
        <f t="shared" si="18"/>
        <v>0.05</v>
      </c>
      <c r="AE69" s="296">
        <f t="shared" si="19"/>
        <v>0.61225300000000005</v>
      </c>
      <c r="AF69" s="357">
        <v>0</v>
      </c>
      <c r="AG69" s="357">
        <v>0</v>
      </c>
      <c r="AH69" s="254">
        <f t="shared" si="20"/>
        <v>0</v>
      </c>
      <c r="AI69" s="9">
        <f t="shared" si="11"/>
        <v>0</v>
      </c>
      <c r="AJ69" s="9">
        <v>0</v>
      </c>
      <c r="AK69" s="9">
        <f t="shared" si="21"/>
        <v>0</v>
      </c>
      <c r="AL69" s="9">
        <f t="shared" si="22"/>
        <v>0</v>
      </c>
      <c r="AM69" s="9">
        <f t="shared" si="23"/>
        <v>0</v>
      </c>
      <c r="AN69" s="9">
        <f t="shared" si="24"/>
        <v>0</v>
      </c>
      <c r="AO69" s="9">
        <f t="shared" si="12"/>
        <v>69473812</v>
      </c>
      <c r="AP69" s="9">
        <f t="shared" si="25"/>
        <v>69473812</v>
      </c>
      <c r="AQ69" s="9">
        <f t="shared" si="26"/>
        <v>69473812</v>
      </c>
      <c r="AR69" s="291">
        <v>49075156</v>
      </c>
      <c r="AS69" s="9">
        <f t="shared" si="27"/>
        <v>20398656</v>
      </c>
      <c r="AT69" s="297" t="str">
        <f t="shared" si="28"/>
        <v>Yes</v>
      </c>
      <c r="AU69" s="357">
        <v>54387012</v>
      </c>
      <c r="AV69" s="291">
        <f t="shared" si="13"/>
        <v>2174496.7296000002</v>
      </c>
      <c r="AW69" s="291">
        <f t="shared" si="29"/>
        <v>56561508.729599997</v>
      </c>
      <c r="AX69" s="291">
        <f t="shared" si="14"/>
        <v>56561508.729599997</v>
      </c>
      <c r="AY69" s="358">
        <f t="shared" si="30"/>
        <v>2174496.7295999974</v>
      </c>
      <c r="AZ69" s="301"/>
      <c r="BA69" s="301"/>
      <c r="BB69" s="302"/>
      <c r="BC69" s="291"/>
      <c r="BD69" s="298"/>
      <c r="BF69" s="298"/>
      <c r="BG69" s="298"/>
      <c r="BK69" s="298"/>
      <c r="BL69" s="298"/>
      <c r="BM69" s="298"/>
      <c r="BN69" s="298"/>
      <c r="BO69" s="298"/>
    </row>
    <row r="70" spans="1:67" ht="15" x14ac:dyDescent="0.2">
      <c r="A70" s="10" t="s">
        <v>19</v>
      </c>
      <c r="B70" s="10"/>
      <c r="C70" s="276">
        <v>1</v>
      </c>
      <c r="D70" s="276">
        <v>1</v>
      </c>
      <c r="E70" s="276"/>
      <c r="F70" s="8">
        <v>9</v>
      </c>
      <c r="G70" s="359">
        <v>26</v>
      </c>
      <c r="H70" s="10">
        <v>44</v>
      </c>
      <c r="I70" s="7" t="s">
        <v>56</v>
      </c>
      <c r="J70" s="287"/>
      <c r="K70" s="356">
        <v>3136.07</v>
      </c>
      <c r="L70" s="359"/>
      <c r="M70" s="289"/>
      <c r="N70" s="357">
        <v>1605</v>
      </c>
      <c r="O70" s="290">
        <f t="shared" si="3"/>
        <v>0.51178704556977361</v>
      </c>
      <c r="P70" s="290">
        <f t="shared" si="15"/>
        <v>0</v>
      </c>
      <c r="Q70" s="291">
        <f t="shared" si="4"/>
        <v>0</v>
      </c>
      <c r="R70" s="291">
        <f t="shared" si="16"/>
        <v>0</v>
      </c>
      <c r="S70" s="357">
        <v>272</v>
      </c>
      <c r="T70" s="292">
        <f t="shared" si="5"/>
        <v>481.5</v>
      </c>
      <c r="U70" s="254">
        <f t="shared" si="17"/>
        <v>3685.57</v>
      </c>
      <c r="V70" s="356">
        <v>2907842389.3299999</v>
      </c>
      <c r="W70" s="357">
        <v>28860</v>
      </c>
      <c r="X70" s="264">
        <f t="shared" si="6"/>
        <v>100756.84</v>
      </c>
      <c r="Y70" s="293">
        <f t="shared" si="7"/>
        <v>0.523339</v>
      </c>
      <c r="Z70" s="357">
        <v>65333</v>
      </c>
      <c r="AA70" s="293">
        <f t="shared" si="8"/>
        <v>0.54220800000000002</v>
      </c>
      <c r="AB70" s="293">
        <f t="shared" si="9"/>
        <v>0.47099999999999997</v>
      </c>
      <c r="AC70" s="294">
        <f t="shared" si="10"/>
        <v>0.47099999999999997</v>
      </c>
      <c r="AD70" s="295">
        <f t="shared" si="18"/>
        <v>0</v>
      </c>
      <c r="AE70" s="296">
        <f t="shared" si="19"/>
        <v>0.47099999999999997</v>
      </c>
      <c r="AF70" s="357">
        <v>0</v>
      </c>
      <c r="AG70" s="357">
        <v>0</v>
      </c>
      <c r="AH70" s="254">
        <f t="shared" si="20"/>
        <v>0</v>
      </c>
      <c r="AI70" s="9">
        <f t="shared" si="11"/>
        <v>0</v>
      </c>
      <c r="AJ70" s="9">
        <v>0</v>
      </c>
      <c r="AK70" s="9">
        <f t="shared" si="21"/>
        <v>0</v>
      </c>
      <c r="AL70" s="9">
        <f t="shared" si="22"/>
        <v>0</v>
      </c>
      <c r="AM70" s="9">
        <f t="shared" si="23"/>
        <v>0</v>
      </c>
      <c r="AN70" s="9">
        <f t="shared" si="24"/>
        <v>0</v>
      </c>
      <c r="AO70" s="9">
        <f t="shared" si="12"/>
        <v>20006287</v>
      </c>
      <c r="AP70" s="9">
        <f t="shared" si="25"/>
        <v>20006287</v>
      </c>
      <c r="AQ70" s="9">
        <f t="shared" si="26"/>
        <v>20006287</v>
      </c>
      <c r="AR70" s="291">
        <v>19595415</v>
      </c>
      <c r="AS70" s="9">
        <f t="shared" si="27"/>
        <v>410872</v>
      </c>
      <c r="AT70" s="297" t="str">
        <f t="shared" si="28"/>
        <v>Yes</v>
      </c>
      <c r="AU70" s="357">
        <v>19825403</v>
      </c>
      <c r="AV70" s="291">
        <f t="shared" si="13"/>
        <v>43798.955199999997</v>
      </c>
      <c r="AW70" s="291">
        <f t="shared" si="29"/>
        <v>19869201.955200002</v>
      </c>
      <c r="AX70" s="291">
        <f t="shared" si="14"/>
        <v>19869201.955200002</v>
      </c>
      <c r="AY70" s="358">
        <f t="shared" si="30"/>
        <v>43798.955200001597</v>
      </c>
      <c r="AZ70" s="301"/>
      <c r="BA70" s="301"/>
      <c r="BB70" s="302"/>
      <c r="BC70" s="291"/>
      <c r="BD70" s="298"/>
      <c r="BF70" s="298"/>
      <c r="BG70" s="298"/>
      <c r="BK70" s="298"/>
      <c r="BL70" s="298"/>
      <c r="BM70" s="298"/>
      <c r="BN70" s="298"/>
      <c r="BO70" s="298"/>
    </row>
    <row r="71" spans="1:67" ht="15" x14ac:dyDescent="0.2">
      <c r="A71" s="10" t="s">
        <v>14</v>
      </c>
      <c r="B71" s="10"/>
      <c r="C71" s="276"/>
      <c r="D71" s="276"/>
      <c r="E71" s="276"/>
      <c r="F71" s="8">
        <v>4</v>
      </c>
      <c r="G71" s="355">
        <v>72</v>
      </c>
      <c r="H71" s="10">
        <v>45</v>
      </c>
      <c r="I71" s="7" t="s">
        <v>57</v>
      </c>
      <c r="J71" s="287"/>
      <c r="K71" s="356">
        <v>2462.02</v>
      </c>
      <c r="L71" s="355"/>
      <c r="M71" s="289"/>
      <c r="N71" s="357">
        <v>578</v>
      </c>
      <c r="O71" s="290">
        <f t="shared" si="3"/>
        <v>0.23476657378900254</v>
      </c>
      <c r="P71" s="290">
        <f t="shared" si="15"/>
        <v>0</v>
      </c>
      <c r="Q71" s="291">
        <f t="shared" si="4"/>
        <v>0</v>
      </c>
      <c r="R71" s="291">
        <f t="shared" si="16"/>
        <v>0</v>
      </c>
      <c r="S71" s="357">
        <v>57</v>
      </c>
      <c r="T71" s="292">
        <f t="shared" si="5"/>
        <v>173.4</v>
      </c>
      <c r="U71" s="254">
        <f t="shared" si="17"/>
        <v>2649.67</v>
      </c>
      <c r="V71" s="356">
        <v>3235230338</v>
      </c>
      <c r="W71" s="357">
        <v>18766</v>
      </c>
      <c r="X71" s="264">
        <f t="shared" si="6"/>
        <v>172398.5</v>
      </c>
      <c r="Y71" s="293">
        <f t="shared" si="7"/>
        <v>0.89545200000000003</v>
      </c>
      <c r="Z71" s="357">
        <v>93416</v>
      </c>
      <c r="AA71" s="293">
        <f t="shared" si="8"/>
        <v>0.77527400000000002</v>
      </c>
      <c r="AB71" s="293">
        <f t="shared" si="9"/>
        <v>0.140601</v>
      </c>
      <c r="AC71" s="294">
        <f t="shared" si="10"/>
        <v>0.140601</v>
      </c>
      <c r="AD71" s="295">
        <f t="shared" si="18"/>
        <v>0</v>
      </c>
      <c r="AE71" s="296">
        <f t="shared" si="19"/>
        <v>0.140601</v>
      </c>
      <c r="AF71" s="357">
        <v>0</v>
      </c>
      <c r="AG71" s="357">
        <v>0</v>
      </c>
      <c r="AH71" s="254">
        <f t="shared" si="20"/>
        <v>0</v>
      </c>
      <c r="AI71" s="9">
        <f t="shared" si="11"/>
        <v>0</v>
      </c>
      <c r="AJ71" s="9">
        <v>0</v>
      </c>
      <c r="AK71" s="9">
        <f t="shared" si="21"/>
        <v>0</v>
      </c>
      <c r="AL71" s="9">
        <f t="shared" si="22"/>
        <v>0</v>
      </c>
      <c r="AM71" s="9">
        <f t="shared" si="23"/>
        <v>0</v>
      </c>
      <c r="AN71" s="9">
        <f t="shared" si="24"/>
        <v>0</v>
      </c>
      <c r="AO71" s="9">
        <f t="shared" si="12"/>
        <v>4293596</v>
      </c>
      <c r="AP71" s="9">
        <f t="shared" si="25"/>
        <v>4293596</v>
      </c>
      <c r="AQ71" s="9">
        <f t="shared" si="26"/>
        <v>4293596</v>
      </c>
      <c r="AR71" s="291">
        <v>6918462</v>
      </c>
      <c r="AS71" s="9">
        <f t="shared" si="27"/>
        <v>2624866</v>
      </c>
      <c r="AT71" s="297" t="str">
        <f t="shared" si="28"/>
        <v>No</v>
      </c>
      <c r="AU71" s="357">
        <v>6076507</v>
      </c>
      <c r="AV71" s="291">
        <f t="shared" si="13"/>
        <v>218651.33780000001</v>
      </c>
      <c r="AW71" s="291">
        <f t="shared" si="29"/>
        <v>6076507</v>
      </c>
      <c r="AX71" s="291">
        <f t="shared" si="14"/>
        <v>6076507</v>
      </c>
      <c r="AY71" s="358">
        <f t="shared" si="30"/>
        <v>0</v>
      </c>
      <c r="AZ71" s="301"/>
      <c r="BA71" s="301"/>
      <c r="BB71" s="302"/>
      <c r="BC71" s="291"/>
      <c r="BD71" s="298"/>
      <c r="BF71" s="298"/>
      <c r="BG71" s="298"/>
      <c r="BK71" s="298"/>
      <c r="BL71" s="298"/>
      <c r="BM71" s="298"/>
      <c r="BN71" s="298"/>
      <c r="BO71" s="298"/>
    </row>
    <row r="72" spans="1:67" ht="15" x14ac:dyDescent="0.2">
      <c r="A72" s="10" t="s">
        <v>46</v>
      </c>
      <c r="B72" s="10"/>
      <c r="C72" s="276"/>
      <c r="D72" s="276"/>
      <c r="E72" s="276"/>
      <c r="F72" s="8">
        <v>1</v>
      </c>
      <c r="G72" s="355">
        <v>148</v>
      </c>
      <c r="H72" s="10">
        <v>46</v>
      </c>
      <c r="I72" s="7" t="s">
        <v>58</v>
      </c>
      <c r="J72" s="287"/>
      <c r="K72" s="356">
        <v>1249.94</v>
      </c>
      <c r="L72" s="355"/>
      <c r="M72" s="289"/>
      <c r="N72" s="357">
        <v>128</v>
      </c>
      <c r="O72" s="290">
        <f t="shared" si="3"/>
        <v>0.10240491543594092</v>
      </c>
      <c r="P72" s="290">
        <f t="shared" si="15"/>
        <v>0</v>
      </c>
      <c r="Q72" s="291">
        <f t="shared" si="4"/>
        <v>0</v>
      </c>
      <c r="R72" s="291">
        <f t="shared" si="16"/>
        <v>0</v>
      </c>
      <c r="S72" s="357">
        <v>16</v>
      </c>
      <c r="T72" s="292">
        <f t="shared" si="5"/>
        <v>38.4</v>
      </c>
      <c r="U72" s="254">
        <f t="shared" si="17"/>
        <v>1292.3400000000001</v>
      </c>
      <c r="V72" s="356">
        <v>1783716354.3299999</v>
      </c>
      <c r="W72" s="357">
        <v>7558</v>
      </c>
      <c r="X72" s="264">
        <f t="shared" si="6"/>
        <v>236003.75</v>
      </c>
      <c r="Y72" s="293">
        <f t="shared" si="7"/>
        <v>1.2258230000000001</v>
      </c>
      <c r="Z72" s="357">
        <v>142841</v>
      </c>
      <c r="AA72" s="293">
        <f t="shared" si="8"/>
        <v>1.185459</v>
      </c>
      <c r="AB72" s="293">
        <f t="shared" si="9"/>
        <v>-0.21371399999999999</v>
      </c>
      <c r="AC72" s="294">
        <f t="shared" si="10"/>
        <v>0.01</v>
      </c>
      <c r="AD72" s="295">
        <f t="shared" si="18"/>
        <v>0</v>
      </c>
      <c r="AE72" s="296">
        <f t="shared" si="19"/>
        <v>0.01</v>
      </c>
      <c r="AF72" s="357">
        <v>414</v>
      </c>
      <c r="AG72" s="357">
        <v>4</v>
      </c>
      <c r="AH72" s="254">
        <f t="shared" si="20"/>
        <v>400</v>
      </c>
      <c r="AI72" s="9">
        <f t="shared" si="11"/>
        <v>165600</v>
      </c>
      <c r="AJ72" s="9">
        <v>0</v>
      </c>
      <c r="AK72" s="9">
        <f t="shared" si="21"/>
        <v>0</v>
      </c>
      <c r="AL72" s="9">
        <f t="shared" si="22"/>
        <v>0</v>
      </c>
      <c r="AM72" s="9">
        <f t="shared" si="23"/>
        <v>0</v>
      </c>
      <c r="AN72" s="9">
        <f t="shared" si="24"/>
        <v>165600</v>
      </c>
      <c r="AO72" s="9">
        <f t="shared" si="12"/>
        <v>148942</v>
      </c>
      <c r="AP72" s="9">
        <f t="shared" si="25"/>
        <v>314542</v>
      </c>
      <c r="AQ72" s="9">
        <f t="shared" si="26"/>
        <v>314542</v>
      </c>
      <c r="AR72" s="291">
        <v>177907</v>
      </c>
      <c r="AS72" s="9">
        <f t="shared" si="27"/>
        <v>136635</v>
      </c>
      <c r="AT72" s="297" t="str">
        <f t="shared" si="28"/>
        <v>Yes</v>
      </c>
      <c r="AU72" s="357">
        <v>172080</v>
      </c>
      <c r="AV72" s="291">
        <f t="shared" si="13"/>
        <v>14565.290999999999</v>
      </c>
      <c r="AW72" s="291">
        <f t="shared" si="29"/>
        <v>186645.291</v>
      </c>
      <c r="AX72" s="291">
        <f t="shared" si="14"/>
        <v>186645.291</v>
      </c>
      <c r="AY72" s="358">
        <f t="shared" si="30"/>
        <v>14565.290999999997</v>
      </c>
      <c r="AZ72" s="301"/>
      <c r="BA72" s="301"/>
      <c r="BB72" s="302"/>
      <c r="BC72" s="291"/>
      <c r="BD72" s="298"/>
      <c r="BF72" s="298"/>
      <c r="BG72" s="298"/>
      <c r="BK72" s="298"/>
      <c r="BL72" s="298"/>
      <c r="BM72" s="298"/>
      <c r="BN72" s="298"/>
      <c r="BO72" s="298"/>
    </row>
    <row r="73" spans="1:67" ht="15" x14ac:dyDescent="0.2">
      <c r="A73" s="10" t="s">
        <v>32</v>
      </c>
      <c r="B73" s="10"/>
      <c r="C73" s="276">
        <v>1</v>
      </c>
      <c r="D73" s="276">
        <v>1</v>
      </c>
      <c r="E73" s="276"/>
      <c r="F73" s="8">
        <v>8</v>
      </c>
      <c r="G73" s="359">
        <v>34</v>
      </c>
      <c r="H73" s="10">
        <v>47</v>
      </c>
      <c r="I73" s="7" t="s">
        <v>59</v>
      </c>
      <c r="J73" s="287"/>
      <c r="K73" s="356">
        <v>1116.52</v>
      </c>
      <c r="L73" s="359"/>
      <c r="M73" s="289"/>
      <c r="N73" s="357">
        <v>509</v>
      </c>
      <c r="O73" s="290">
        <f t="shared" si="3"/>
        <v>0.455880772399957</v>
      </c>
      <c r="P73" s="290">
        <f t="shared" si="15"/>
        <v>0</v>
      </c>
      <c r="Q73" s="291">
        <f t="shared" si="4"/>
        <v>0</v>
      </c>
      <c r="R73" s="291">
        <f t="shared" si="16"/>
        <v>0</v>
      </c>
      <c r="S73" s="357">
        <v>77</v>
      </c>
      <c r="T73" s="292">
        <f t="shared" si="5"/>
        <v>152.69999999999999</v>
      </c>
      <c r="U73" s="254">
        <f t="shared" si="17"/>
        <v>1288.47</v>
      </c>
      <c r="V73" s="356">
        <v>1410573865.6700001</v>
      </c>
      <c r="W73" s="357">
        <v>11379</v>
      </c>
      <c r="X73" s="264">
        <f t="shared" si="6"/>
        <v>123962.9</v>
      </c>
      <c r="Y73" s="293">
        <f t="shared" si="7"/>
        <v>0.64387399999999995</v>
      </c>
      <c r="Z73" s="357">
        <v>74974</v>
      </c>
      <c r="AA73" s="293">
        <f t="shared" si="8"/>
        <v>0.62222100000000002</v>
      </c>
      <c r="AB73" s="293">
        <f t="shared" si="9"/>
        <v>0.362622</v>
      </c>
      <c r="AC73" s="294">
        <f t="shared" si="10"/>
        <v>0.362622</v>
      </c>
      <c r="AD73" s="295">
        <f t="shared" si="18"/>
        <v>0</v>
      </c>
      <c r="AE73" s="296">
        <f t="shared" si="19"/>
        <v>0.362622</v>
      </c>
      <c r="AF73" s="357">
        <v>0</v>
      </c>
      <c r="AG73" s="357">
        <v>0</v>
      </c>
      <c r="AH73" s="254">
        <f t="shared" si="20"/>
        <v>0</v>
      </c>
      <c r="AI73" s="9">
        <f t="shared" si="11"/>
        <v>0</v>
      </c>
      <c r="AJ73" s="9">
        <v>0</v>
      </c>
      <c r="AK73" s="9">
        <f t="shared" si="21"/>
        <v>0</v>
      </c>
      <c r="AL73" s="9">
        <f t="shared" si="22"/>
        <v>0</v>
      </c>
      <c r="AM73" s="9">
        <f t="shared" si="23"/>
        <v>0</v>
      </c>
      <c r="AN73" s="9">
        <f t="shared" si="24"/>
        <v>0</v>
      </c>
      <c r="AO73" s="9">
        <f t="shared" si="12"/>
        <v>5384798</v>
      </c>
      <c r="AP73" s="9">
        <f t="shared" si="25"/>
        <v>5384798</v>
      </c>
      <c r="AQ73" s="9">
        <f t="shared" si="26"/>
        <v>5669122</v>
      </c>
      <c r="AR73" s="291">
        <v>5669122</v>
      </c>
      <c r="AS73" s="9">
        <f t="shared" si="27"/>
        <v>284324</v>
      </c>
      <c r="AT73" s="297" t="str">
        <f t="shared" si="28"/>
        <v>No</v>
      </c>
      <c r="AU73" s="357">
        <v>5669122</v>
      </c>
      <c r="AV73" s="291">
        <f t="shared" si="13"/>
        <v>23684.189200000001</v>
      </c>
      <c r="AW73" s="291">
        <f t="shared" si="29"/>
        <v>5669122</v>
      </c>
      <c r="AX73" s="291">
        <f t="shared" si="14"/>
        <v>5669122</v>
      </c>
      <c r="AY73" s="358">
        <f t="shared" si="30"/>
        <v>0</v>
      </c>
      <c r="AZ73" s="301"/>
      <c r="BA73" s="301"/>
      <c r="BB73" s="302"/>
      <c r="BC73" s="291"/>
      <c r="BD73" s="298"/>
      <c r="BF73" s="298"/>
      <c r="BG73" s="298"/>
      <c r="BK73" s="298"/>
      <c r="BL73" s="298"/>
      <c r="BM73" s="298"/>
      <c r="BN73" s="298"/>
      <c r="BO73" s="298"/>
    </row>
    <row r="74" spans="1:67" ht="15" x14ac:dyDescent="0.2">
      <c r="A74" s="10" t="s">
        <v>4</v>
      </c>
      <c r="B74" s="10"/>
      <c r="C74" s="276"/>
      <c r="D74" s="276"/>
      <c r="E74" s="276"/>
      <c r="F74" s="8">
        <v>7</v>
      </c>
      <c r="G74" s="355">
        <v>92</v>
      </c>
      <c r="H74" s="10">
        <v>48</v>
      </c>
      <c r="I74" s="7" t="s">
        <v>60</v>
      </c>
      <c r="J74" s="287"/>
      <c r="K74" s="356">
        <v>2627.05</v>
      </c>
      <c r="L74" s="355"/>
      <c r="M74" s="289"/>
      <c r="N74" s="357">
        <v>413</v>
      </c>
      <c r="O74" s="290">
        <f t="shared" si="3"/>
        <v>0.15721055937268036</v>
      </c>
      <c r="P74" s="290">
        <f t="shared" si="15"/>
        <v>0</v>
      </c>
      <c r="Q74" s="291">
        <f t="shared" si="4"/>
        <v>0</v>
      </c>
      <c r="R74" s="291">
        <f t="shared" si="16"/>
        <v>0</v>
      </c>
      <c r="S74" s="357">
        <v>41</v>
      </c>
      <c r="T74" s="292">
        <f t="shared" si="5"/>
        <v>123.9</v>
      </c>
      <c r="U74" s="254">
        <f t="shared" si="17"/>
        <v>2761.2000000000003</v>
      </c>
      <c r="V74" s="356">
        <v>2020035213.6700001</v>
      </c>
      <c r="W74" s="357">
        <v>16041</v>
      </c>
      <c r="X74" s="264">
        <f t="shared" si="6"/>
        <v>125929.51</v>
      </c>
      <c r="Y74" s="293">
        <f t="shared" si="7"/>
        <v>0.654088</v>
      </c>
      <c r="Z74" s="357">
        <v>85572</v>
      </c>
      <c r="AA74" s="293">
        <f t="shared" si="8"/>
        <v>0.710175</v>
      </c>
      <c r="AB74" s="293">
        <f t="shared" si="9"/>
        <v>0.32908599999999999</v>
      </c>
      <c r="AC74" s="294">
        <f t="shared" si="10"/>
        <v>0.32908599999999999</v>
      </c>
      <c r="AD74" s="295">
        <f t="shared" si="18"/>
        <v>0</v>
      </c>
      <c r="AE74" s="296">
        <f t="shared" si="19"/>
        <v>0.32908599999999999</v>
      </c>
      <c r="AF74" s="357">
        <v>0</v>
      </c>
      <c r="AG74" s="357">
        <v>0</v>
      </c>
      <c r="AH74" s="254">
        <f t="shared" si="20"/>
        <v>0</v>
      </c>
      <c r="AI74" s="9">
        <f t="shared" si="11"/>
        <v>0</v>
      </c>
      <c r="AJ74" s="9">
        <v>0</v>
      </c>
      <c r="AK74" s="9">
        <f t="shared" si="21"/>
        <v>0</v>
      </c>
      <c r="AL74" s="9">
        <f t="shared" si="22"/>
        <v>0</v>
      </c>
      <c r="AM74" s="9">
        <f t="shared" si="23"/>
        <v>0</v>
      </c>
      <c r="AN74" s="9">
        <f t="shared" si="24"/>
        <v>0</v>
      </c>
      <c r="AO74" s="9">
        <f t="shared" si="12"/>
        <v>10472448</v>
      </c>
      <c r="AP74" s="9">
        <f t="shared" si="25"/>
        <v>10472448</v>
      </c>
      <c r="AQ74" s="9">
        <f t="shared" si="26"/>
        <v>10472448</v>
      </c>
      <c r="AR74" s="291">
        <v>9684435</v>
      </c>
      <c r="AS74" s="9">
        <f t="shared" si="27"/>
        <v>788013</v>
      </c>
      <c r="AT74" s="297" t="str">
        <f t="shared" si="28"/>
        <v>Yes</v>
      </c>
      <c r="AU74" s="357">
        <v>9946889</v>
      </c>
      <c r="AV74" s="291">
        <f t="shared" si="13"/>
        <v>84002.185800000007</v>
      </c>
      <c r="AW74" s="291">
        <f t="shared" si="29"/>
        <v>10030891.185799999</v>
      </c>
      <c r="AX74" s="291">
        <f t="shared" si="14"/>
        <v>10030891.185799999</v>
      </c>
      <c r="AY74" s="358">
        <f t="shared" si="30"/>
        <v>84002.185799999163</v>
      </c>
      <c r="AZ74" s="301"/>
      <c r="BA74" s="301"/>
      <c r="BB74" s="302"/>
      <c r="BC74" s="291"/>
      <c r="BD74" s="298"/>
      <c r="BF74" s="298"/>
      <c r="BG74" s="298"/>
      <c r="BK74" s="298"/>
      <c r="BL74" s="298"/>
      <c r="BM74" s="298"/>
      <c r="BN74" s="298"/>
      <c r="BO74" s="298"/>
    </row>
    <row r="75" spans="1:67" ht="15" x14ac:dyDescent="0.2">
      <c r="A75" s="10" t="s">
        <v>32</v>
      </c>
      <c r="B75" s="10"/>
      <c r="C75" s="276"/>
      <c r="D75" s="276"/>
      <c r="E75" s="276"/>
      <c r="F75" s="8">
        <v>9</v>
      </c>
      <c r="G75" s="359">
        <v>32</v>
      </c>
      <c r="H75" s="10">
        <v>49</v>
      </c>
      <c r="I75" s="7" t="s">
        <v>61</v>
      </c>
      <c r="J75" s="287"/>
      <c r="K75" s="356">
        <v>5164.76</v>
      </c>
      <c r="L75" s="359"/>
      <c r="M75" s="289"/>
      <c r="N75" s="357">
        <v>2401</v>
      </c>
      <c r="O75" s="290">
        <f t="shared" si="3"/>
        <v>0.46488123359071865</v>
      </c>
      <c r="P75" s="290">
        <f t="shared" si="15"/>
        <v>0</v>
      </c>
      <c r="Q75" s="291">
        <f t="shared" si="4"/>
        <v>0</v>
      </c>
      <c r="R75" s="291">
        <f t="shared" si="16"/>
        <v>0</v>
      </c>
      <c r="S75" s="357">
        <v>143</v>
      </c>
      <c r="T75" s="292">
        <f t="shared" si="5"/>
        <v>720.3</v>
      </c>
      <c r="U75" s="254">
        <f t="shared" si="17"/>
        <v>5920.81</v>
      </c>
      <c r="V75" s="356">
        <v>4321096338.6700001</v>
      </c>
      <c r="W75" s="357">
        <v>44455</v>
      </c>
      <c r="X75" s="264">
        <f t="shared" si="6"/>
        <v>97201.58</v>
      </c>
      <c r="Y75" s="293">
        <f t="shared" si="7"/>
        <v>0.50487300000000002</v>
      </c>
      <c r="Z75" s="357">
        <v>76423</v>
      </c>
      <c r="AA75" s="293">
        <f t="shared" si="8"/>
        <v>0.63424599999999998</v>
      </c>
      <c r="AB75" s="293">
        <f t="shared" si="9"/>
        <v>0.45631500000000003</v>
      </c>
      <c r="AC75" s="294">
        <f t="shared" si="10"/>
        <v>0.45631500000000003</v>
      </c>
      <c r="AD75" s="295">
        <f t="shared" si="18"/>
        <v>0</v>
      </c>
      <c r="AE75" s="296">
        <f t="shared" si="19"/>
        <v>0.45631500000000003</v>
      </c>
      <c r="AF75" s="357">
        <v>0</v>
      </c>
      <c r="AG75" s="357">
        <v>0</v>
      </c>
      <c r="AH75" s="254">
        <f t="shared" si="20"/>
        <v>0</v>
      </c>
      <c r="AI75" s="9">
        <f t="shared" si="11"/>
        <v>0</v>
      </c>
      <c r="AJ75" s="9">
        <v>0</v>
      </c>
      <c r="AK75" s="9">
        <f t="shared" si="21"/>
        <v>0</v>
      </c>
      <c r="AL75" s="9">
        <f t="shared" si="22"/>
        <v>0</v>
      </c>
      <c r="AM75" s="9">
        <f t="shared" si="23"/>
        <v>0</v>
      </c>
      <c r="AN75" s="9">
        <f t="shared" si="24"/>
        <v>0</v>
      </c>
      <c r="AO75" s="9">
        <f t="shared" si="12"/>
        <v>31137720</v>
      </c>
      <c r="AP75" s="9">
        <f t="shared" si="25"/>
        <v>31137720</v>
      </c>
      <c r="AQ75" s="9">
        <f t="shared" si="26"/>
        <v>31137720</v>
      </c>
      <c r="AR75" s="291">
        <v>28585010</v>
      </c>
      <c r="AS75" s="9">
        <f t="shared" si="27"/>
        <v>2552710</v>
      </c>
      <c r="AT75" s="297" t="str">
        <f t="shared" si="28"/>
        <v>Yes</v>
      </c>
      <c r="AU75" s="357">
        <v>29551526</v>
      </c>
      <c r="AV75" s="291">
        <f t="shared" si="13"/>
        <v>272118.886</v>
      </c>
      <c r="AW75" s="291">
        <f t="shared" si="29"/>
        <v>29823644.886</v>
      </c>
      <c r="AX75" s="291">
        <f t="shared" si="14"/>
        <v>29823644.886</v>
      </c>
      <c r="AY75" s="358">
        <f t="shared" si="30"/>
        <v>272118.88599999994</v>
      </c>
      <c r="AZ75" s="301"/>
      <c r="BA75" s="301"/>
      <c r="BB75" s="302"/>
      <c r="BC75" s="291"/>
      <c r="BD75" s="298"/>
      <c r="BF75" s="298"/>
      <c r="BG75" s="298"/>
      <c r="BK75" s="298"/>
      <c r="BL75" s="298"/>
      <c r="BM75" s="298"/>
      <c r="BN75" s="298"/>
      <c r="BO75" s="298"/>
    </row>
    <row r="76" spans="1:67" ht="15" x14ac:dyDescent="0.2">
      <c r="A76" s="10" t="s">
        <v>4</v>
      </c>
      <c r="B76" s="10"/>
      <c r="C76" s="276"/>
      <c r="D76" s="276"/>
      <c r="E76" s="276"/>
      <c r="F76" s="8">
        <v>2</v>
      </c>
      <c r="G76" s="355">
        <v>149</v>
      </c>
      <c r="H76" s="10">
        <v>50</v>
      </c>
      <c r="I76" s="7" t="s">
        <v>62</v>
      </c>
      <c r="J76" s="287"/>
      <c r="K76" s="356">
        <v>645.44000000000005</v>
      </c>
      <c r="L76" s="355"/>
      <c r="M76" s="289"/>
      <c r="N76" s="357">
        <v>120</v>
      </c>
      <c r="O76" s="290">
        <f t="shared" si="3"/>
        <v>0.18591968269707485</v>
      </c>
      <c r="P76" s="290">
        <f t="shared" si="15"/>
        <v>0</v>
      </c>
      <c r="Q76" s="291">
        <f t="shared" si="4"/>
        <v>0</v>
      </c>
      <c r="R76" s="291">
        <f t="shared" si="16"/>
        <v>0</v>
      </c>
      <c r="S76" s="357">
        <v>10</v>
      </c>
      <c r="T76" s="292">
        <f t="shared" si="5"/>
        <v>36</v>
      </c>
      <c r="U76" s="254">
        <f t="shared" si="17"/>
        <v>683.94</v>
      </c>
      <c r="V76" s="356">
        <v>1548254227.6700001</v>
      </c>
      <c r="W76" s="357">
        <v>6599</v>
      </c>
      <c r="X76" s="264">
        <f t="shared" si="6"/>
        <v>234619.51999999999</v>
      </c>
      <c r="Y76" s="293">
        <f t="shared" si="7"/>
        <v>1.2186330000000001</v>
      </c>
      <c r="Z76" s="357">
        <v>87000</v>
      </c>
      <c r="AA76" s="293">
        <f t="shared" si="8"/>
        <v>0.72202599999999995</v>
      </c>
      <c r="AB76" s="293">
        <f t="shared" si="9"/>
        <v>-6.9651000000000005E-2</v>
      </c>
      <c r="AC76" s="294">
        <f t="shared" si="10"/>
        <v>0.01</v>
      </c>
      <c r="AD76" s="295">
        <f t="shared" si="18"/>
        <v>0</v>
      </c>
      <c r="AE76" s="296">
        <f t="shared" si="19"/>
        <v>0.01</v>
      </c>
      <c r="AF76" s="357">
        <v>353</v>
      </c>
      <c r="AG76" s="357">
        <v>6</v>
      </c>
      <c r="AH76" s="254">
        <f t="shared" si="20"/>
        <v>600</v>
      </c>
      <c r="AI76" s="9">
        <f t="shared" si="11"/>
        <v>211800</v>
      </c>
      <c r="AJ76" s="9">
        <v>0</v>
      </c>
      <c r="AK76" s="9">
        <f t="shared" si="21"/>
        <v>0</v>
      </c>
      <c r="AL76" s="9">
        <f t="shared" si="22"/>
        <v>0</v>
      </c>
      <c r="AM76" s="9">
        <f t="shared" si="23"/>
        <v>0</v>
      </c>
      <c r="AN76" s="9">
        <f t="shared" si="24"/>
        <v>211800</v>
      </c>
      <c r="AO76" s="9">
        <f t="shared" si="12"/>
        <v>78824</v>
      </c>
      <c r="AP76" s="9">
        <f t="shared" si="25"/>
        <v>290624</v>
      </c>
      <c r="AQ76" s="9">
        <f t="shared" si="26"/>
        <v>290624</v>
      </c>
      <c r="AR76" s="291">
        <v>105052</v>
      </c>
      <c r="AS76" s="9">
        <f t="shared" si="27"/>
        <v>185572</v>
      </c>
      <c r="AT76" s="297" t="str">
        <f t="shared" si="28"/>
        <v>Yes</v>
      </c>
      <c r="AU76" s="357">
        <v>103926</v>
      </c>
      <c r="AV76" s="291">
        <f t="shared" si="13"/>
        <v>19781.975200000001</v>
      </c>
      <c r="AW76" s="291">
        <f t="shared" si="29"/>
        <v>123707.9752</v>
      </c>
      <c r="AX76" s="291">
        <f t="shared" si="14"/>
        <v>123707.9752</v>
      </c>
      <c r="AY76" s="358">
        <f t="shared" si="30"/>
        <v>19781.975200000001</v>
      </c>
      <c r="AZ76" s="301"/>
      <c r="BA76" s="301"/>
      <c r="BB76" s="302"/>
      <c r="BC76" s="291"/>
      <c r="BD76" s="298"/>
      <c r="BF76" s="298"/>
      <c r="BG76" s="298"/>
      <c r="BK76" s="298"/>
      <c r="BL76" s="298"/>
      <c r="BM76" s="298"/>
      <c r="BN76" s="298"/>
      <c r="BO76" s="298"/>
    </row>
    <row r="77" spans="1:67" ht="15" x14ac:dyDescent="0.2">
      <c r="A77" s="10" t="s">
        <v>10</v>
      </c>
      <c r="B77" s="10"/>
      <c r="C77" s="276"/>
      <c r="D77" s="276"/>
      <c r="E77" s="276"/>
      <c r="F77" s="8">
        <v>2</v>
      </c>
      <c r="G77" s="355">
        <v>147</v>
      </c>
      <c r="H77" s="10">
        <v>51</v>
      </c>
      <c r="I77" s="7" t="s">
        <v>63</v>
      </c>
      <c r="J77" s="287"/>
      <c r="K77" s="356">
        <v>9441.06</v>
      </c>
      <c r="L77" s="355"/>
      <c r="M77" s="289"/>
      <c r="N77" s="357">
        <v>1461</v>
      </c>
      <c r="O77" s="290">
        <f t="shared" si="3"/>
        <v>0.15474957261154998</v>
      </c>
      <c r="P77" s="290">
        <f t="shared" si="15"/>
        <v>0</v>
      </c>
      <c r="Q77" s="291">
        <f t="shared" si="4"/>
        <v>0</v>
      </c>
      <c r="R77" s="291">
        <f t="shared" si="16"/>
        <v>0</v>
      </c>
      <c r="S77" s="357">
        <v>229</v>
      </c>
      <c r="T77" s="292">
        <f t="shared" si="5"/>
        <v>438.3</v>
      </c>
      <c r="U77" s="254">
        <f t="shared" si="17"/>
        <v>9936.6099999999988</v>
      </c>
      <c r="V77" s="356">
        <v>16401217199.67</v>
      </c>
      <c r="W77" s="357">
        <v>61598</v>
      </c>
      <c r="X77" s="264">
        <f t="shared" si="6"/>
        <v>266262.17</v>
      </c>
      <c r="Y77" s="293">
        <f t="shared" si="7"/>
        <v>1.3829880000000001</v>
      </c>
      <c r="Z77" s="357">
        <v>134559</v>
      </c>
      <c r="AA77" s="293">
        <f t="shared" si="8"/>
        <v>1.116725</v>
      </c>
      <c r="AB77" s="293">
        <f t="shared" si="9"/>
        <v>-0.30310900000000002</v>
      </c>
      <c r="AC77" s="294">
        <f t="shared" si="10"/>
        <v>0.01</v>
      </c>
      <c r="AD77" s="295">
        <f t="shared" si="18"/>
        <v>0</v>
      </c>
      <c r="AE77" s="296">
        <f t="shared" si="19"/>
        <v>0.01</v>
      </c>
      <c r="AF77" s="357">
        <v>0</v>
      </c>
      <c r="AG77" s="357">
        <v>0</v>
      </c>
      <c r="AH77" s="254">
        <f t="shared" si="20"/>
        <v>0</v>
      </c>
      <c r="AI77" s="9">
        <f t="shared" si="11"/>
        <v>0</v>
      </c>
      <c r="AJ77" s="9">
        <v>0</v>
      </c>
      <c r="AK77" s="9">
        <f t="shared" si="21"/>
        <v>0</v>
      </c>
      <c r="AL77" s="9">
        <f t="shared" si="22"/>
        <v>0</v>
      </c>
      <c r="AM77" s="9">
        <f t="shared" si="23"/>
        <v>0</v>
      </c>
      <c r="AN77" s="9">
        <f t="shared" si="24"/>
        <v>0</v>
      </c>
      <c r="AO77" s="9">
        <f t="shared" si="12"/>
        <v>1145194</v>
      </c>
      <c r="AP77" s="9">
        <f t="shared" si="25"/>
        <v>1145194</v>
      </c>
      <c r="AQ77" s="9">
        <f t="shared" si="26"/>
        <v>1145194</v>
      </c>
      <c r="AR77" s="291">
        <v>1087165</v>
      </c>
      <c r="AS77" s="9">
        <f t="shared" si="27"/>
        <v>58029</v>
      </c>
      <c r="AT77" s="297" t="str">
        <f t="shared" si="28"/>
        <v>Yes</v>
      </c>
      <c r="AU77" s="357">
        <v>1111544</v>
      </c>
      <c r="AV77" s="291">
        <f t="shared" si="13"/>
        <v>6185.8914000000004</v>
      </c>
      <c r="AW77" s="291">
        <f t="shared" si="29"/>
        <v>1117729.8914000001</v>
      </c>
      <c r="AX77" s="291">
        <f t="shared" si="14"/>
        <v>1117729.8914000001</v>
      </c>
      <c r="AY77" s="358">
        <f t="shared" si="30"/>
        <v>6185.8914000000805</v>
      </c>
      <c r="AZ77" s="301"/>
      <c r="BA77" s="301"/>
      <c r="BB77" s="302"/>
      <c r="BC77" s="291"/>
      <c r="BD77" s="298"/>
      <c r="BF77" s="298"/>
      <c r="BG77" s="298"/>
      <c r="BK77" s="298"/>
      <c r="BL77" s="298"/>
      <c r="BM77" s="298"/>
      <c r="BN77" s="298"/>
      <c r="BO77" s="298"/>
    </row>
    <row r="78" spans="1:67" ht="15" x14ac:dyDescent="0.2">
      <c r="A78" s="10" t="s">
        <v>10</v>
      </c>
      <c r="B78" s="10"/>
      <c r="C78" s="276"/>
      <c r="D78" s="276"/>
      <c r="E78" s="276"/>
      <c r="F78" s="8">
        <v>3</v>
      </c>
      <c r="G78" s="355">
        <v>146</v>
      </c>
      <c r="H78" s="10">
        <v>52</v>
      </c>
      <c r="I78" s="7" t="s">
        <v>64</v>
      </c>
      <c r="J78" s="287"/>
      <c r="K78" s="356">
        <v>4040.75</v>
      </c>
      <c r="L78" s="355"/>
      <c r="M78" s="289"/>
      <c r="N78" s="357">
        <v>666</v>
      </c>
      <c r="O78" s="290">
        <f t="shared" si="3"/>
        <v>0.16482088721153251</v>
      </c>
      <c r="P78" s="290">
        <f t="shared" si="15"/>
        <v>0</v>
      </c>
      <c r="Q78" s="291">
        <f t="shared" si="4"/>
        <v>0</v>
      </c>
      <c r="R78" s="291">
        <f t="shared" si="16"/>
        <v>0</v>
      </c>
      <c r="S78" s="357">
        <v>164</v>
      </c>
      <c r="T78" s="292">
        <f t="shared" si="5"/>
        <v>199.8</v>
      </c>
      <c r="U78" s="254">
        <f t="shared" si="17"/>
        <v>4281.55</v>
      </c>
      <c r="V78" s="356">
        <v>5372016207</v>
      </c>
      <c r="W78" s="357">
        <v>25546</v>
      </c>
      <c r="X78" s="264">
        <f t="shared" si="6"/>
        <v>210287.96</v>
      </c>
      <c r="Y78" s="293">
        <f t="shared" si="7"/>
        <v>1.0922529999999999</v>
      </c>
      <c r="Z78" s="357">
        <v>94606</v>
      </c>
      <c r="AA78" s="293">
        <f t="shared" si="8"/>
        <v>0.78514899999999999</v>
      </c>
      <c r="AB78" s="293">
        <f t="shared" si="9"/>
        <v>-1.22E-4</v>
      </c>
      <c r="AC78" s="294">
        <f t="shared" si="10"/>
        <v>0.01</v>
      </c>
      <c r="AD78" s="295">
        <f t="shared" si="18"/>
        <v>0</v>
      </c>
      <c r="AE78" s="296">
        <f t="shared" si="19"/>
        <v>0.01</v>
      </c>
      <c r="AF78" s="357">
        <v>0</v>
      </c>
      <c r="AG78" s="357">
        <v>0</v>
      </c>
      <c r="AH78" s="254">
        <f t="shared" si="20"/>
        <v>0</v>
      </c>
      <c r="AI78" s="9">
        <f t="shared" si="11"/>
        <v>0</v>
      </c>
      <c r="AJ78" s="9">
        <v>0</v>
      </c>
      <c r="AK78" s="9">
        <f t="shared" si="21"/>
        <v>0</v>
      </c>
      <c r="AL78" s="9">
        <f t="shared" si="22"/>
        <v>0</v>
      </c>
      <c r="AM78" s="9">
        <f t="shared" si="23"/>
        <v>0</v>
      </c>
      <c r="AN78" s="9">
        <f t="shared" si="24"/>
        <v>0</v>
      </c>
      <c r="AO78" s="9">
        <f t="shared" si="12"/>
        <v>493449</v>
      </c>
      <c r="AP78" s="9">
        <f t="shared" si="25"/>
        <v>493449</v>
      </c>
      <c r="AQ78" s="9">
        <f t="shared" si="26"/>
        <v>493449</v>
      </c>
      <c r="AR78" s="291">
        <v>1095080</v>
      </c>
      <c r="AS78" s="9">
        <f t="shared" si="27"/>
        <v>601631</v>
      </c>
      <c r="AT78" s="297" t="str">
        <f t="shared" si="28"/>
        <v>No</v>
      </c>
      <c r="AU78" s="357">
        <v>843467</v>
      </c>
      <c r="AV78" s="291">
        <f t="shared" si="13"/>
        <v>50115.862300000001</v>
      </c>
      <c r="AW78" s="291">
        <f t="shared" si="29"/>
        <v>843467</v>
      </c>
      <c r="AX78" s="291">
        <f t="shared" si="14"/>
        <v>843467</v>
      </c>
      <c r="AY78" s="358">
        <f t="shared" si="30"/>
        <v>0</v>
      </c>
      <c r="AZ78" s="301"/>
      <c r="BA78" s="301"/>
      <c r="BB78" s="302"/>
      <c r="BC78" s="291"/>
      <c r="BD78" s="298"/>
      <c r="BF78" s="298"/>
      <c r="BG78" s="298"/>
      <c r="BK78" s="298"/>
      <c r="BL78" s="298"/>
      <c r="BM78" s="298"/>
      <c r="BN78" s="298"/>
      <c r="BO78" s="298"/>
    </row>
    <row r="79" spans="1:67" ht="15" x14ac:dyDescent="0.2">
      <c r="A79" s="10" t="s">
        <v>8</v>
      </c>
      <c r="B79" s="10"/>
      <c r="C79" s="276"/>
      <c r="D79" s="276"/>
      <c r="E79" s="276"/>
      <c r="F79" s="8">
        <v>5</v>
      </c>
      <c r="G79" s="355">
        <v>79</v>
      </c>
      <c r="H79" s="10">
        <v>53</v>
      </c>
      <c r="I79" s="7" t="s">
        <v>65</v>
      </c>
      <c r="J79" s="287"/>
      <c r="K79" s="356">
        <v>210.55</v>
      </c>
      <c r="L79" s="355"/>
      <c r="M79" s="289"/>
      <c r="N79" s="357">
        <v>41</v>
      </c>
      <c r="O79" s="290">
        <f t="shared" si="3"/>
        <v>0.1947280930895274</v>
      </c>
      <c r="P79" s="290">
        <f t="shared" si="15"/>
        <v>0</v>
      </c>
      <c r="Q79" s="291">
        <f t="shared" si="4"/>
        <v>0</v>
      </c>
      <c r="R79" s="291">
        <f t="shared" si="16"/>
        <v>0</v>
      </c>
      <c r="S79" s="357">
        <v>0</v>
      </c>
      <c r="T79" s="292">
        <f t="shared" si="5"/>
        <v>12.3</v>
      </c>
      <c r="U79" s="254">
        <f t="shared" si="17"/>
        <v>222.85000000000002</v>
      </c>
      <c r="V79" s="356">
        <v>333873795.32999998</v>
      </c>
      <c r="W79" s="357">
        <v>1842</v>
      </c>
      <c r="X79" s="264">
        <f t="shared" si="6"/>
        <v>181256.13</v>
      </c>
      <c r="Y79" s="293">
        <f t="shared" si="7"/>
        <v>0.94145900000000005</v>
      </c>
      <c r="Z79" s="357">
        <v>94000</v>
      </c>
      <c r="AA79" s="293">
        <f t="shared" si="8"/>
        <v>0.78012000000000004</v>
      </c>
      <c r="AB79" s="293">
        <f t="shared" si="9"/>
        <v>0.106943</v>
      </c>
      <c r="AC79" s="294">
        <f t="shared" si="10"/>
        <v>0.106943</v>
      </c>
      <c r="AD79" s="295">
        <f t="shared" si="18"/>
        <v>0</v>
      </c>
      <c r="AE79" s="296">
        <f t="shared" si="19"/>
        <v>0.106943</v>
      </c>
      <c r="AF79" s="357">
        <v>0</v>
      </c>
      <c r="AG79" s="357">
        <v>0</v>
      </c>
      <c r="AH79" s="254">
        <f t="shared" si="20"/>
        <v>0</v>
      </c>
      <c r="AI79" s="9">
        <f t="shared" si="11"/>
        <v>0</v>
      </c>
      <c r="AJ79" s="9">
        <v>49</v>
      </c>
      <c r="AK79" s="9">
        <f t="shared" si="21"/>
        <v>4</v>
      </c>
      <c r="AL79" s="9">
        <f t="shared" si="22"/>
        <v>400</v>
      </c>
      <c r="AM79" s="9">
        <f t="shared" si="23"/>
        <v>19600</v>
      </c>
      <c r="AN79" s="9">
        <f t="shared" si="24"/>
        <v>19600</v>
      </c>
      <c r="AO79" s="9">
        <f t="shared" si="12"/>
        <v>274667</v>
      </c>
      <c r="AP79" s="9">
        <f t="shared" si="25"/>
        <v>294267</v>
      </c>
      <c r="AQ79" s="9">
        <f t="shared" si="26"/>
        <v>294267</v>
      </c>
      <c r="AR79" s="291">
        <v>923278</v>
      </c>
      <c r="AS79" s="9">
        <f t="shared" si="27"/>
        <v>629011</v>
      </c>
      <c r="AT79" s="297" t="str">
        <f t="shared" si="28"/>
        <v>No</v>
      </c>
      <c r="AU79" s="357">
        <v>736256</v>
      </c>
      <c r="AV79" s="291">
        <f t="shared" si="13"/>
        <v>52396.616300000002</v>
      </c>
      <c r="AW79" s="291">
        <f t="shared" si="29"/>
        <v>736256</v>
      </c>
      <c r="AX79" s="291">
        <f t="shared" si="14"/>
        <v>736256</v>
      </c>
      <c r="AY79" s="358">
        <f t="shared" si="30"/>
        <v>0</v>
      </c>
      <c r="AZ79" s="301"/>
      <c r="BA79" s="301"/>
      <c r="BB79" s="302"/>
      <c r="BC79" s="291"/>
      <c r="BD79" s="298"/>
      <c r="BF79" s="298"/>
      <c r="BG79" s="298"/>
      <c r="BK79" s="298"/>
      <c r="BL79" s="298"/>
      <c r="BM79" s="298"/>
      <c r="BN79" s="298"/>
      <c r="BO79" s="298"/>
    </row>
    <row r="80" spans="1:67" ht="15" x14ac:dyDescent="0.2">
      <c r="A80" s="10" t="s">
        <v>10</v>
      </c>
      <c r="B80" s="10"/>
      <c r="C80" s="276"/>
      <c r="D80" s="276"/>
      <c r="E80" s="276"/>
      <c r="F80" s="8">
        <v>3</v>
      </c>
      <c r="G80" s="355">
        <v>140</v>
      </c>
      <c r="H80" s="10">
        <v>54</v>
      </c>
      <c r="I80" s="7" t="s">
        <v>66</v>
      </c>
      <c r="J80" s="287"/>
      <c r="K80" s="356">
        <v>5817.61</v>
      </c>
      <c r="L80" s="355"/>
      <c r="M80" s="289"/>
      <c r="N80" s="357">
        <v>791</v>
      </c>
      <c r="O80" s="290">
        <f t="shared" si="3"/>
        <v>0.13596648795639446</v>
      </c>
      <c r="P80" s="290">
        <f t="shared" si="15"/>
        <v>0</v>
      </c>
      <c r="Q80" s="291">
        <f t="shared" si="4"/>
        <v>0</v>
      </c>
      <c r="R80" s="291">
        <f t="shared" si="16"/>
        <v>0</v>
      </c>
      <c r="S80" s="357">
        <v>156</v>
      </c>
      <c r="T80" s="292">
        <f t="shared" si="5"/>
        <v>237.3</v>
      </c>
      <c r="U80" s="254">
        <f t="shared" si="17"/>
        <v>6093.91</v>
      </c>
      <c r="V80" s="356">
        <v>6101830840.6700001</v>
      </c>
      <c r="W80" s="357">
        <v>34578</v>
      </c>
      <c r="X80" s="264">
        <f t="shared" si="6"/>
        <v>176465.7</v>
      </c>
      <c r="Y80" s="293">
        <f t="shared" si="7"/>
        <v>0.91657699999999998</v>
      </c>
      <c r="Z80" s="357">
        <v>116625</v>
      </c>
      <c r="AA80" s="293">
        <f t="shared" si="8"/>
        <v>0.967889</v>
      </c>
      <c r="AB80" s="293">
        <f t="shared" si="9"/>
        <v>6.8029000000000006E-2</v>
      </c>
      <c r="AC80" s="294">
        <f t="shared" si="10"/>
        <v>6.8029000000000006E-2</v>
      </c>
      <c r="AD80" s="295">
        <f t="shared" si="18"/>
        <v>0</v>
      </c>
      <c r="AE80" s="296">
        <f t="shared" si="19"/>
        <v>6.8029000000000006E-2</v>
      </c>
      <c r="AF80" s="357">
        <v>0</v>
      </c>
      <c r="AG80" s="357">
        <v>0</v>
      </c>
      <c r="AH80" s="254">
        <f t="shared" si="20"/>
        <v>0</v>
      </c>
      <c r="AI80" s="9">
        <f t="shared" si="11"/>
        <v>0</v>
      </c>
      <c r="AJ80" s="9">
        <v>0</v>
      </c>
      <c r="AK80" s="9">
        <f t="shared" si="21"/>
        <v>0</v>
      </c>
      <c r="AL80" s="9">
        <f t="shared" si="22"/>
        <v>0</v>
      </c>
      <c r="AM80" s="9">
        <f t="shared" si="23"/>
        <v>0</v>
      </c>
      <c r="AN80" s="9">
        <f t="shared" si="24"/>
        <v>0</v>
      </c>
      <c r="AO80" s="9">
        <f t="shared" si="12"/>
        <v>4777834</v>
      </c>
      <c r="AP80" s="9">
        <f t="shared" si="25"/>
        <v>4777834</v>
      </c>
      <c r="AQ80" s="9">
        <f t="shared" si="26"/>
        <v>4777834</v>
      </c>
      <c r="AR80" s="291">
        <v>6654380</v>
      </c>
      <c r="AS80" s="9">
        <f t="shared" si="27"/>
        <v>1876546</v>
      </c>
      <c r="AT80" s="297" t="str">
        <f t="shared" si="28"/>
        <v>No</v>
      </c>
      <c r="AU80" s="357">
        <v>5379255</v>
      </c>
      <c r="AV80" s="291">
        <f t="shared" si="13"/>
        <v>156316.2818</v>
      </c>
      <c r="AW80" s="291">
        <f t="shared" si="29"/>
        <v>5379255</v>
      </c>
      <c r="AX80" s="291">
        <f t="shared" si="14"/>
        <v>5379255</v>
      </c>
      <c r="AY80" s="358">
        <f t="shared" si="30"/>
        <v>0</v>
      </c>
      <c r="AZ80" s="301"/>
      <c r="BA80" s="301"/>
      <c r="BB80" s="302"/>
      <c r="BC80" s="291"/>
      <c r="BD80" s="298"/>
      <c r="BF80" s="298"/>
      <c r="BG80" s="298"/>
      <c r="BK80" s="298"/>
      <c r="BL80" s="298"/>
      <c r="BM80" s="298"/>
      <c r="BN80" s="298"/>
      <c r="BO80" s="298"/>
    </row>
    <row r="81" spans="1:67" ht="15" x14ac:dyDescent="0.2">
      <c r="A81" s="10" t="s">
        <v>8</v>
      </c>
      <c r="B81" s="10"/>
      <c r="C81" s="276"/>
      <c r="D81" s="276"/>
      <c r="E81" s="276"/>
      <c r="F81" s="8">
        <v>2</v>
      </c>
      <c r="G81" s="355">
        <v>141</v>
      </c>
      <c r="H81" s="10">
        <v>55</v>
      </c>
      <c r="I81" s="7" t="s">
        <v>67</v>
      </c>
      <c r="J81" s="287"/>
      <c r="K81" s="356">
        <v>330.94</v>
      </c>
      <c r="L81" s="355"/>
      <c r="M81" s="289"/>
      <c r="N81" s="357">
        <v>74</v>
      </c>
      <c r="O81" s="290">
        <f t="shared" si="3"/>
        <v>0.22360548739952862</v>
      </c>
      <c r="P81" s="290">
        <f t="shared" si="15"/>
        <v>0</v>
      </c>
      <c r="Q81" s="291">
        <f t="shared" si="4"/>
        <v>0</v>
      </c>
      <c r="R81" s="291">
        <f t="shared" si="16"/>
        <v>0</v>
      </c>
      <c r="S81" s="357">
        <v>7</v>
      </c>
      <c r="T81" s="292">
        <f t="shared" si="5"/>
        <v>22.2</v>
      </c>
      <c r="U81" s="254">
        <f t="shared" si="17"/>
        <v>354.89</v>
      </c>
      <c r="V81" s="356">
        <v>791251335.33000004</v>
      </c>
      <c r="W81" s="357">
        <v>2903</v>
      </c>
      <c r="X81" s="264">
        <f t="shared" si="6"/>
        <v>272563.33</v>
      </c>
      <c r="Y81" s="293">
        <f t="shared" si="7"/>
        <v>1.415716</v>
      </c>
      <c r="Z81" s="357">
        <v>98967</v>
      </c>
      <c r="AA81" s="293">
        <f t="shared" si="8"/>
        <v>0.82134200000000002</v>
      </c>
      <c r="AB81" s="293">
        <f t="shared" si="9"/>
        <v>-0.237404</v>
      </c>
      <c r="AC81" s="294">
        <f t="shared" si="10"/>
        <v>0.01</v>
      </c>
      <c r="AD81" s="295">
        <f t="shared" si="18"/>
        <v>0</v>
      </c>
      <c r="AE81" s="296">
        <f t="shared" si="19"/>
        <v>0.01</v>
      </c>
      <c r="AF81" s="357">
        <v>341</v>
      </c>
      <c r="AG81" s="357">
        <v>13</v>
      </c>
      <c r="AH81" s="254">
        <f t="shared" si="20"/>
        <v>1300</v>
      </c>
      <c r="AI81" s="9">
        <f t="shared" si="11"/>
        <v>443300</v>
      </c>
      <c r="AJ81" s="9">
        <v>0</v>
      </c>
      <c r="AK81" s="9">
        <f t="shared" si="21"/>
        <v>0</v>
      </c>
      <c r="AL81" s="9">
        <f t="shared" si="22"/>
        <v>0</v>
      </c>
      <c r="AM81" s="9">
        <f t="shared" si="23"/>
        <v>0</v>
      </c>
      <c r="AN81" s="9">
        <f t="shared" si="24"/>
        <v>443300</v>
      </c>
      <c r="AO81" s="9">
        <f t="shared" si="12"/>
        <v>40901</v>
      </c>
      <c r="AP81" s="9">
        <f t="shared" si="25"/>
        <v>484201</v>
      </c>
      <c r="AQ81" s="9">
        <f t="shared" si="26"/>
        <v>484201</v>
      </c>
      <c r="AR81" s="291">
        <v>82025</v>
      </c>
      <c r="AS81" s="9">
        <f t="shared" si="27"/>
        <v>402176</v>
      </c>
      <c r="AT81" s="297" t="str">
        <f t="shared" si="28"/>
        <v>Yes</v>
      </c>
      <c r="AU81" s="357">
        <v>80162</v>
      </c>
      <c r="AV81" s="291">
        <f t="shared" si="13"/>
        <v>42871.961600000002</v>
      </c>
      <c r="AW81" s="291">
        <f t="shared" si="29"/>
        <v>123033.96160000001</v>
      </c>
      <c r="AX81" s="291">
        <f t="shared" si="14"/>
        <v>123033.96160000001</v>
      </c>
      <c r="AY81" s="358">
        <f t="shared" si="30"/>
        <v>42871.96160000001</v>
      </c>
      <c r="AZ81" s="301"/>
      <c r="BA81" s="301"/>
      <c r="BB81" s="302"/>
      <c r="BC81" s="291"/>
      <c r="BD81" s="298"/>
      <c r="BF81" s="298"/>
      <c r="BG81" s="298"/>
      <c r="BK81" s="298"/>
      <c r="BL81" s="298"/>
      <c r="BM81" s="298"/>
      <c r="BN81" s="298"/>
      <c r="BO81" s="298"/>
    </row>
    <row r="82" spans="1:67" ht="15" x14ac:dyDescent="0.2">
      <c r="A82" s="10" t="s">
        <v>10</v>
      </c>
      <c r="B82" s="10"/>
      <c r="C82" s="276"/>
      <c r="D82" s="276"/>
      <c r="E82" s="276"/>
      <c r="F82" s="8">
        <v>5</v>
      </c>
      <c r="G82" s="355">
        <v>129</v>
      </c>
      <c r="H82" s="10">
        <v>56</v>
      </c>
      <c r="I82" s="7" t="s">
        <v>68</v>
      </c>
      <c r="J82" s="287"/>
      <c r="K82" s="356">
        <v>1694.85</v>
      </c>
      <c r="L82" s="355"/>
      <c r="M82" s="289"/>
      <c r="N82" s="357">
        <v>163</v>
      </c>
      <c r="O82" s="290">
        <f t="shared" si="3"/>
        <v>9.6173702687553472E-2</v>
      </c>
      <c r="P82" s="290">
        <f t="shared" si="15"/>
        <v>0</v>
      </c>
      <c r="Q82" s="291">
        <f t="shared" si="4"/>
        <v>0</v>
      </c>
      <c r="R82" s="291">
        <f t="shared" si="16"/>
        <v>0</v>
      </c>
      <c r="S82" s="357">
        <v>3</v>
      </c>
      <c r="T82" s="292">
        <f t="shared" si="5"/>
        <v>48.9</v>
      </c>
      <c r="U82" s="254">
        <f t="shared" si="17"/>
        <v>1744.5</v>
      </c>
      <c r="V82" s="356">
        <v>1477984689.6700001</v>
      </c>
      <c r="W82" s="357">
        <v>11305</v>
      </c>
      <c r="X82" s="264">
        <f t="shared" si="6"/>
        <v>130737.26</v>
      </c>
      <c r="Y82" s="293">
        <f t="shared" si="7"/>
        <v>0.67906</v>
      </c>
      <c r="Z82" s="357">
        <v>121114</v>
      </c>
      <c r="AA82" s="293">
        <f t="shared" si="8"/>
        <v>1.0051429999999999</v>
      </c>
      <c r="AB82" s="293">
        <f t="shared" si="9"/>
        <v>0.22311500000000001</v>
      </c>
      <c r="AC82" s="294">
        <f t="shared" si="10"/>
        <v>0.22311500000000001</v>
      </c>
      <c r="AD82" s="295">
        <f t="shared" si="18"/>
        <v>0</v>
      </c>
      <c r="AE82" s="296">
        <f t="shared" si="19"/>
        <v>0.22311500000000001</v>
      </c>
      <c r="AF82" s="357">
        <v>0</v>
      </c>
      <c r="AG82" s="357">
        <v>0</v>
      </c>
      <c r="AH82" s="254">
        <f t="shared" si="20"/>
        <v>0</v>
      </c>
      <c r="AI82" s="9">
        <f t="shared" si="11"/>
        <v>0</v>
      </c>
      <c r="AJ82" s="9">
        <v>0</v>
      </c>
      <c r="AK82" s="9">
        <f t="shared" si="21"/>
        <v>0</v>
      </c>
      <c r="AL82" s="9">
        <f t="shared" si="22"/>
        <v>0</v>
      </c>
      <c r="AM82" s="9">
        <f t="shared" si="23"/>
        <v>0</v>
      </c>
      <c r="AN82" s="9">
        <f t="shared" si="24"/>
        <v>0</v>
      </c>
      <c r="AO82" s="9">
        <f t="shared" si="12"/>
        <v>4485808</v>
      </c>
      <c r="AP82" s="9">
        <f t="shared" si="25"/>
        <v>4485808</v>
      </c>
      <c r="AQ82" s="9">
        <f t="shared" si="26"/>
        <v>4485808</v>
      </c>
      <c r="AR82" s="291">
        <v>5510220</v>
      </c>
      <c r="AS82" s="9">
        <f t="shared" si="27"/>
        <v>1024412</v>
      </c>
      <c r="AT82" s="297" t="str">
        <f t="shared" si="28"/>
        <v>No</v>
      </c>
      <c r="AU82" s="357">
        <v>5278314</v>
      </c>
      <c r="AV82" s="291">
        <f t="shared" si="13"/>
        <v>85333.5196</v>
      </c>
      <c r="AW82" s="291">
        <f t="shared" si="29"/>
        <v>5278314</v>
      </c>
      <c r="AX82" s="291">
        <f t="shared" si="14"/>
        <v>5278314</v>
      </c>
      <c r="AY82" s="358">
        <f t="shared" si="30"/>
        <v>0</v>
      </c>
      <c r="AZ82" s="301"/>
      <c r="BA82" s="301"/>
      <c r="BB82" s="302"/>
      <c r="BC82" s="291"/>
      <c r="BD82" s="298"/>
      <c r="BF82" s="298"/>
      <c r="BG82" s="298"/>
      <c r="BK82" s="298"/>
      <c r="BL82" s="298"/>
      <c r="BM82" s="298"/>
      <c r="BN82" s="298"/>
      <c r="BO82" s="298"/>
    </row>
    <row r="83" spans="1:67" ht="15" x14ac:dyDescent="0.2">
      <c r="A83" s="10" t="s">
        <v>10</v>
      </c>
      <c r="B83" s="10"/>
      <c r="C83" s="276"/>
      <c r="D83" s="276"/>
      <c r="E83" s="276"/>
      <c r="F83" s="8">
        <v>1</v>
      </c>
      <c r="G83" s="355">
        <v>169</v>
      </c>
      <c r="H83" s="10">
        <v>57</v>
      </c>
      <c r="I83" s="7" t="s">
        <v>69</v>
      </c>
      <c r="J83" s="287"/>
      <c r="K83" s="356">
        <v>8588.06</v>
      </c>
      <c r="L83" s="355"/>
      <c r="M83" s="289"/>
      <c r="N83" s="357">
        <v>1891</v>
      </c>
      <c r="O83" s="290">
        <f t="shared" si="3"/>
        <v>0.22018942578417014</v>
      </c>
      <c r="P83" s="290">
        <f t="shared" si="15"/>
        <v>0</v>
      </c>
      <c r="Q83" s="291">
        <f t="shared" si="4"/>
        <v>0</v>
      </c>
      <c r="R83" s="291">
        <f t="shared" si="16"/>
        <v>0</v>
      </c>
      <c r="S83" s="357">
        <v>353</v>
      </c>
      <c r="T83" s="292">
        <f t="shared" si="5"/>
        <v>567.29999999999995</v>
      </c>
      <c r="U83" s="254">
        <f t="shared" si="17"/>
        <v>9243.6099999999988</v>
      </c>
      <c r="V83" s="356">
        <v>49439639594.330002</v>
      </c>
      <c r="W83" s="357">
        <v>62574</v>
      </c>
      <c r="X83" s="264">
        <f t="shared" si="6"/>
        <v>790098.76</v>
      </c>
      <c r="Y83" s="293">
        <f t="shared" si="7"/>
        <v>4.1038379999999997</v>
      </c>
      <c r="Z83" s="357">
        <v>142819</v>
      </c>
      <c r="AA83" s="293">
        <f t="shared" si="8"/>
        <v>1.185276</v>
      </c>
      <c r="AB83" s="293">
        <f t="shared" si="9"/>
        <v>-2.2282690000000001</v>
      </c>
      <c r="AC83" s="294">
        <f t="shared" si="10"/>
        <v>0.01</v>
      </c>
      <c r="AD83" s="295">
        <f t="shared" si="18"/>
        <v>0</v>
      </c>
      <c r="AE83" s="296">
        <f t="shared" si="19"/>
        <v>0.01</v>
      </c>
      <c r="AF83" s="357">
        <v>0</v>
      </c>
      <c r="AG83" s="357">
        <v>0</v>
      </c>
      <c r="AH83" s="254">
        <f t="shared" si="20"/>
        <v>0</v>
      </c>
      <c r="AI83" s="9">
        <f t="shared" si="11"/>
        <v>0</v>
      </c>
      <c r="AJ83" s="9">
        <v>0</v>
      </c>
      <c r="AK83" s="9">
        <f t="shared" si="21"/>
        <v>0</v>
      </c>
      <c r="AL83" s="9">
        <f t="shared" si="22"/>
        <v>0</v>
      </c>
      <c r="AM83" s="9">
        <f t="shared" si="23"/>
        <v>0</v>
      </c>
      <c r="AN83" s="9">
        <f t="shared" si="24"/>
        <v>0</v>
      </c>
      <c r="AO83" s="9">
        <f t="shared" si="12"/>
        <v>1065326</v>
      </c>
      <c r="AP83" s="9">
        <f t="shared" si="25"/>
        <v>1065326</v>
      </c>
      <c r="AQ83" s="9">
        <f t="shared" si="26"/>
        <v>1065326</v>
      </c>
      <c r="AR83" s="291">
        <v>136859</v>
      </c>
      <c r="AS83" s="9">
        <f t="shared" si="27"/>
        <v>928467</v>
      </c>
      <c r="AT83" s="297" t="str">
        <f t="shared" si="28"/>
        <v>Yes</v>
      </c>
      <c r="AU83" s="357">
        <v>378649</v>
      </c>
      <c r="AV83" s="291">
        <f t="shared" si="13"/>
        <v>98974.582200000004</v>
      </c>
      <c r="AW83" s="291">
        <f t="shared" si="29"/>
        <v>477623.5822</v>
      </c>
      <c r="AX83" s="291">
        <f t="shared" si="14"/>
        <v>477623.5822</v>
      </c>
      <c r="AY83" s="358">
        <f t="shared" si="30"/>
        <v>98974.582200000004</v>
      </c>
      <c r="AZ83" s="301"/>
      <c r="BA83" s="301"/>
      <c r="BB83" s="302"/>
      <c r="BC83" s="291"/>
      <c r="BD83" s="298"/>
      <c r="BF83" s="298"/>
      <c r="BG83" s="298"/>
      <c r="BK83" s="298"/>
      <c r="BL83" s="298"/>
      <c r="BM83" s="298"/>
      <c r="BN83" s="298"/>
      <c r="BO83" s="298"/>
    </row>
    <row r="84" spans="1:67" ht="15" x14ac:dyDescent="0.2">
      <c r="A84" s="10" t="s">
        <v>32</v>
      </c>
      <c r="B84" s="10"/>
      <c r="C84" s="276"/>
      <c r="D84" s="276"/>
      <c r="E84" s="276"/>
      <c r="F84" s="8">
        <v>9</v>
      </c>
      <c r="G84" s="359">
        <v>22</v>
      </c>
      <c r="H84" s="10">
        <v>58</v>
      </c>
      <c r="I84" s="7" t="s">
        <v>70</v>
      </c>
      <c r="J84" s="287"/>
      <c r="K84" s="356">
        <v>1546.15</v>
      </c>
      <c r="L84" s="359"/>
      <c r="M84" s="289"/>
      <c r="N84" s="357">
        <v>788</v>
      </c>
      <c r="O84" s="290">
        <f t="shared" si="3"/>
        <v>0.50965300908708722</v>
      </c>
      <c r="P84" s="290">
        <f t="shared" si="15"/>
        <v>0</v>
      </c>
      <c r="Q84" s="291">
        <f t="shared" si="4"/>
        <v>0</v>
      </c>
      <c r="R84" s="291">
        <f t="shared" si="16"/>
        <v>0</v>
      </c>
      <c r="S84" s="357">
        <v>21</v>
      </c>
      <c r="T84" s="292">
        <f t="shared" si="5"/>
        <v>236.4</v>
      </c>
      <c r="U84" s="254">
        <f t="shared" si="17"/>
        <v>1787.8000000000002</v>
      </c>
      <c r="V84" s="356">
        <v>1068224850</v>
      </c>
      <c r="W84" s="357">
        <v>11693</v>
      </c>
      <c r="X84" s="264">
        <f t="shared" si="6"/>
        <v>91355.93</v>
      </c>
      <c r="Y84" s="293">
        <f t="shared" si="7"/>
        <v>0.47450999999999999</v>
      </c>
      <c r="Z84" s="357">
        <v>62542</v>
      </c>
      <c r="AA84" s="293">
        <f t="shared" si="8"/>
        <v>0.51904600000000001</v>
      </c>
      <c r="AB84" s="293">
        <f t="shared" si="9"/>
        <v>0.51212899999999995</v>
      </c>
      <c r="AC84" s="294">
        <f t="shared" si="10"/>
        <v>0.51212899999999995</v>
      </c>
      <c r="AD84" s="295">
        <f t="shared" si="18"/>
        <v>0</v>
      </c>
      <c r="AE84" s="296">
        <f t="shared" si="19"/>
        <v>0.51212899999999995</v>
      </c>
      <c r="AF84" s="357">
        <v>0</v>
      </c>
      <c r="AG84" s="357">
        <v>0</v>
      </c>
      <c r="AH84" s="254">
        <f t="shared" si="20"/>
        <v>0</v>
      </c>
      <c r="AI84" s="9">
        <f t="shared" si="11"/>
        <v>0</v>
      </c>
      <c r="AJ84" s="9">
        <v>0</v>
      </c>
      <c r="AK84" s="9">
        <f t="shared" si="21"/>
        <v>0</v>
      </c>
      <c r="AL84" s="9">
        <f t="shared" si="22"/>
        <v>0</v>
      </c>
      <c r="AM84" s="9">
        <f t="shared" si="23"/>
        <v>0</v>
      </c>
      <c r="AN84" s="9">
        <f t="shared" si="24"/>
        <v>0</v>
      </c>
      <c r="AO84" s="9">
        <f t="shared" si="12"/>
        <v>10552108</v>
      </c>
      <c r="AP84" s="9">
        <f t="shared" si="25"/>
        <v>10552108</v>
      </c>
      <c r="AQ84" s="9">
        <f t="shared" si="26"/>
        <v>10552108</v>
      </c>
      <c r="AR84" s="291">
        <v>10775767</v>
      </c>
      <c r="AS84" s="9">
        <f t="shared" si="27"/>
        <v>223659</v>
      </c>
      <c r="AT84" s="297" t="str">
        <f t="shared" si="28"/>
        <v>No</v>
      </c>
      <c r="AU84" s="357">
        <v>10925151</v>
      </c>
      <c r="AV84" s="291">
        <f t="shared" si="13"/>
        <v>18630.794699999999</v>
      </c>
      <c r="AW84" s="291">
        <f t="shared" si="29"/>
        <v>10925151</v>
      </c>
      <c r="AX84" s="291">
        <f t="shared" si="14"/>
        <v>10925151</v>
      </c>
      <c r="AY84" s="358">
        <f t="shared" si="30"/>
        <v>0</v>
      </c>
      <c r="AZ84" s="301"/>
      <c r="BA84" s="301"/>
      <c r="BB84" s="302"/>
      <c r="BC84" s="291"/>
      <c r="BD84" s="298"/>
      <c r="BF84" s="298"/>
      <c r="BG84" s="298"/>
      <c r="BK84" s="298"/>
      <c r="BL84" s="298"/>
      <c r="BM84" s="298"/>
      <c r="BN84" s="298"/>
      <c r="BO84" s="298"/>
    </row>
    <row r="85" spans="1:67" ht="15" x14ac:dyDescent="0.2">
      <c r="A85" s="10" t="s">
        <v>19</v>
      </c>
      <c r="B85" s="10"/>
      <c r="C85" s="276">
        <v>1</v>
      </c>
      <c r="D85" s="276"/>
      <c r="E85" s="276"/>
      <c r="F85" s="8">
        <v>8</v>
      </c>
      <c r="G85" s="355">
        <v>49</v>
      </c>
      <c r="H85" s="10">
        <v>59</v>
      </c>
      <c r="I85" s="7" t="s">
        <v>71</v>
      </c>
      <c r="J85" s="287"/>
      <c r="K85" s="356">
        <v>4448.07</v>
      </c>
      <c r="L85" s="355"/>
      <c r="M85" s="289"/>
      <c r="N85" s="357">
        <v>2390</v>
      </c>
      <c r="O85" s="290">
        <f t="shared" si="3"/>
        <v>0.53731168799052176</v>
      </c>
      <c r="P85" s="290">
        <f t="shared" si="15"/>
        <v>0</v>
      </c>
      <c r="Q85" s="291">
        <f t="shared" si="4"/>
        <v>0</v>
      </c>
      <c r="R85" s="291">
        <f t="shared" si="16"/>
        <v>0</v>
      </c>
      <c r="S85" s="357">
        <v>169</v>
      </c>
      <c r="T85" s="292">
        <f t="shared" si="5"/>
        <v>717</v>
      </c>
      <c r="U85" s="254">
        <f t="shared" si="17"/>
        <v>5207.32</v>
      </c>
      <c r="V85" s="356">
        <v>5815454006</v>
      </c>
      <c r="W85" s="357">
        <v>39105</v>
      </c>
      <c r="X85" s="264">
        <f t="shared" si="6"/>
        <v>148713.82</v>
      </c>
      <c r="Y85" s="293">
        <f t="shared" si="7"/>
        <v>0.77243200000000001</v>
      </c>
      <c r="Z85" s="357">
        <v>66999</v>
      </c>
      <c r="AA85" s="293">
        <f t="shared" si="8"/>
        <v>0.55603499999999995</v>
      </c>
      <c r="AB85" s="293">
        <f t="shared" si="9"/>
        <v>0.292487</v>
      </c>
      <c r="AC85" s="294">
        <f t="shared" si="10"/>
        <v>0.292487</v>
      </c>
      <c r="AD85" s="295">
        <f t="shared" si="18"/>
        <v>0</v>
      </c>
      <c r="AE85" s="296">
        <f t="shared" si="19"/>
        <v>0.292487</v>
      </c>
      <c r="AF85" s="357">
        <v>0</v>
      </c>
      <c r="AG85" s="357">
        <v>0</v>
      </c>
      <c r="AH85" s="254">
        <f t="shared" si="20"/>
        <v>0</v>
      </c>
      <c r="AI85" s="9">
        <f t="shared" si="11"/>
        <v>0</v>
      </c>
      <c r="AJ85" s="9">
        <v>0</v>
      </c>
      <c r="AK85" s="9">
        <f t="shared" si="21"/>
        <v>0</v>
      </c>
      <c r="AL85" s="9">
        <f t="shared" si="22"/>
        <v>0</v>
      </c>
      <c r="AM85" s="9">
        <f t="shared" si="23"/>
        <v>0</v>
      </c>
      <c r="AN85" s="9">
        <f t="shared" si="24"/>
        <v>0</v>
      </c>
      <c r="AO85" s="9">
        <f t="shared" si="12"/>
        <v>17553421</v>
      </c>
      <c r="AP85" s="9">
        <f t="shared" si="25"/>
        <v>17553421</v>
      </c>
      <c r="AQ85" s="9">
        <f t="shared" si="26"/>
        <v>25040045</v>
      </c>
      <c r="AR85" s="291">
        <v>25040045</v>
      </c>
      <c r="AS85" s="9">
        <f t="shared" si="27"/>
        <v>7486624</v>
      </c>
      <c r="AT85" s="297" t="str">
        <f t="shared" si="28"/>
        <v>No</v>
      </c>
      <c r="AU85" s="357">
        <v>25040045</v>
      </c>
      <c r="AV85" s="291">
        <f t="shared" si="13"/>
        <v>623635.77919999999</v>
      </c>
      <c r="AW85" s="291">
        <f t="shared" si="29"/>
        <v>25040045</v>
      </c>
      <c r="AX85" s="291">
        <f t="shared" si="14"/>
        <v>25040045</v>
      </c>
      <c r="AY85" s="358">
        <f t="shared" si="30"/>
        <v>0</v>
      </c>
      <c r="AZ85" s="301"/>
      <c r="BA85" s="301"/>
      <c r="BB85" s="302"/>
      <c r="BC85" s="291"/>
      <c r="BD85" s="298"/>
      <c r="BF85" s="298"/>
      <c r="BG85" s="298"/>
      <c r="BK85" s="298"/>
      <c r="BL85" s="298"/>
      <c r="BM85" s="298"/>
      <c r="BN85" s="298"/>
      <c r="BO85" s="298"/>
    </row>
    <row r="86" spans="1:67" ht="15" x14ac:dyDescent="0.2">
      <c r="A86" s="10" t="s">
        <v>10</v>
      </c>
      <c r="B86" s="10"/>
      <c r="C86" s="276"/>
      <c r="D86" s="276"/>
      <c r="E86" s="276"/>
      <c r="F86" s="8">
        <v>2</v>
      </c>
      <c r="G86" s="355">
        <v>150</v>
      </c>
      <c r="H86" s="10">
        <v>60</v>
      </c>
      <c r="I86" s="7" t="s">
        <v>72</v>
      </c>
      <c r="J86" s="287"/>
      <c r="K86" s="356">
        <v>3138.89</v>
      </c>
      <c r="L86" s="355"/>
      <c r="M86" s="289"/>
      <c r="N86" s="357">
        <v>410</v>
      </c>
      <c r="O86" s="290">
        <f t="shared" si="3"/>
        <v>0.13061942278958485</v>
      </c>
      <c r="P86" s="290">
        <f t="shared" si="15"/>
        <v>0</v>
      </c>
      <c r="Q86" s="291">
        <f t="shared" si="4"/>
        <v>0</v>
      </c>
      <c r="R86" s="291">
        <f t="shared" si="16"/>
        <v>0</v>
      </c>
      <c r="S86" s="357">
        <v>59</v>
      </c>
      <c r="T86" s="292">
        <f t="shared" si="5"/>
        <v>123</v>
      </c>
      <c r="U86" s="254">
        <f t="shared" si="17"/>
        <v>3276.64</v>
      </c>
      <c r="V86" s="356">
        <v>4519394206.6700001</v>
      </c>
      <c r="W86" s="357">
        <v>22285</v>
      </c>
      <c r="X86" s="264">
        <f t="shared" si="6"/>
        <v>202799.83</v>
      </c>
      <c r="Y86" s="293">
        <f t="shared" si="7"/>
        <v>1.0533589999999999</v>
      </c>
      <c r="Z86" s="357">
        <v>110000</v>
      </c>
      <c r="AA86" s="293">
        <f t="shared" si="8"/>
        <v>0.91290700000000002</v>
      </c>
      <c r="AB86" s="293">
        <f t="shared" si="9"/>
        <v>-1.1223E-2</v>
      </c>
      <c r="AC86" s="294">
        <f t="shared" si="10"/>
        <v>0.01</v>
      </c>
      <c r="AD86" s="295">
        <f t="shared" si="18"/>
        <v>0</v>
      </c>
      <c r="AE86" s="296">
        <f t="shared" si="19"/>
        <v>0.01</v>
      </c>
      <c r="AF86" s="357">
        <v>0</v>
      </c>
      <c r="AG86" s="357">
        <v>0</v>
      </c>
      <c r="AH86" s="254">
        <f t="shared" si="20"/>
        <v>0</v>
      </c>
      <c r="AI86" s="9">
        <f t="shared" si="11"/>
        <v>0</v>
      </c>
      <c r="AJ86" s="9">
        <v>0</v>
      </c>
      <c r="AK86" s="9">
        <f t="shared" si="21"/>
        <v>0</v>
      </c>
      <c r="AL86" s="9">
        <f t="shared" si="22"/>
        <v>0</v>
      </c>
      <c r="AM86" s="9">
        <f t="shared" si="23"/>
        <v>0</v>
      </c>
      <c r="AN86" s="9">
        <f t="shared" si="24"/>
        <v>0</v>
      </c>
      <c r="AO86" s="9">
        <f t="shared" si="12"/>
        <v>377633</v>
      </c>
      <c r="AP86" s="9">
        <f t="shared" si="25"/>
        <v>377633</v>
      </c>
      <c r="AQ86" s="9">
        <f t="shared" si="26"/>
        <v>377633</v>
      </c>
      <c r="AR86" s="291">
        <v>2740394</v>
      </c>
      <c r="AS86" s="9">
        <f t="shared" si="27"/>
        <v>2362761</v>
      </c>
      <c r="AT86" s="297" t="str">
        <f t="shared" si="28"/>
        <v>No</v>
      </c>
      <c r="AU86" s="357">
        <v>1766084</v>
      </c>
      <c r="AV86" s="291">
        <f t="shared" si="13"/>
        <v>196817.99129999999</v>
      </c>
      <c r="AW86" s="291">
        <f t="shared" si="29"/>
        <v>1766084</v>
      </c>
      <c r="AX86" s="291">
        <f t="shared" si="14"/>
        <v>1766084</v>
      </c>
      <c r="AY86" s="358">
        <f t="shared" si="30"/>
        <v>0</v>
      </c>
      <c r="AZ86" s="301"/>
      <c r="BA86" s="301"/>
      <c r="BB86" s="302"/>
      <c r="BC86" s="291"/>
      <c r="BD86" s="298"/>
      <c r="BF86" s="298"/>
      <c r="BG86" s="298"/>
      <c r="BK86" s="298"/>
      <c r="BL86" s="298"/>
      <c r="BM86" s="298"/>
      <c r="BN86" s="298"/>
      <c r="BO86" s="298"/>
    </row>
    <row r="87" spans="1:67" ht="15" x14ac:dyDescent="0.2">
      <c r="A87" s="10" t="s">
        <v>4</v>
      </c>
      <c r="B87" s="10"/>
      <c r="C87" s="276"/>
      <c r="D87" s="276"/>
      <c r="E87" s="276"/>
      <c r="F87" s="8">
        <v>4</v>
      </c>
      <c r="G87" s="355">
        <v>123</v>
      </c>
      <c r="H87" s="10">
        <v>61</v>
      </c>
      <c r="I87" s="7" t="s">
        <v>73</v>
      </c>
      <c r="J87" s="287"/>
      <c r="K87" s="356">
        <v>1132.01</v>
      </c>
      <c r="L87" s="355"/>
      <c r="M87" s="289"/>
      <c r="N87" s="357">
        <v>202</v>
      </c>
      <c r="O87" s="290">
        <f t="shared" si="3"/>
        <v>0.17844365332461729</v>
      </c>
      <c r="P87" s="290">
        <f t="shared" si="15"/>
        <v>0</v>
      </c>
      <c r="Q87" s="291">
        <f t="shared" si="4"/>
        <v>0</v>
      </c>
      <c r="R87" s="291">
        <f t="shared" si="16"/>
        <v>0</v>
      </c>
      <c r="S87" s="357">
        <v>8</v>
      </c>
      <c r="T87" s="292">
        <f t="shared" si="5"/>
        <v>60.6</v>
      </c>
      <c r="U87" s="254">
        <f t="shared" si="17"/>
        <v>1194.6099999999999</v>
      </c>
      <c r="V87" s="356">
        <v>1325103552.6700001</v>
      </c>
      <c r="W87" s="357">
        <v>8267</v>
      </c>
      <c r="X87" s="264">
        <f t="shared" si="6"/>
        <v>160288.32000000001</v>
      </c>
      <c r="Y87" s="293">
        <f t="shared" si="7"/>
        <v>0.83255100000000004</v>
      </c>
      <c r="Z87" s="357">
        <v>108800</v>
      </c>
      <c r="AA87" s="293">
        <f t="shared" si="8"/>
        <v>0.90294799999999997</v>
      </c>
      <c r="AB87" s="293">
        <f t="shared" si="9"/>
        <v>0.14632999999999999</v>
      </c>
      <c r="AC87" s="294">
        <f t="shared" si="10"/>
        <v>0.14632999999999999</v>
      </c>
      <c r="AD87" s="295">
        <f t="shared" si="18"/>
        <v>0</v>
      </c>
      <c r="AE87" s="296">
        <f t="shared" si="19"/>
        <v>0.14632999999999999</v>
      </c>
      <c r="AF87" s="357">
        <v>1137</v>
      </c>
      <c r="AG87" s="357">
        <v>13</v>
      </c>
      <c r="AH87" s="254">
        <f t="shared" si="20"/>
        <v>1300</v>
      </c>
      <c r="AI87" s="9">
        <f t="shared" si="11"/>
        <v>1478100</v>
      </c>
      <c r="AJ87" s="9">
        <v>0</v>
      </c>
      <c r="AK87" s="9">
        <f t="shared" si="21"/>
        <v>0</v>
      </c>
      <c r="AL87" s="9">
        <f t="shared" si="22"/>
        <v>0</v>
      </c>
      <c r="AM87" s="9">
        <f t="shared" si="23"/>
        <v>0</v>
      </c>
      <c r="AN87" s="9">
        <f t="shared" si="24"/>
        <v>1478100</v>
      </c>
      <c r="AO87" s="9">
        <f t="shared" si="12"/>
        <v>2014654</v>
      </c>
      <c r="AP87" s="9">
        <f t="shared" si="25"/>
        <v>3492754</v>
      </c>
      <c r="AQ87" s="9">
        <f t="shared" si="26"/>
        <v>3492754</v>
      </c>
      <c r="AR87" s="291">
        <v>1971482</v>
      </c>
      <c r="AS87" s="9">
        <f t="shared" si="27"/>
        <v>1521272</v>
      </c>
      <c r="AT87" s="297" t="str">
        <f t="shared" si="28"/>
        <v>Yes</v>
      </c>
      <c r="AU87" s="357">
        <v>2019012</v>
      </c>
      <c r="AV87" s="291">
        <f t="shared" si="13"/>
        <v>162167.59520000001</v>
      </c>
      <c r="AW87" s="291">
        <f t="shared" si="29"/>
        <v>2181179.5951999999</v>
      </c>
      <c r="AX87" s="291">
        <f t="shared" si="14"/>
        <v>2181179.5951999999</v>
      </c>
      <c r="AY87" s="358">
        <f t="shared" si="30"/>
        <v>162167.59519999987</v>
      </c>
      <c r="AZ87" s="301"/>
      <c r="BA87" s="301"/>
      <c r="BB87" s="302"/>
      <c r="BC87" s="291"/>
      <c r="BD87" s="298"/>
      <c r="BF87" s="298"/>
      <c r="BG87" s="298"/>
      <c r="BK87" s="298"/>
      <c r="BL87" s="298"/>
      <c r="BM87" s="298"/>
      <c r="BN87" s="298"/>
      <c r="BO87" s="298"/>
    </row>
    <row r="88" spans="1:67" ht="15" x14ac:dyDescent="0.2">
      <c r="A88" s="10" t="s">
        <v>19</v>
      </c>
      <c r="B88" s="10"/>
      <c r="C88" s="276">
        <v>1</v>
      </c>
      <c r="D88" s="276">
        <v>1</v>
      </c>
      <c r="E88" s="276"/>
      <c r="F88" s="8">
        <v>9</v>
      </c>
      <c r="G88" s="359">
        <v>25</v>
      </c>
      <c r="H88" s="10">
        <v>62</v>
      </c>
      <c r="I88" s="7" t="s">
        <v>74</v>
      </c>
      <c r="J88" s="287"/>
      <c r="K88" s="356">
        <v>6226.12</v>
      </c>
      <c r="L88" s="359"/>
      <c r="M88" s="289"/>
      <c r="N88" s="357">
        <v>2710</v>
      </c>
      <c r="O88" s="290">
        <f t="shared" si="3"/>
        <v>0.43526305307318203</v>
      </c>
      <c r="P88" s="290">
        <f t="shared" si="15"/>
        <v>0</v>
      </c>
      <c r="Q88" s="291">
        <f t="shared" si="4"/>
        <v>0</v>
      </c>
      <c r="R88" s="291">
        <f t="shared" si="16"/>
        <v>0</v>
      </c>
      <c r="S88" s="357">
        <v>353</v>
      </c>
      <c r="T88" s="292">
        <f t="shared" si="5"/>
        <v>813</v>
      </c>
      <c r="U88" s="254">
        <f t="shared" si="17"/>
        <v>7127.37</v>
      </c>
      <c r="V88" s="356">
        <v>5762356274</v>
      </c>
      <c r="W88" s="357">
        <v>61206</v>
      </c>
      <c r="X88" s="264">
        <f t="shared" si="6"/>
        <v>94146.92</v>
      </c>
      <c r="Y88" s="293">
        <f t="shared" si="7"/>
        <v>0.48900700000000002</v>
      </c>
      <c r="Z88" s="357">
        <v>75392</v>
      </c>
      <c r="AA88" s="293">
        <f t="shared" si="8"/>
        <v>0.62568999999999997</v>
      </c>
      <c r="AB88" s="293">
        <f t="shared" si="9"/>
        <v>0.46998800000000002</v>
      </c>
      <c r="AC88" s="294">
        <f t="shared" si="10"/>
        <v>0.46998800000000002</v>
      </c>
      <c r="AD88" s="295">
        <f t="shared" si="18"/>
        <v>0</v>
      </c>
      <c r="AE88" s="296">
        <f t="shared" si="19"/>
        <v>0.46998800000000002</v>
      </c>
      <c r="AF88" s="357">
        <v>0</v>
      </c>
      <c r="AG88" s="357">
        <v>0</v>
      </c>
      <c r="AH88" s="254">
        <f t="shared" si="20"/>
        <v>0</v>
      </c>
      <c r="AI88" s="9">
        <f t="shared" si="11"/>
        <v>0</v>
      </c>
      <c r="AJ88" s="9">
        <v>0</v>
      </c>
      <c r="AK88" s="9">
        <f t="shared" si="21"/>
        <v>0</v>
      </c>
      <c r="AL88" s="9">
        <f t="shared" si="22"/>
        <v>0</v>
      </c>
      <c r="AM88" s="9">
        <f t="shared" si="23"/>
        <v>0</v>
      </c>
      <c r="AN88" s="9">
        <f t="shared" si="24"/>
        <v>0</v>
      </c>
      <c r="AO88" s="9">
        <f t="shared" si="12"/>
        <v>38606196</v>
      </c>
      <c r="AP88" s="9">
        <f t="shared" si="25"/>
        <v>38606196</v>
      </c>
      <c r="AQ88" s="9">
        <f t="shared" si="26"/>
        <v>38606196</v>
      </c>
      <c r="AR88" s="291">
        <v>26945481</v>
      </c>
      <c r="AS88" s="9">
        <f t="shared" si="27"/>
        <v>11660715</v>
      </c>
      <c r="AT88" s="297" t="str">
        <f t="shared" si="28"/>
        <v>Yes</v>
      </c>
      <c r="AU88" s="357">
        <v>29931677</v>
      </c>
      <c r="AV88" s="291">
        <f t="shared" si="13"/>
        <v>1243032.219</v>
      </c>
      <c r="AW88" s="291">
        <f t="shared" si="29"/>
        <v>31174709.219000001</v>
      </c>
      <c r="AX88" s="291">
        <f t="shared" si="14"/>
        <v>31174709.219000001</v>
      </c>
      <c r="AY88" s="358">
        <f t="shared" si="30"/>
        <v>1243032.2190000005</v>
      </c>
      <c r="AZ88" s="301"/>
      <c r="BA88" s="301"/>
      <c r="BB88" s="302"/>
      <c r="BC88" s="291"/>
      <c r="BD88" s="298"/>
      <c r="BF88" s="298"/>
      <c r="BG88" s="298"/>
      <c r="BK88" s="298"/>
      <c r="BL88" s="298"/>
      <c r="BM88" s="298"/>
      <c r="BN88" s="298"/>
      <c r="BO88" s="298"/>
    </row>
    <row r="89" spans="1:67" ht="15" x14ac:dyDescent="0.2">
      <c r="A89" s="10" t="s">
        <v>8</v>
      </c>
      <c r="B89" s="10"/>
      <c r="C89" s="276"/>
      <c r="D89" s="276"/>
      <c r="E89" s="276"/>
      <c r="F89" s="8">
        <v>7</v>
      </c>
      <c r="G89" s="355">
        <v>65</v>
      </c>
      <c r="H89" s="10">
        <v>63</v>
      </c>
      <c r="I89" s="7" t="s">
        <v>75</v>
      </c>
      <c r="J89" s="287"/>
      <c r="K89" s="356">
        <v>127</v>
      </c>
      <c r="L89" s="355"/>
      <c r="M89" s="289"/>
      <c r="N89" s="357">
        <v>46</v>
      </c>
      <c r="O89" s="290">
        <f t="shared" si="3"/>
        <v>0.36220472440944884</v>
      </c>
      <c r="P89" s="290">
        <f t="shared" si="15"/>
        <v>0</v>
      </c>
      <c r="Q89" s="291">
        <f t="shared" si="4"/>
        <v>0</v>
      </c>
      <c r="R89" s="291">
        <f t="shared" si="16"/>
        <v>0</v>
      </c>
      <c r="S89" s="357">
        <v>0</v>
      </c>
      <c r="T89" s="292">
        <f t="shared" si="5"/>
        <v>13.8</v>
      </c>
      <c r="U89" s="254">
        <f t="shared" si="17"/>
        <v>140.80000000000001</v>
      </c>
      <c r="V89" s="356">
        <v>217460618.66999999</v>
      </c>
      <c r="W89" s="357">
        <v>1861</v>
      </c>
      <c r="X89" s="264">
        <f t="shared" si="6"/>
        <v>116851.49</v>
      </c>
      <c r="Y89" s="293">
        <f t="shared" si="7"/>
        <v>0.60693600000000003</v>
      </c>
      <c r="Z89" s="357">
        <v>75288</v>
      </c>
      <c r="AA89" s="293">
        <f t="shared" si="8"/>
        <v>0.62482599999999999</v>
      </c>
      <c r="AB89" s="293">
        <f t="shared" si="9"/>
        <v>0.38769700000000001</v>
      </c>
      <c r="AC89" s="294">
        <f t="shared" si="10"/>
        <v>0.38769700000000001</v>
      </c>
      <c r="AD89" s="295">
        <f t="shared" si="18"/>
        <v>0</v>
      </c>
      <c r="AE89" s="296">
        <f t="shared" si="19"/>
        <v>0.38769700000000001</v>
      </c>
      <c r="AF89" s="357">
        <v>61</v>
      </c>
      <c r="AG89" s="357">
        <v>6</v>
      </c>
      <c r="AH89" s="254">
        <f t="shared" si="20"/>
        <v>600</v>
      </c>
      <c r="AI89" s="9">
        <f t="shared" si="11"/>
        <v>36600</v>
      </c>
      <c r="AJ89" s="9">
        <v>0</v>
      </c>
      <c r="AK89" s="9">
        <f t="shared" si="21"/>
        <v>0</v>
      </c>
      <c r="AL89" s="9">
        <f t="shared" si="22"/>
        <v>0</v>
      </c>
      <c r="AM89" s="9">
        <f t="shared" si="23"/>
        <v>0</v>
      </c>
      <c r="AN89" s="9">
        <f t="shared" si="24"/>
        <v>36600</v>
      </c>
      <c r="AO89" s="9">
        <f t="shared" si="12"/>
        <v>629124</v>
      </c>
      <c r="AP89" s="9">
        <f t="shared" si="25"/>
        <v>665724</v>
      </c>
      <c r="AQ89" s="9">
        <f t="shared" si="26"/>
        <v>665724</v>
      </c>
      <c r="AR89" s="291">
        <v>1312383</v>
      </c>
      <c r="AS89" s="9">
        <f t="shared" si="27"/>
        <v>646659</v>
      </c>
      <c r="AT89" s="297" t="str">
        <f t="shared" si="28"/>
        <v>No</v>
      </c>
      <c r="AU89" s="357">
        <v>1058408</v>
      </c>
      <c r="AV89" s="291">
        <f t="shared" si="13"/>
        <v>53866.6947</v>
      </c>
      <c r="AW89" s="291">
        <f t="shared" si="29"/>
        <v>1058408</v>
      </c>
      <c r="AX89" s="291">
        <f t="shared" si="14"/>
        <v>1058408</v>
      </c>
      <c r="AY89" s="358">
        <f t="shared" si="30"/>
        <v>0</v>
      </c>
      <c r="AZ89" s="301"/>
      <c r="BA89" s="301"/>
      <c r="BB89" s="302"/>
      <c r="BC89" s="291"/>
      <c r="BD89" s="298"/>
      <c r="BF89" s="298"/>
      <c r="BG89" s="298"/>
      <c r="BK89" s="298"/>
      <c r="BL89" s="298"/>
      <c r="BM89" s="298"/>
      <c r="BN89" s="298"/>
      <c r="BO89" s="298"/>
    </row>
    <row r="90" spans="1:67" ht="15" x14ac:dyDescent="0.2">
      <c r="A90" s="10" t="s">
        <v>24</v>
      </c>
      <c r="B90" s="10">
        <v>1</v>
      </c>
      <c r="C90" s="276">
        <v>1</v>
      </c>
      <c r="D90" s="276">
        <v>0</v>
      </c>
      <c r="E90" s="276">
        <v>1</v>
      </c>
      <c r="F90" s="8">
        <v>10</v>
      </c>
      <c r="G90" s="359">
        <v>1</v>
      </c>
      <c r="H90" s="10">
        <v>64</v>
      </c>
      <c r="I90" s="7" t="s">
        <v>76</v>
      </c>
      <c r="J90" s="287"/>
      <c r="K90" s="356">
        <v>19083.37</v>
      </c>
      <c r="L90" s="359"/>
      <c r="M90" s="289"/>
      <c r="N90" s="357">
        <v>17335</v>
      </c>
      <c r="O90" s="290">
        <f t="shared" si="3"/>
        <v>0.90838253411216163</v>
      </c>
      <c r="P90" s="290">
        <f t="shared" si="15"/>
        <v>0.30838253411216165</v>
      </c>
      <c r="Q90" s="291">
        <f t="shared" si="4"/>
        <v>5884.9780000000019</v>
      </c>
      <c r="R90" s="291">
        <f t="shared" si="16"/>
        <v>882.74670000000026</v>
      </c>
      <c r="S90" s="357">
        <v>4263</v>
      </c>
      <c r="T90" s="292">
        <f t="shared" si="5"/>
        <v>5200.5</v>
      </c>
      <c r="U90" s="254">
        <f t="shared" si="17"/>
        <v>26232.366699999999</v>
      </c>
      <c r="V90" s="356">
        <v>6954044431.3299999</v>
      </c>
      <c r="W90" s="357">
        <v>123628</v>
      </c>
      <c r="X90" s="264">
        <f t="shared" si="6"/>
        <v>56249.75</v>
      </c>
      <c r="Y90" s="293">
        <f t="shared" si="7"/>
        <v>0.29216599999999998</v>
      </c>
      <c r="Z90" s="357">
        <v>34338</v>
      </c>
      <c r="AA90" s="293">
        <f t="shared" si="8"/>
        <v>0.28497600000000001</v>
      </c>
      <c r="AB90" s="293">
        <f t="shared" si="9"/>
        <v>0.70999100000000004</v>
      </c>
      <c r="AC90" s="294">
        <f t="shared" si="10"/>
        <v>0.70999100000000004</v>
      </c>
      <c r="AD90" s="295">
        <f t="shared" si="18"/>
        <v>0.06</v>
      </c>
      <c r="AE90" s="296">
        <f t="shared" si="19"/>
        <v>0.76999100000000009</v>
      </c>
      <c r="AF90" s="357">
        <v>0</v>
      </c>
      <c r="AG90" s="357">
        <v>0</v>
      </c>
      <c r="AH90" s="254">
        <f t="shared" si="20"/>
        <v>0</v>
      </c>
      <c r="AI90" s="9">
        <f t="shared" si="11"/>
        <v>0</v>
      </c>
      <c r="AJ90" s="9">
        <v>0</v>
      </c>
      <c r="AK90" s="9">
        <f t="shared" si="21"/>
        <v>0</v>
      </c>
      <c r="AL90" s="9">
        <f t="shared" si="22"/>
        <v>0</v>
      </c>
      <c r="AM90" s="9">
        <f t="shared" si="23"/>
        <v>0</v>
      </c>
      <c r="AN90" s="9">
        <f t="shared" si="24"/>
        <v>0</v>
      </c>
      <c r="AO90" s="9">
        <f t="shared" si="12"/>
        <v>232789859</v>
      </c>
      <c r="AP90" s="9">
        <f t="shared" si="25"/>
        <v>232789859</v>
      </c>
      <c r="AQ90" s="9">
        <f t="shared" si="26"/>
        <v>232789859</v>
      </c>
      <c r="AR90" s="291">
        <v>200518244</v>
      </c>
      <c r="AS90" s="9">
        <f t="shared" si="27"/>
        <v>32271615</v>
      </c>
      <c r="AT90" s="297" t="str">
        <f t="shared" si="28"/>
        <v>Yes</v>
      </c>
      <c r="AU90" s="357">
        <v>209104777</v>
      </c>
      <c r="AV90" s="291">
        <f t="shared" si="13"/>
        <v>3440154.159</v>
      </c>
      <c r="AW90" s="291">
        <f t="shared" si="29"/>
        <v>212544931.15900001</v>
      </c>
      <c r="AX90" s="291">
        <f t="shared" si="14"/>
        <v>212544931.15900001</v>
      </c>
      <c r="AY90" s="358">
        <f t="shared" si="30"/>
        <v>3440154.1590000093</v>
      </c>
      <c r="AZ90" s="301"/>
      <c r="BA90" s="301"/>
      <c r="BB90" s="302"/>
      <c r="BC90" s="291"/>
      <c r="BD90" s="298"/>
      <c r="BF90" s="298"/>
      <c r="BG90" s="298"/>
      <c r="BK90" s="298"/>
      <c r="BL90" s="298"/>
      <c r="BM90" s="298"/>
      <c r="BN90" s="298"/>
      <c r="BO90" s="298"/>
    </row>
    <row r="91" spans="1:67" ht="15" x14ac:dyDescent="0.2">
      <c r="A91" s="10" t="s">
        <v>8</v>
      </c>
      <c r="B91" s="10"/>
      <c r="C91" s="276"/>
      <c r="D91" s="276"/>
      <c r="E91" s="276"/>
      <c r="F91" s="8">
        <v>6</v>
      </c>
      <c r="G91" s="355">
        <v>124</v>
      </c>
      <c r="H91" s="10">
        <v>65</v>
      </c>
      <c r="I91" s="7" t="s">
        <v>77</v>
      </c>
      <c r="J91" s="287"/>
      <c r="K91" s="356">
        <v>229.67</v>
      </c>
      <c r="L91" s="355"/>
      <c r="M91" s="289"/>
      <c r="N91" s="357">
        <v>46</v>
      </c>
      <c r="O91" s="290">
        <f t="shared" ref="O91:O154" si="31">N91/K91</f>
        <v>0.20028736883354378</v>
      </c>
      <c r="P91" s="290">
        <f t="shared" si="15"/>
        <v>0</v>
      </c>
      <c r="Q91" s="291">
        <f t="shared" ref="Q91:Q154" si="32">P91*K91</f>
        <v>0</v>
      </c>
      <c r="R91" s="291">
        <f t="shared" si="16"/>
        <v>0</v>
      </c>
      <c r="S91" s="357">
        <v>2</v>
      </c>
      <c r="T91" s="292">
        <f t="shared" ref="T91:T154" si="33">ROUND(N91*$T$2,2)</f>
        <v>13.8</v>
      </c>
      <c r="U91" s="254">
        <f t="shared" si="17"/>
        <v>243.97</v>
      </c>
      <c r="V91" s="356">
        <v>297876092.67000002</v>
      </c>
      <c r="W91" s="357">
        <v>2041</v>
      </c>
      <c r="X91" s="264">
        <f t="shared" ref="X91:X154" si="34">ROUND(V91/W91,2)</f>
        <v>145946.15</v>
      </c>
      <c r="Y91" s="293">
        <f t="shared" ref="Y91:Y154" si="35">(ROUND(X91/$Y$21,6))</f>
        <v>0.75805599999999995</v>
      </c>
      <c r="Z91" s="357">
        <v>95259</v>
      </c>
      <c r="AA91" s="293">
        <f t="shared" ref="AA91:AA154" si="36">(ROUND(Z91/$AA$21,6))</f>
        <v>0.79056899999999997</v>
      </c>
      <c r="AB91" s="293">
        <f t="shared" ref="AB91:AB154" si="37">ROUND(1-((Y91*$T$4)+(AA91*$T$5)),6)</f>
        <v>0.23219000000000001</v>
      </c>
      <c r="AC91" s="294">
        <f t="shared" ref="AC91:AC154" si="38">IF(C91=1,MAX($T$7,AB91),MAX($T$6,AB91))</f>
        <v>0.23219000000000001</v>
      </c>
      <c r="AD91" s="295">
        <f t="shared" si="18"/>
        <v>0</v>
      </c>
      <c r="AE91" s="296">
        <f t="shared" si="19"/>
        <v>0.23219000000000001</v>
      </c>
      <c r="AF91" s="357">
        <v>0</v>
      </c>
      <c r="AG91" s="357">
        <v>0</v>
      </c>
      <c r="AH91" s="254">
        <f t="shared" si="20"/>
        <v>0</v>
      </c>
      <c r="AI91" s="9">
        <f t="shared" ref="AI91:AI154" si="39">ROUND(AF91*AH91,0)</f>
        <v>0</v>
      </c>
      <c r="AJ91" s="9">
        <v>1</v>
      </c>
      <c r="AK91" s="9">
        <f t="shared" si="21"/>
        <v>4</v>
      </c>
      <c r="AL91" s="9">
        <f t="shared" si="22"/>
        <v>400</v>
      </c>
      <c r="AM91" s="9">
        <f t="shared" si="23"/>
        <v>400</v>
      </c>
      <c r="AN91" s="9">
        <f t="shared" si="24"/>
        <v>400</v>
      </c>
      <c r="AO91" s="9">
        <f t="shared" ref="AO91:AO154" si="40">ROUND(U91*AE91*$AO$21,0)</f>
        <v>652861</v>
      </c>
      <c r="AP91" s="9">
        <f t="shared" si="25"/>
        <v>653261</v>
      </c>
      <c r="AQ91" s="9">
        <f t="shared" si="26"/>
        <v>653261</v>
      </c>
      <c r="AR91" s="291">
        <v>1327652</v>
      </c>
      <c r="AS91" s="9">
        <f t="shared" si="27"/>
        <v>674391</v>
      </c>
      <c r="AT91" s="297" t="str">
        <f t="shared" si="28"/>
        <v>No</v>
      </c>
      <c r="AU91" s="357">
        <v>1071722</v>
      </c>
      <c r="AV91" s="291">
        <f t="shared" ref="AV91:AV154" si="41">IF(AT91="Yes",+AS91*$L$9,+AS91*$L$10)</f>
        <v>56176.770299999996</v>
      </c>
      <c r="AW91" s="291">
        <f t="shared" si="29"/>
        <v>1071722</v>
      </c>
      <c r="AX91" s="291">
        <f t="shared" ref="AX91:AX154" si="42">IF(C91=1,MAX(AW91,AR91),AW91)</f>
        <v>1071722</v>
      </c>
      <c r="AY91" s="358">
        <f t="shared" si="30"/>
        <v>0</v>
      </c>
      <c r="AZ91" s="301"/>
      <c r="BA91" s="301"/>
      <c r="BB91" s="302"/>
      <c r="BC91" s="291"/>
      <c r="BD91" s="298"/>
      <c r="BF91" s="298"/>
      <c r="BG91" s="298"/>
      <c r="BK91" s="298"/>
      <c r="BL91" s="298"/>
      <c r="BM91" s="298"/>
      <c r="BN91" s="298"/>
      <c r="BO91" s="298"/>
    </row>
    <row r="92" spans="1:67" ht="15" x14ac:dyDescent="0.2">
      <c r="A92" s="10" t="s">
        <v>4</v>
      </c>
      <c r="B92" s="10"/>
      <c r="C92" s="276"/>
      <c r="D92" s="276"/>
      <c r="E92" s="276"/>
      <c r="F92" s="8">
        <v>5</v>
      </c>
      <c r="G92" s="355">
        <v>116</v>
      </c>
      <c r="H92" s="10">
        <v>66</v>
      </c>
      <c r="I92" s="7" t="s">
        <v>78</v>
      </c>
      <c r="J92" s="287"/>
      <c r="K92" s="356">
        <v>763.32</v>
      </c>
      <c r="L92" s="355"/>
      <c r="M92" s="289"/>
      <c r="N92" s="357">
        <v>130</v>
      </c>
      <c r="O92" s="290">
        <f t="shared" si="31"/>
        <v>0.17030865167950532</v>
      </c>
      <c r="P92" s="290">
        <f t="shared" ref="P92:P155" si="43">IF(O92&gt;0.6,+O92-0.6,0)</f>
        <v>0</v>
      </c>
      <c r="Q92" s="291">
        <f t="shared" si="32"/>
        <v>0</v>
      </c>
      <c r="R92" s="291">
        <f t="shared" ref="R92:R155" si="44">Q92*0.15</f>
        <v>0</v>
      </c>
      <c r="S92" s="357">
        <v>2</v>
      </c>
      <c r="T92" s="292">
        <f t="shared" si="33"/>
        <v>39</v>
      </c>
      <c r="U92" s="254">
        <f t="shared" ref="U92:U155" si="45">K92+T92+0.25*S92+0.15*Q92</f>
        <v>802.82</v>
      </c>
      <c r="V92" s="356">
        <v>824633269</v>
      </c>
      <c r="W92" s="357">
        <v>5469</v>
      </c>
      <c r="X92" s="264">
        <f t="shared" si="34"/>
        <v>150783.19</v>
      </c>
      <c r="Y92" s="293">
        <f t="shared" si="35"/>
        <v>0.78317999999999999</v>
      </c>
      <c r="Z92" s="357">
        <v>108355</v>
      </c>
      <c r="AA92" s="293">
        <f t="shared" si="36"/>
        <v>0.89925500000000003</v>
      </c>
      <c r="AB92" s="293">
        <f t="shared" si="37"/>
        <v>0.18199799999999999</v>
      </c>
      <c r="AC92" s="294">
        <f t="shared" si="38"/>
        <v>0.18199799999999999</v>
      </c>
      <c r="AD92" s="295">
        <f t="shared" ref="AD92:AD155" si="46">IF(G92&gt;=1,IF(G92&lt;=5,0.06,IF(G92&lt;=10,0.05,IF(G92&lt;=15,0.04,IF(G92&lt;=19,0.03,0)))),0)</f>
        <v>0</v>
      </c>
      <c r="AE92" s="296">
        <f t="shared" ref="AE92:AE155" si="47">+AD92+AC92</f>
        <v>0.18199799999999999</v>
      </c>
      <c r="AF92" s="357">
        <v>763</v>
      </c>
      <c r="AG92" s="357">
        <v>13</v>
      </c>
      <c r="AH92" s="254">
        <f t="shared" ref="AH92:AH155" si="48">ROUND(AG92*100,2)</f>
        <v>1300</v>
      </c>
      <c r="AI92" s="9">
        <f t="shared" si="39"/>
        <v>991900</v>
      </c>
      <c r="AJ92" s="9">
        <v>0</v>
      </c>
      <c r="AK92" s="9">
        <f t="shared" ref="AK92:AK155" si="49">IF(AJ92&gt;0,4,0)</f>
        <v>0</v>
      </c>
      <c r="AL92" s="9">
        <f t="shared" ref="AL92:AL155" si="50">ROUND(AK92*100,2)</f>
        <v>0</v>
      </c>
      <c r="AM92" s="9">
        <f t="shared" ref="AM92:AM155" si="51">ROUND(AJ92*AL92,0)</f>
        <v>0</v>
      </c>
      <c r="AN92" s="9">
        <f t="shared" ref="AN92:AN155" si="52">AI92+AM92</f>
        <v>991900</v>
      </c>
      <c r="AO92" s="9">
        <f t="shared" si="40"/>
        <v>1683937</v>
      </c>
      <c r="AP92" s="9">
        <f t="shared" ref="AP92:AP155" si="53">IF(AO92=0, 0,AN92+AO92)</f>
        <v>2675837</v>
      </c>
      <c r="AQ92" s="9">
        <f t="shared" ref="AQ92:AQ155" si="54">IF(AND(C92=1,AP92&lt;AR92),AR92,AP92)</f>
        <v>2675837</v>
      </c>
      <c r="AR92" s="291">
        <v>2708774</v>
      </c>
      <c r="AS92" s="9">
        <f t="shared" ref="AS92:AS155" si="55">ABS(SUM(AR92,-AP92))</f>
        <v>32937</v>
      </c>
      <c r="AT92" s="297" t="str">
        <f t="shared" ref="AT92:AT155" si="56">IF(AP92&gt;AR92,"Yes","No")</f>
        <v>No</v>
      </c>
      <c r="AU92" s="357">
        <v>2430050</v>
      </c>
      <c r="AV92" s="291">
        <f t="shared" si="41"/>
        <v>2743.6520999999998</v>
      </c>
      <c r="AW92" s="291">
        <f t="shared" ref="AW92:AW155" si="57">IF(AT92="Yes",+AU92+AV92,+AU92)</f>
        <v>2430050</v>
      </c>
      <c r="AX92" s="291">
        <f t="shared" si="42"/>
        <v>2430050</v>
      </c>
      <c r="AY92" s="358">
        <f t="shared" ref="AY92:AY155" si="58">AX92-AU92</f>
        <v>0</v>
      </c>
      <c r="AZ92" s="301"/>
      <c r="BA92" s="301"/>
      <c r="BB92" s="302"/>
      <c r="BC92" s="291"/>
      <c r="BD92" s="298"/>
      <c r="BF92" s="298"/>
      <c r="BG92" s="298"/>
      <c r="BK92" s="298"/>
      <c r="BL92" s="298"/>
      <c r="BM92" s="298"/>
      <c r="BN92" s="298"/>
      <c r="BO92" s="298"/>
    </row>
    <row r="93" spans="1:67" ht="15" x14ac:dyDescent="0.2">
      <c r="A93" s="10" t="s">
        <v>4</v>
      </c>
      <c r="B93" s="10"/>
      <c r="C93" s="276"/>
      <c r="D93" s="276"/>
      <c r="E93" s="276"/>
      <c r="F93" s="8">
        <v>4</v>
      </c>
      <c r="G93" s="355">
        <v>94</v>
      </c>
      <c r="H93" s="10">
        <v>67</v>
      </c>
      <c r="I93" s="7" t="s">
        <v>79</v>
      </c>
      <c r="J93" s="287"/>
      <c r="K93" s="356">
        <v>1246.25</v>
      </c>
      <c r="L93" s="355"/>
      <c r="M93" s="289"/>
      <c r="N93" s="357">
        <v>190</v>
      </c>
      <c r="O93" s="290">
        <f t="shared" si="31"/>
        <v>0.15245737211634905</v>
      </c>
      <c r="P93" s="290">
        <f t="shared" si="43"/>
        <v>0</v>
      </c>
      <c r="Q93" s="291">
        <f t="shared" si="32"/>
        <v>0</v>
      </c>
      <c r="R93" s="291">
        <f t="shared" si="44"/>
        <v>0</v>
      </c>
      <c r="S93" s="357">
        <v>5</v>
      </c>
      <c r="T93" s="292">
        <f t="shared" si="33"/>
        <v>57</v>
      </c>
      <c r="U93" s="254">
        <f t="shared" si="45"/>
        <v>1304.5</v>
      </c>
      <c r="V93" s="356">
        <v>1140486974.6700001</v>
      </c>
      <c r="W93" s="357">
        <v>9522</v>
      </c>
      <c r="X93" s="264">
        <f t="shared" si="34"/>
        <v>119773.89</v>
      </c>
      <c r="Y93" s="293">
        <f t="shared" si="35"/>
        <v>0.62211499999999997</v>
      </c>
      <c r="Z93" s="357">
        <v>110938</v>
      </c>
      <c r="AA93" s="293">
        <f t="shared" si="36"/>
        <v>0.92069100000000004</v>
      </c>
      <c r="AB93" s="293">
        <f t="shared" si="37"/>
        <v>0.28831200000000001</v>
      </c>
      <c r="AC93" s="294">
        <f t="shared" si="38"/>
        <v>0.28831200000000001</v>
      </c>
      <c r="AD93" s="295">
        <f t="shared" si="46"/>
        <v>0</v>
      </c>
      <c r="AE93" s="296">
        <f t="shared" si="47"/>
        <v>0.28831200000000001</v>
      </c>
      <c r="AF93" s="357">
        <v>640</v>
      </c>
      <c r="AG93" s="357">
        <v>6</v>
      </c>
      <c r="AH93" s="254">
        <f t="shared" si="48"/>
        <v>600</v>
      </c>
      <c r="AI93" s="9">
        <f t="shared" si="39"/>
        <v>384000</v>
      </c>
      <c r="AJ93" s="9">
        <v>0</v>
      </c>
      <c r="AK93" s="9">
        <f t="shared" si="49"/>
        <v>0</v>
      </c>
      <c r="AL93" s="9">
        <f t="shared" si="50"/>
        <v>0</v>
      </c>
      <c r="AM93" s="9">
        <f t="shared" si="51"/>
        <v>0</v>
      </c>
      <c r="AN93" s="9">
        <f t="shared" si="52"/>
        <v>384000</v>
      </c>
      <c r="AO93" s="9">
        <f t="shared" si="40"/>
        <v>4334587</v>
      </c>
      <c r="AP93" s="9">
        <f t="shared" si="53"/>
        <v>4718587</v>
      </c>
      <c r="AQ93" s="9">
        <f t="shared" si="54"/>
        <v>4718587</v>
      </c>
      <c r="AR93" s="291">
        <v>6875123</v>
      </c>
      <c r="AS93" s="9">
        <f t="shared" si="55"/>
        <v>2156536</v>
      </c>
      <c r="AT93" s="297" t="str">
        <f t="shared" si="56"/>
        <v>No</v>
      </c>
      <c r="AU93" s="357">
        <v>5997693</v>
      </c>
      <c r="AV93" s="291">
        <f t="shared" si="41"/>
        <v>179639.44879999998</v>
      </c>
      <c r="AW93" s="291">
        <f t="shared" si="57"/>
        <v>5997693</v>
      </c>
      <c r="AX93" s="291">
        <f t="shared" si="42"/>
        <v>5997693</v>
      </c>
      <c r="AY93" s="358">
        <f t="shared" si="58"/>
        <v>0</v>
      </c>
      <c r="AZ93" s="301"/>
      <c r="BA93" s="301"/>
      <c r="BB93" s="302"/>
      <c r="BC93" s="291"/>
      <c r="BD93" s="298"/>
      <c r="BF93" s="298"/>
      <c r="BG93" s="298"/>
      <c r="BK93" s="298"/>
      <c r="BL93" s="298"/>
      <c r="BM93" s="298"/>
      <c r="BN93" s="298"/>
      <c r="BO93" s="298"/>
    </row>
    <row r="94" spans="1:67" ht="15" x14ac:dyDescent="0.2">
      <c r="A94" s="10" t="s">
        <v>8</v>
      </c>
      <c r="B94" s="10"/>
      <c r="C94" s="276"/>
      <c r="D94" s="276"/>
      <c r="E94" s="276"/>
      <c r="F94" s="8">
        <v>2</v>
      </c>
      <c r="G94" s="355">
        <v>143</v>
      </c>
      <c r="H94" s="10">
        <v>68</v>
      </c>
      <c r="I94" s="7" t="s">
        <v>80</v>
      </c>
      <c r="J94" s="287"/>
      <c r="K94" s="356">
        <v>235.69</v>
      </c>
      <c r="L94" s="355"/>
      <c r="M94" s="289"/>
      <c r="N94" s="357">
        <v>63</v>
      </c>
      <c r="O94" s="290">
        <f t="shared" si="31"/>
        <v>0.26730026730026729</v>
      </c>
      <c r="P94" s="290">
        <f t="shared" si="43"/>
        <v>0</v>
      </c>
      <c r="Q94" s="291">
        <f t="shared" si="32"/>
        <v>0</v>
      </c>
      <c r="R94" s="291">
        <f t="shared" si="44"/>
        <v>0</v>
      </c>
      <c r="S94" s="357">
        <v>2</v>
      </c>
      <c r="T94" s="292">
        <f t="shared" si="33"/>
        <v>18.899999999999999</v>
      </c>
      <c r="U94" s="254">
        <f t="shared" si="45"/>
        <v>255.09</v>
      </c>
      <c r="V94" s="356">
        <v>872480191</v>
      </c>
      <c r="W94" s="357">
        <v>2824</v>
      </c>
      <c r="X94" s="264">
        <f t="shared" si="34"/>
        <v>308951.90999999997</v>
      </c>
      <c r="Y94" s="293">
        <f t="shared" si="35"/>
        <v>1.604722</v>
      </c>
      <c r="Z94" s="357">
        <v>65985</v>
      </c>
      <c r="AA94" s="293">
        <f t="shared" si="36"/>
        <v>0.54761899999999997</v>
      </c>
      <c r="AB94" s="293">
        <f t="shared" si="37"/>
        <v>-0.28759099999999999</v>
      </c>
      <c r="AC94" s="294">
        <f t="shared" si="38"/>
        <v>0.01</v>
      </c>
      <c r="AD94" s="295">
        <f t="shared" si="46"/>
        <v>0</v>
      </c>
      <c r="AE94" s="296">
        <f t="shared" si="47"/>
        <v>0.01</v>
      </c>
      <c r="AF94" s="357">
        <v>44</v>
      </c>
      <c r="AG94" s="357">
        <v>4</v>
      </c>
      <c r="AH94" s="254">
        <f t="shared" si="48"/>
        <v>400</v>
      </c>
      <c r="AI94" s="9">
        <f t="shared" si="39"/>
        <v>17600</v>
      </c>
      <c r="AJ94" s="9">
        <v>0</v>
      </c>
      <c r="AK94" s="9">
        <f t="shared" si="49"/>
        <v>0</v>
      </c>
      <c r="AL94" s="9">
        <f t="shared" si="50"/>
        <v>0</v>
      </c>
      <c r="AM94" s="9">
        <f t="shared" si="51"/>
        <v>0</v>
      </c>
      <c r="AN94" s="9">
        <f t="shared" si="52"/>
        <v>17600</v>
      </c>
      <c r="AO94" s="9">
        <f t="shared" si="40"/>
        <v>29399</v>
      </c>
      <c r="AP94" s="9">
        <f t="shared" si="53"/>
        <v>46999</v>
      </c>
      <c r="AQ94" s="9">
        <f t="shared" si="54"/>
        <v>46999</v>
      </c>
      <c r="AR94" s="291">
        <v>25634</v>
      </c>
      <c r="AS94" s="9">
        <f t="shared" si="55"/>
        <v>21365</v>
      </c>
      <c r="AT94" s="297" t="str">
        <f t="shared" si="56"/>
        <v>Yes</v>
      </c>
      <c r="AU94" s="357">
        <v>27594</v>
      </c>
      <c r="AV94" s="291">
        <f t="shared" si="41"/>
        <v>2277.509</v>
      </c>
      <c r="AW94" s="291">
        <f t="shared" si="57"/>
        <v>29871.508999999998</v>
      </c>
      <c r="AX94" s="291">
        <f t="shared" si="42"/>
        <v>29871.508999999998</v>
      </c>
      <c r="AY94" s="358">
        <f t="shared" si="58"/>
        <v>2277.5089999999982</v>
      </c>
      <c r="AZ94" s="301"/>
      <c r="BA94" s="301"/>
      <c r="BB94" s="302"/>
      <c r="BC94" s="291"/>
      <c r="BD94" s="298"/>
      <c r="BF94" s="298"/>
      <c r="BG94" s="298"/>
      <c r="BK94" s="298"/>
      <c r="BL94" s="298"/>
      <c r="BM94" s="298"/>
      <c r="BN94" s="298"/>
      <c r="BO94" s="298"/>
    </row>
    <row r="95" spans="1:67" ht="15" x14ac:dyDescent="0.2">
      <c r="A95" s="10" t="s">
        <v>19</v>
      </c>
      <c r="B95" s="10"/>
      <c r="C95" s="276">
        <v>1</v>
      </c>
      <c r="D95" s="276">
        <v>1</v>
      </c>
      <c r="E95" s="276"/>
      <c r="F95" s="8">
        <v>10</v>
      </c>
      <c r="G95" s="359">
        <v>29</v>
      </c>
      <c r="H95" s="10">
        <v>69</v>
      </c>
      <c r="I95" s="7" t="s">
        <v>81</v>
      </c>
      <c r="J95" s="287"/>
      <c r="K95" s="356">
        <v>2115.8200000000002</v>
      </c>
      <c r="L95" s="359"/>
      <c r="M95" s="289"/>
      <c r="N95" s="357">
        <v>1026</v>
      </c>
      <c r="O95" s="290">
        <f t="shared" si="31"/>
        <v>0.4849183767995387</v>
      </c>
      <c r="P95" s="290">
        <f t="shared" si="43"/>
        <v>0</v>
      </c>
      <c r="Q95" s="291">
        <f t="shared" si="32"/>
        <v>0</v>
      </c>
      <c r="R95" s="291">
        <f t="shared" si="44"/>
        <v>0</v>
      </c>
      <c r="S95" s="357">
        <v>64</v>
      </c>
      <c r="T95" s="292">
        <f t="shared" si="33"/>
        <v>307.8</v>
      </c>
      <c r="U95" s="254">
        <f t="shared" si="45"/>
        <v>2439.6200000000003</v>
      </c>
      <c r="V95" s="356">
        <v>1976101967.6700001</v>
      </c>
      <c r="W95" s="357">
        <v>17170</v>
      </c>
      <c r="X95" s="264">
        <f t="shared" si="34"/>
        <v>115090.39</v>
      </c>
      <c r="Y95" s="293">
        <f t="shared" si="35"/>
        <v>0.59778900000000001</v>
      </c>
      <c r="Z95" s="357">
        <v>61709</v>
      </c>
      <c r="AA95" s="293">
        <f t="shared" si="36"/>
        <v>0.51213200000000003</v>
      </c>
      <c r="AB95" s="293">
        <f t="shared" si="37"/>
        <v>0.42790800000000001</v>
      </c>
      <c r="AC95" s="294">
        <f t="shared" si="38"/>
        <v>0.42790800000000001</v>
      </c>
      <c r="AD95" s="295">
        <f t="shared" si="46"/>
        <v>0</v>
      </c>
      <c r="AE95" s="296">
        <f t="shared" si="47"/>
        <v>0.42790800000000001</v>
      </c>
      <c r="AF95" s="357">
        <v>0</v>
      </c>
      <c r="AG95" s="357">
        <v>0</v>
      </c>
      <c r="AH95" s="254">
        <f t="shared" si="48"/>
        <v>0</v>
      </c>
      <c r="AI95" s="9">
        <f t="shared" si="39"/>
        <v>0</v>
      </c>
      <c r="AJ95" s="9">
        <v>0</v>
      </c>
      <c r="AK95" s="9">
        <f t="shared" si="49"/>
        <v>0</v>
      </c>
      <c r="AL95" s="9">
        <f t="shared" si="50"/>
        <v>0</v>
      </c>
      <c r="AM95" s="9">
        <f t="shared" si="51"/>
        <v>0</v>
      </c>
      <c r="AN95" s="9">
        <f t="shared" si="52"/>
        <v>0</v>
      </c>
      <c r="AO95" s="9">
        <f t="shared" si="40"/>
        <v>12031327</v>
      </c>
      <c r="AP95" s="9">
        <f t="shared" si="53"/>
        <v>12031327</v>
      </c>
      <c r="AQ95" s="9">
        <f t="shared" si="54"/>
        <v>15574402</v>
      </c>
      <c r="AR95" s="291">
        <v>15574402</v>
      </c>
      <c r="AS95" s="9">
        <f t="shared" si="55"/>
        <v>3543075</v>
      </c>
      <c r="AT95" s="297" t="str">
        <f t="shared" si="56"/>
        <v>No</v>
      </c>
      <c r="AU95" s="357">
        <v>15574402</v>
      </c>
      <c r="AV95" s="291">
        <f t="shared" si="41"/>
        <v>295138.14750000002</v>
      </c>
      <c r="AW95" s="291">
        <f t="shared" si="57"/>
        <v>15574402</v>
      </c>
      <c r="AX95" s="291">
        <f t="shared" si="42"/>
        <v>15574402</v>
      </c>
      <c r="AY95" s="358">
        <f t="shared" si="58"/>
        <v>0</v>
      </c>
      <c r="AZ95" s="301"/>
      <c r="BA95" s="301"/>
      <c r="BB95" s="302"/>
      <c r="BC95" s="291"/>
      <c r="BD95" s="298"/>
      <c r="BF95" s="298"/>
      <c r="BG95" s="298"/>
      <c r="BK95" s="298"/>
      <c r="BL95" s="298"/>
      <c r="BM95" s="298"/>
      <c r="BN95" s="298"/>
      <c r="BO95" s="298"/>
    </row>
    <row r="96" spans="1:67" ht="15" x14ac:dyDescent="0.2">
      <c r="A96" s="10" t="s">
        <v>4</v>
      </c>
      <c r="B96" s="10"/>
      <c r="C96" s="276"/>
      <c r="D96" s="276"/>
      <c r="E96" s="276"/>
      <c r="F96" s="8">
        <v>3</v>
      </c>
      <c r="G96" s="355">
        <v>138</v>
      </c>
      <c r="H96" s="10">
        <v>70</v>
      </c>
      <c r="I96" s="7" t="s">
        <v>82</v>
      </c>
      <c r="J96" s="287"/>
      <c r="K96" s="356">
        <v>732.67</v>
      </c>
      <c r="L96" s="355"/>
      <c r="M96" s="289"/>
      <c r="N96" s="357">
        <v>70</v>
      </c>
      <c r="O96" s="290">
        <f t="shared" si="31"/>
        <v>9.5540966601607824E-2</v>
      </c>
      <c r="P96" s="290">
        <f t="shared" si="43"/>
        <v>0</v>
      </c>
      <c r="Q96" s="291">
        <f t="shared" si="32"/>
        <v>0</v>
      </c>
      <c r="R96" s="291">
        <f t="shared" si="44"/>
        <v>0</v>
      </c>
      <c r="S96" s="357">
        <v>4</v>
      </c>
      <c r="T96" s="292">
        <f t="shared" si="33"/>
        <v>21</v>
      </c>
      <c r="U96" s="254">
        <f t="shared" si="45"/>
        <v>754.67</v>
      </c>
      <c r="V96" s="356">
        <v>1017848591.33</v>
      </c>
      <c r="W96" s="357">
        <v>6414</v>
      </c>
      <c r="X96" s="264">
        <f t="shared" si="34"/>
        <v>158691.70000000001</v>
      </c>
      <c r="Y96" s="293">
        <f t="shared" si="35"/>
        <v>0.82425800000000005</v>
      </c>
      <c r="Z96" s="357">
        <v>113068</v>
      </c>
      <c r="AA96" s="293">
        <f t="shared" si="36"/>
        <v>0.93836799999999998</v>
      </c>
      <c r="AB96" s="293">
        <f t="shared" si="37"/>
        <v>0.141509</v>
      </c>
      <c r="AC96" s="294">
        <f t="shared" si="38"/>
        <v>0.141509</v>
      </c>
      <c r="AD96" s="295">
        <f t="shared" si="46"/>
        <v>0</v>
      </c>
      <c r="AE96" s="296">
        <f t="shared" si="47"/>
        <v>0.141509</v>
      </c>
      <c r="AF96" s="357">
        <v>739</v>
      </c>
      <c r="AG96" s="357">
        <v>13</v>
      </c>
      <c r="AH96" s="254">
        <f t="shared" si="48"/>
        <v>1300</v>
      </c>
      <c r="AI96" s="9">
        <f t="shared" si="39"/>
        <v>960700</v>
      </c>
      <c r="AJ96" s="9">
        <v>0</v>
      </c>
      <c r="AK96" s="9">
        <f t="shared" si="49"/>
        <v>0</v>
      </c>
      <c r="AL96" s="9">
        <f t="shared" si="50"/>
        <v>0</v>
      </c>
      <c r="AM96" s="9">
        <f t="shared" si="51"/>
        <v>0</v>
      </c>
      <c r="AN96" s="9">
        <f t="shared" si="52"/>
        <v>960700</v>
      </c>
      <c r="AO96" s="9">
        <f t="shared" si="40"/>
        <v>1230785</v>
      </c>
      <c r="AP96" s="9">
        <f t="shared" si="53"/>
        <v>2191485</v>
      </c>
      <c r="AQ96" s="9">
        <f t="shared" si="54"/>
        <v>2191485</v>
      </c>
      <c r="AR96" s="291">
        <v>2173420</v>
      </c>
      <c r="AS96" s="9">
        <f t="shared" si="55"/>
        <v>18065</v>
      </c>
      <c r="AT96" s="297" t="str">
        <f t="shared" si="56"/>
        <v>Yes</v>
      </c>
      <c r="AU96" s="357">
        <v>1677663</v>
      </c>
      <c r="AV96" s="291">
        <f t="shared" si="41"/>
        <v>1925.729</v>
      </c>
      <c r="AW96" s="291">
        <f t="shared" si="57"/>
        <v>1679588.7290000001</v>
      </c>
      <c r="AX96" s="291">
        <f t="shared" si="42"/>
        <v>1679588.7290000001</v>
      </c>
      <c r="AY96" s="358">
        <f t="shared" si="58"/>
        <v>1925.7290000000503</v>
      </c>
      <c r="AZ96" s="301"/>
      <c r="BA96" s="301"/>
      <c r="BB96" s="302"/>
      <c r="BC96" s="291"/>
      <c r="BD96" s="298"/>
      <c r="BF96" s="298"/>
      <c r="BG96" s="298"/>
      <c r="BK96" s="298"/>
      <c r="BL96" s="298"/>
      <c r="BM96" s="298"/>
      <c r="BN96" s="298"/>
      <c r="BO96" s="298"/>
    </row>
    <row r="97" spans="1:67" ht="15" x14ac:dyDescent="0.2">
      <c r="A97" s="10" t="s">
        <v>8</v>
      </c>
      <c r="B97" s="10"/>
      <c r="C97" s="276"/>
      <c r="D97" s="276"/>
      <c r="E97" s="276"/>
      <c r="F97" s="8">
        <v>7</v>
      </c>
      <c r="G97" s="355">
        <v>57</v>
      </c>
      <c r="H97" s="10">
        <v>71</v>
      </c>
      <c r="I97" s="7" t="s">
        <v>83</v>
      </c>
      <c r="J97" s="287"/>
      <c r="K97" s="356">
        <v>894</v>
      </c>
      <c r="L97" s="355"/>
      <c r="M97" s="289"/>
      <c r="N97" s="357">
        <v>258</v>
      </c>
      <c r="O97" s="290">
        <f t="shared" si="31"/>
        <v>0.28859060402684567</v>
      </c>
      <c r="P97" s="290">
        <f t="shared" si="43"/>
        <v>0</v>
      </c>
      <c r="Q97" s="291">
        <f t="shared" si="32"/>
        <v>0</v>
      </c>
      <c r="R97" s="291">
        <f t="shared" si="44"/>
        <v>0</v>
      </c>
      <c r="S97" s="357">
        <v>9</v>
      </c>
      <c r="T97" s="292">
        <f t="shared" si="33"/>
        <v>77.400000000000006</v>
      </c>
      <c r="U97" s="254">
        <f t="shared" si="45"/>
        <v>973.65</v>
      </c>
      <c r="V97" s="356">
        <v>955595158.33000004</v>
      </c>
      <c r="W97" s="357">
        <v>7256</v>
      </c>
      <c r="X97" s="264">
        <f t="shared" si="34"/>
        <v>131697.24</v>
      </c>
      <c r="Y97" s="293">
        <f t="shared" si="35"/>
        <v>0.68404600000000004</v>
      </c>
      <c r="Z97" s="357">
        <v>95757</v>
      </c>
      <c r="AA97" s="293">
        <f t="shared" si="36"/>
        <v>0.79470200000000002</v>
      </c>
      <c r="AB97" s="293">
        <f t="shared" si="37"/>
        <v>0.28275699999999998</v>
      </c>
      <c r="AC97" s="294">
        <f t="shared" si="38"/>
        <v>0.28275699999999998</v>
      </c>
      <c r="AD97" s="295">
        <f t="shared" si="46"/>
        <v>0</v>
      </c>
      <c r="AE97" s="296">
        <f t="shared" si="47"/>
        <v>0.28275699999999998</v>
      </c>
      <c r="AF97" s="357">
        <v>0</v>
      </c>
      <c r="AG97" s="357">
        <v>0</v>
      </c>
      <c r="AH97" s="254">
        <f t="shared" si="48"/>
        <v>0</v>
      </c>
      <c r="AI97" s="9">
        <f t="shared" si="39"/>
        <v>0</v>
      </c>
      <c r="AJ97" s="9">
        <v>0</v>
      </c>
      <c r="AK97" s="9">
        <f t="shared" si="49"/>
        <v>0</v>
      </c>
      <c r="AL97" s="9">
        <f t="shared" si="50"/>
        <v>0</v>
      </c>
      <c r="AM97" s="9">
        <f t="shared" si="51"/>
        <v>0</v>
      </c>
      <c r="AN97" s="9">
        <f t="shared" si="52"/>
        <v>0</v>
      </c>
      <c r="AO97" s="9">
        <f t="shared" si="40"/>
        <v>3172906</v>
      </c>
      <c r="AP97" s="9">
        <f t="shared" si="53"/>
        <v>3172906</v>
      </c>
      <c r="AQ97" s="9">
        <f t="shared" si="54"/>
        <v>3172906</v>
      </c>
      <c r="AR97" s="291">
        <v>5410404</v>
      </c>
      <c r="AS97" s="9">
        <f t="shared" si="55"/>
        <v>2237498</v>
      </c>
      <c r="AT97" s="297" t="str">
        <f t="shared" si="56"/>
        <v>No</v>
      </c>
      <c r="AU97" s="357">
        <v>4578589</v>
      </c>
      <c r="AV97" s="291">
        <f t="shared" si="41"/>
        <v>186383.5834</v>
      </c>
      <c r="AW97" s="291">
        <f t="shared" si="57"/>
        <v>4578589</v>
      </c>
      <c r="AX97" s="291">
        <f t="shared" si="42"/>
        <v>4578589</v>
      </c>
      <c r="AY97" s="358">
        <f t="shared" si="58"/>
        <v>0</v>
      </c>
      <c r="AZ97" s="301"/>
      <c r="BA97" s="301"/>
      <c r="BB97" s="302"/>
      <c r="BC97" s="291"/>
      <c r="BD97" s="298"/>
      <c r="BF97" s="298"/>
      <c r="BG97" s="298"/>
      <c r="BK97" s="298"/>
      <c r="BL97" s="298"/>
      <c r="BM97" s="298"/>
      <c r="BN97" s="298"/>
      <c r="BO97" s="298"/>
    </row>
    <row r="98" spans="1:67" ht="15" x14ac:dyDescent="0.2">
      <c r="A98" s="10" t="s">
        <v>14</v>
      </c>
      <c r="B98" s="10"/>
      <c r="C98" s="276"/>
      <c r="D98" s="276"/>
      <c r="E98" s="276"/>
      <c r="F98" s="8">
        <v>7</v>
      </c>
      <c r="G98" s="355">
        <v>45</v>
      </c>
      <c r="H98" s="10">
        <v>72</v>
      </c>
      <c r="I98" s="7" t="s">
        <v>84</v>
      </c>
      <c r="J98" s="287"/>
      <c r="K98" s="356">
        <v>2319.91</v>
      </c>
      <c r="L98" s="355"/>
      <c r="M98" s="289"/>
      <c r="N98" s="357">
        <v>666</v>
      </c>
      <c r="O98" s="290">
        <f t="shared" si="31"/>
        <v>0.28708010224534575</v>
      </c>
      <c r="P98" s="290">
        <f t="shared" si="43"/>
        <v>0</v>
      </c>
      <c r="Q98" s="291">
        <f t="shared" si="32"/>
        <v>0</v>
      </c>
      <c r="R98" s="291">
        <f t="shared" si="44"/>
        <v>0</v>
      </c>
      <c r="S98" s="357">
        <v>35</v>
      </c>
      <c r="T98" s="292">
        <f t="shared" si="33"/>
        <v>199.8</v>
      </c>
      <c r="U98" s="254">
        <f t="shared" si="45"/>
        <v>2528.46</v>
      </c>
      <c r="V98" s="356">
        <v>1667846165.3299999</v>
      </c>
      <c r="W98" s="357">
        <v>14850</v>
      </c>
      <c r="X98" s="264">
        <f t="shared" si="34"/>
        <v>112312.87</v>
      </c>
      <c r="Y98" s="293">
        <f t="shared" si="35"/>
        <v>0.58336200000000005</v>
      </c>
      <c r="Z98" s="357">
        <v>91268</v>
      </c>
      <c r="AA98" s="293">
        <f t="shared" si="36"/>
        <v>0.75744699999999998</v>
      </c>
      <c r="AB98" s="293">
        <f t="shared" si="37"/>
        <v>0.36441299999999999</v>
      </c>
      <c r="AC98" s="294">
        <f t="shared" si="38"/>
        <v>0.36441299999999999</v>
      </c>
      <c r="AD98" s="295">
        <f t="shared" si="46"/>
        <v>0</v>
      </c>
      <c r="AE98" s="296">
        <f t="shared" si="47"/>
        <v>0.36441299999999999</v>
      </c>
      <c r="AF98" s="357">
        <v>0</v>
      </c>
      <c r="AG98" s="357">
        <v>0</v>
      </c>
      <c r="AH98" s="254">
        <f t="shared" si="48"/>
        <v>0</v>
      </c>
      <c r="AI98" s="9">
        <f t="shared" si="39"/>
        <v>0</v>
      </c>
      <c r="AJ98" s="9">
        <v>0</v>
      </c>
      <c r="AK98" s="9">
        <f t="shared" si="49"/>
        <v>0</v>
      </c>
      <c r="AL98" s="9">
        <f t="shared" si="50"/>
        <v>0</v>
      </c>
      <c r="AM98" s="9">
        <f t="shared" si="51"/>
        <v>0</v>
      </c>
      <c r="AN98" s="9">
        <f t="shared" si="52"/>
        <v>0</v>
      </c>
      <c r="AO98" s="9">
        <f t="shared" si="40"/>
        <v>10619178</v>
      </c>
      <c r="AP98" s="9">
        <f t="shared" si="53"/>
        <v>10619178</v>
      </c>
      <c r="AQ98" s="9">
        <f t="shared" si="54"/>
        <v>10619178</v>
      </c>
      <c r="AR98" s="291">
        <v>11977384</v>
      </c>
      <c r="AS98" s="9">
        <f t="shared" si="55"/>
        <v>1358206</v>
      </c>
      <c r="AT98" s="297" t="str">
        <f t="shared" si="56"/>
        <v>No</v>
      </c>
      <c r="AU98" s="357">
        <v>11492516</v>
      </c>
      <c r="AV98" s="291">
        <f t="shared" si="41"/>
        <v>113138.5598</v>
      </c>
      <c r="AW98" s="291">
        <f t="shared" si="57"/>
        <v>11492516</v>
      </c>
      <c r="AX98" s="291">
        <f t="shared" si="42"/>
        <v>11492516</v>
      </c>
      <c r="AY98" s="358">
        <f t="shared" si="58"/>
        <v>0</v>
      </c>
      <c r="AZ98" s="301"/>
      <c r="BA98" s="301"/>
      <c r="BB98" s="302"/>
      <c r="BC98" s="291"/>
      <c r="BD98" s="298"/>
      <c r="BF98" s="298"/>
      <c r="BG98" s="298"/>
      <c r="BK98" s="298"/>
      <c r="BL98" s="298"/>
      <c r="BM98" s="298"/>
      <c r="BN98" s="298"/>
      <c r="BO98" s="298"/>
    </row>
    <row r="99" spans="1:67" ht="15" x14ac:dyDescent="0.2">
      <c r="A99" s="10" t="s">
        <v>8</v>
      </c>
      <c r="B99" s="10"/>
      <c r="C99" s="276"/>
      <c r="D99" s="276"/>
      <c r="E99" s="276"/>
      <c r="F99" s="8">
        <v>7</v>
      </c>
      <c r="G99" s="355">
        <v>51</v>
      </c>
      <c r="H99" s="10">
        <v>73</v>
      </c>
      <c r="I99" s="7" t="s">
        <v>85</v>
      </c>
      <c r="J99" s="287"/>
      <c r="K99" s="356">
        <v>580.02</v>
      </c>
      <c r="L99" s="355"/>
      <c r="M99" s="289"/>
      <c r="N99" s="357">
        <v>203</v>
      </c>
      <c r="O99" s="290">
        <f t="shared" si="31"/>
        <v>0.34998793145063967</v>
      </c>
      <c r="P99" s="290">
        <f t="shared" si="43"/>
        <v>0</v>
      </c>
      <c r="Q99" s="291">
        <f t="shared" si="32"/>
        <v>0</v>
      </c>
      <c r="R99" s="291">
        <f t="shared" si="44"/>
        <v>0</v>
      </c>
      <c r="S99" s="357">
        <v>12</v>
      </c>
      <c r="T99" s="292">
        <f t="shared" si="33"/>
        <v>60.9</v>
      </c>
      <c r="U99" s="254">
        <f t="shared" si="45"/>
        <v>643.91999999999996</v>
      </c>
      <c r="V99" s="356">
        <v>579860344.33000004</v>
      </c>
      <c r="W99" s="357">
        <v>4272</v>
      </c>
      <c r="X99" s="264">
        <f t="shared" si="34"/>
        <v>135735.1</v>
      </c>
      <c r="Y99" s="293">
        <f t="shared" si="35"/>
        <v>0.70501899999999995</v>
      </c>
      <c r="Z99" s="357">
        <v>88553</v>
      </c>
      <c r="AA99" s="293">
        <f t="shared" si="36"/>
        <v>0.73491499999999998</v>
      </c>
      <c r="AB99" s="293">
        <f t="shared" si="37"/>
        <v>0.28601199999999999</v>
      </c>
      <c r="AC99" s="294">
        <f t="shared" si="38"/>
        <v>0.28601199999999999</v>
      </c>
      <c r="AD99" s="295">
        <f t="shared" si="46"/>
        <v>0</v>
      </c>
      <c r="AE99" s="296">
        <f t="shared" si="47"/>
        <v>0.28601199999999999</v>
      </c>
      <c r="AF99" s="357">
        <v>0</v>
      </c>
      <c r="AG99" s="357">
        <v>0</v>
      </c>
      <c r="AH99" s="254">
        <f t="shared" si="48"/>
        <v>0</v>
      </c>
      <c r="AI99" s="9">
        <f t="shared" si="39"/>
        <v>0</v>
      </c>
      <c r="AJ99" s="9">
        <v>122</v>
      </c>
      <c r="AK99" s="9">
        <f t="shared" si="49"/>
        <v>4</v>
      </c>
      <c r="AL99" s="9">
        <f t="shared" si="50"/>
        <v>400</v>
      </c>
      <c r="AM99" s="9">
        <f t="shared" si="51"/>
        <v>48800</v>
      </c>
      <c r="AN99" s="9">
        <f t="shared" si="52"/>
        <v>48800</v>
      </c>
      <c r="AO99" s="9">
        <f t="shared" si="40"/>
        <v>2122546</v>
      </c>
      <c r="AP99" s="9">
        <f t="shared" si="53"/>
        <v>2171346</v>
      </c>
      <c r="AQ99" s="9">
        <f t="shared" si="54"/>
        <v>2171346</v>
      </c>
      <c r="AR99" s="291">
        <v>3518715</v>
      </c>
      <c r="AS99" s="9">
        <f t="shared" si="55"/>
        <v>1347369</v>
      </c>
      <c r="AT99" s="297" t="str">
        <f t="shared" si="56"/>
        <v>No</v>
      </c>
      <c r="AU99" s="357">
        <v>2899516</v>
      </c>
      <c r="AV99" s="291">
        <f t="shared" si="41"/>
        <v>112235.8377</v>
      </c>
      <c r="AW99" s="291">
        <f t="shared" si="57"/>
        <v>2899516</v>
      </c>
      <c r="AX99" s="291">
        <f t="shared" si="42"/>
        <v>2899516</v>
      </c>
      <c r="AY99" s="358">
        <f t="shared" si="58"/>
        <v>0</v>
      </c>
      <c r="AZ99" s="301"/>
      <c r="BA99" s="301"/>
      <c r="BB99" s="302"/>
      <c r="BC99" s="291"/>
      <c r="BD99" s="298"/>
      <c r="BF99" s="298"/>
      <c r="BG99" s="298"/>
      <c r="BK99" s="298"/>
      <c r="BL99" s="298"/>
      <c r="BM99" s="298"/>
      <c r="BN99" s="298"/>
      <c r="BO99" s="298"/>
    </row>
    <row r="100" spans="1:67" ht="15" x14ac:dyDescent="0.2">
      <c r="A100" s="10" t="s">
        <v>8</v>
      </c>
      <c r="B100" s="10"/>
      <c r="C100" s="276"/>
      <c r="D100" s="276"/>
      <c r="E100" s="276"/>
      <c r="F100" s="8">
        <v>4</v>
      </c>
      <c r="G100" s="355">
        <v>120</v>
      </c>
      <c r="H100" s="10">
        <v>74</v>
      </c>
      <c r="I100" s="7" t="s">
        <v>86</v>
      </c>
      <c r="J100" s="287"/>
      <c r="K100" s="356">
        <v>818.94</v>
      </c>
      <c r="L100" s="355"/>
      <c r="M100" s="289"/>
      <c r="N100" s="357">
        <v>152</v>
      </c>
      <c r="O100" s="290">
        <f t="shared" si="31"/>
        <v>0.18560578308545192</v>
      </c>
      <c r="P100" s="290">
        <f t="shared" si="43"/>
        <v>0</v>
      </c>
      <c r="Q100" s="291">
        <f t="shared" si="32"/>
        <v>0</v>
      </c>
      <c r="R100" s="291">
        <f t="shared" si="44"/>
        <v>0</v>
      </c>
      <c r="S100" s="357">
        <v>2</v>
      </c>
      <c r="T100" s="292">
        <f t="shared" si="33"/>
        <v>45.6</v>
      </c>
      <c r="U100" s="254">
        <f t="shared" si="45"/>
        <v>865.04000000000008</v>
      </c>
      <c r="V100" s="356">
        <v>1489543433.6700001</v>
      </c>
      <c r="W100" s="357">
        <v>8198</v>
      </c>
      <c r="X100" s="264">
        <f t="shared" si="34"/>
        <v>181695.95</v>
      </c>
      <c r="Y100" s="293">
        <f t="shared" si="35"/>
        <v>0.94374400000000003</v>
      </c>
      <c r="Z100" s="357">
        <v>80570</v>
      </c>
      <c r="AA100" s="293">
        <f t="shared" si="36"/>
        <v>0.66866300000000001</v>
      </c>
      <c r="AB100" s="293">
        <f t="shared" si="37"/>
        <v>0.13877999999999999</v>
      </c>
      <c r="AC100" s="294">
        <f t="shared" si="38"/>
        <v>0.13877999999999999</v>
      </c>
      <c r="AD100" s="295">
        <f t="shared" si="46"/>
        <v>0</v>
      </c>
      <c r="AE100" s="296">
        <f t="shared" si="47"/>
        <v>0.13877999999999999</v>
      </c>
      <c r="AF100" s="357">
        <v>0</v>
      </c>
      <c r="AG100" s="357">
        <v>0</v>
      </c>
      <c r="AH100" s="254">
        <f t="shared" si="48"/>
        <v>0</v>
      </c>
      <c r="AI100" s="9">
        <f t="shared" si="39"/>
        <v>0</v>
      </c>
      <c r="AJ100" s="9">
        <v>0</v>
      </c>
      <c r="AK100" s="9">
        <f t="shared" si="49"/>
        <v>0</v>
      </c>
      <c r="AL100" s="9">
        <f t="shared" si="50"/>
        <v>0</v>
      </c>
      <c r="AM100" s="9">
        <f t="shared" si="51"/>
        <v>0</v>
      </c>
      <c r="AN100" s="9">
        <f t="shared" si="52"/>
        <v>0</v>
      </c>
      <c r="AO100" s="9">
        <f t="shared" si="40"/>
        <v>1383579</v>
      </c>
      <c r="AP100" s="9">
        <f t="shared" si="53"/>
        <v>1383579</v>
      </c>
      <c r="AQ100" s="9">
        <f t="shared" si="54"/>
        <v>1383579</v>
      </c>
      <c r="AR100" s="291">
        <v>1446598</v>
      </c>
      <c r="AS100" s="9">
        <f t="shared" si="55"/>
        <v>63019</v>
      </c>
      <c r="AT100" s="297" t="str">
        <f t="shared" si="56"/>
        <v>No</v>
      </c>
      <c r="AU100" s="357">
        <v>1293502</v>
      </c>
      <c r="AV100" s="291">
        <f t="shared" si="41"/>
        <v>5249.4826999999996</v>
      </c>
      <c r="AW100" s="291">
        <f t="shared" si="57"/>
        <v>1293502</v>
      </c>
      <c r="AX100" s="291">
        <f t="shared" si="42"/>
        <v>1293502</v>
      </c>
      <c r="AY100" s="358">
        <f t="shared" si="58"/>
        <v>0</v>
      </c>
      <c r="AZ100" s="301"/>
      <c r="BA100" s="301"/>
      <c r="BB100" s="302"/>
      <c r="BC100" s="291"/>
      <c r="BD100" s="298"/>
      <c r="BF100" s="298"/>
      <c r="BG100" s="298"/>
      <c r="BK100" s="298"/>
      <c r="BL100" s="298"/>
      <c r="BM100" s="298"/>
      <c r="BN100" s="298"/>
      <c r="BO100" s="298"/>
    </row>
    <row r="101" spans="1:67" ht="15" x14ac:dyDescent="0.2">
      <c r="A101" s="10" t="s">
        <v>4</v>
      </c>
      <c r="B101" s="10"/>
      <c r="C101" s="276"/>
      <c r="D101" s="276"/>
      <c r="E101" s="276"/>
      <c r="F101" s="8">
        <v>1</v>
      </c>
      <c r="G101" s="355">
        <v>160</v>
      </c>
      <c r="H101" s="10">
        <v>75</v>
      </c>
      <c r="I101" s="7" t="s">
        <v>87</v>
      </c>
      <c r="J101" s="287"/>
      <c r="K101" s="356">
        <v>238.79</v>
      </c>
      <c r="L101" s="355"/>
      <c r="M101" s="289"/>
      <c r="N101" s="357">
        <v>51</v>
      </c>
      <c r="O101" s="290">
        <f t="shared" si="31"/>
        <v>0.2135767829473596</v>
      </c>
      <c r="P101" s="290">
        <f t="shared" si="43"/>
        <v>0</v>
      </c>
      <c r="Q101" s="291">
        <f t="shared" si="32"/>
        <v>0</v>
      </c>
      <c r="R101" s="291">
        <f t="shared" si="44"/>
        <v>0</v>
      </c>
      <c r="S101" s="357">
        <v>2</v>
      </c>
      <c r="T101" s="292">
        <f t="shared" si="33"/>
        <v>15.3</v>
      </c>
      <c r="U101" s="254">
        <f t="shared" si="45"/>
        <v>254.59</v>
      </c>
      <c r="V101" s="356">
        <v>723969099.66999996</v>
      </c>
      <c r="W101" s="357">
        <v>2469</v>
      </c>
      <c r="X101" s="264">
        <f t="shared" si="34"/>
        <v>293223.61</v>
      </c>
      <c r="Y101" s="293">
        <f t="shared" si="35"/>
        <v>1.523028</v>
      </c>
      <c r="Z101" s="357">
        <v>96146</v>
      </c>
      <c r="AA101" s="293">
        <f t="shared" si="36"/>
        <v>0.79793000000000003</v>
      </c>
      <c r="AB101" s="293">
        <f t="shared" si="37"/>
        <v>-0.30549900000000002</v>
      </c>
      <c r="AC101" s="294">
        <f t="shared" si="38"/>
        <v>0.01</v>
      </c>
      <c r="AD101" s="295">
        <f t="shared" si="46"/>
        <v>0</v>
      </c>
      <c r="AE101" s="296">
        <f t="shared" si="47"/>
        <v>0.01</v>
      </c>
      <c r="AF101" s="357">
        <v>238</v>
      </c>
      <c r="AG101" s="357">
        <v>13</v>
      </c>
      <c r="AH101" s="254">
        <f t="shared" si="48"/>
        <v>1300</v>
      </c>
      <c r="AI101" s="9">
        <f t="shared" si="39"/>
        <v>309400</v>
      </c>
      <c r="AJ101" s="9">
        <v>0</v>
      </c>
      <c r="AK101" s="9">
        <f t="shared" si="49"/>
        <v>0</v>
      </c>
      <c r="AL101" s="9">
        <f t="shared" si="50"/>
        <v>0</v>
      </c>
      <c r="AM101" s="9">
        <f t="shared" si="51"/>
        <v>0</v>
      </c>
      <c r="AN101" s="9">
        <f t="shared" si="52"/>
        <v>309400</v>
      </c>
      <c r="AO101" s="9">
        <f t="shared" si="40"/>
        <v>29341</v>
      </c>
      <c r="AP101" s="9">
        <f t="shared" si="53"/>
        <v>338741</v>
      </c>
      <c r="AQ101" s="9">
        <f t="shared" si="54"/>
        <v>338741</v>
      </c>
      <c r="AR101" s="291">
        <v>63069</v>
      </c>
      <c r="AS101" s="9">
        <f t="shared" si="55"/>
        <v>275672</v>
      </c>
      <c r="AT101" s="297" t="str">
        <f t="shared" si="56"/>
        <v>Yes</v>
      </c>
      <c r="AU101" s="357">
        <v>60216</v>
      </c>
      <c r="AV101" s="291">
        <f t="shared" si="41"/>
        <v>29386.635200000001</v>
      </c>
      <c r="AW101" s="291">
        <f t="shared" si="57"/>
        <v>89602.635200000004</v>
      </c>
      <c r="AX101" s="291">
        <f t="shared" si="42"/>
        <v>89602.635200000004</v>
      </c>
      <c r="AY101" s="358">
        <f t="shared" si="58"/>
        <v>29386.635200000004</v>
      </c>
      <c r="AZ101" s="301"/>
      <c r="BA101" s="301"/>
      <c r="BB101" s="302"/>
      <c r="BC101" s="291"/>
      <c r="BD101" s="298"/>
      <c r="BF101" s="298"/>
      <c r="BG101" s="298"/>
      <c r="BK101" s="298"/>
      <c r="BL101" s="298"/>
      <c r="BM101" s="298"/>
      <c r="BN101" s="298"/>
      <c r="BO101" s="298"/>
    </row>
    <row r="102" spans="1:67" ht="15" x14ac:dyDescent="0.2">
      <c r="A102" s="10" t="s">
        <v>10</v>
      </c>
      <c r="B102" s="10"/>
      <c r="C102" s="276"/>
      <c r="D102" s="276"/>
      <c r="E102" s="276"/>
      <c r="F102" s="8">
        <v>2</v>
      </c>
      <c r="G102" s="355">
        <v>145</v>
      </c>
      <c r="H102" s="10">
        <v>76</v>
      </c>
      <c r="I102" s="7" t="s">
        <v>88</v>
      </c>
      <c r="J102" s="287"/>
      <c r="K102" s="356">
        <v>2477.96</v>
      </c>
      <c r="L102" s="355"/>
      <c r="M102" s="289"/>
      <c r="N102" s="357">
        <v>90</v>
      </c>
      <c r="O102" s="290">
        <f t="shared" si="31"/>
        <v>3.6320198873266721E-2</v>
      </c>
      <c r="P102" s="290">
        <f t="shared" si="43"/>
        <v>0</v>
      </c>
      <c r="Q102" s="291">
        <f t="shared" si="32"/>
        <v>0</v>
      </c>
      <c r="R102" s="291">
        <f t="shared" si="44"/>
        <v>0</v>
      </c>
      <c r="S102" s="357">
        <v>35</v>
      </c>
      <c r="T102" s="292">
        <f t="shared" si="33"/>
        <v>27</v>
      </c>
      <c r="U102" s="254">
        <f t="shared" si="45"/>
        <v>2513.71</v>
      </c>
      <c r="V102" s="356">
        <v>4221142071.6700001</v>
      </c>
      <c r="W102" s="357">
        <v>18183</v>
      </c>
      <c r="X102" s="264">
        <f t="shared" si="34"/>
        <v>232147.72</v>
      </c>
      <c r="Y102" s="293">
        <f t="shared" si="35"/>
        <v>1.205794</v>
      </c>
      <c r="Z102" s="357">
        <v>104754</v>
      </c>
      <c r="AA102" s="293">
        <f t="shared" si="36"/>
        <v>0.86936899999999995</v>
      </c>
      <c r="AB102" s="293">
        <f t="shared" si="37"/>
        <v>-0.104867</v>
      </c>
      <c r="AC102" s="294">
        <f t="shared" si="38"/>
        <v>0.01</v>
      </c>
      <c r="AD102" s="295">
        <f t="shared" si="46"/>
        <v>0</v>
      </c>
      <c r="AE102" s="296">
        <f t="shared" si="47"/>
        <v>0.01</v>
      </c>
      <c r="AF102" s="357">
        <v>0</v>
      </c>
      <c r="AG102" s="357">
        <v>0</v>
      </c>
      <c r="AH102" s="254">
        <f t="shared" si="48"/>
        <v>0</v>
      </c>
      <c r="AI102" s="9">
        <f t="shared" si="39"/>
        <v>0</v>
      </c>
      <c r="AJ102" s="9">
        <v>0</v>
      </c>
      <c r="AK102" s="9">
        <f t="shared" si="49"/>
        <v>0</v>
      </c>
      <c r="AL102" s="9">
        <f t="shared" si="50"/>
        <v>0</v>
      </c>
      <c r="AM102" s="9">
        <f t="shared" si="51"/>
        <v>0</v>
      </c>
      <c r="AN102" s="9">
        <f t="shared" si="52"/>
        <v>0</v>
      </c>
      <c r="AO102" s="9">
        <f t="shared" si="40"/>
        <v>289705</v>
      </c>
      <c r="AP102" s="9">
        <f t="shared" si="53"/>
        <v>289705</v>
      </c>
      <c r="AQ102" s="9">
        <f t="shared" si="54"/>
        <v>289705</v>
      </c>
      <c r="AR102" s="291">
        <v>446496</v>
      </c>
      <c r="AS102" s="9">
        <f t="shared" si="55"/>
        <v>156791</v>
      </c>
      <c r="AT102" s="297" t="str">
        <f t="shared" si="56"/>
        <v>No</v>
      </c>
      <c r="AU102" s="357">
        <v>395466</v>
      </c>
      <c r="AV102" s="291">
        <f t="shared" si="41"/>
        <v>13060.6903</v>
      </c>
      <c r="AW102" s="291">
        <f t="shared" si="57"/>
        <v>395466</v>
      </c>
      <c r="AX102" s="291">
        <f t="shared" si="42"/>
        <v>395466</v>
      </c>
      <c r="AY102" s="358">
        <f t="shared" si="58"/>
        <v>0</v>
      </c>
      <c r="AZ102" s="301"/>
      <c r="BA102" s="301"/>
      <c r="BB102" s="302"/>
      <c r="BC102" s="291"/>
      <c r="BD102" s="298"/>
      <c r="BF102" s="298"/>
      <c r="BG102" s="298"/>
      <c r="BK102" s="298"/>
      <c r="BL102" s="298"/>
      <c r="BM102" s="298"/>
      <c r="BN102" s="298"/>
      <c r="BO102" s="298"/>
    </row>
    <row r="103" spans="1:67" ht="15" x14ac:dyDescent="0.2">
      <c r="A103" s="10" t="s">
        <v>19</v>
      </c>
      <c r="B103" s="10"/>
      <c r="C103" s="276">
        <v>1</v>
      </c>
      <c r="D103" s="276">
        <v>1</v>
      </c>
      <c r="E103" s="276"/>
      <c r="F103" s="8">
        <v>9</v>
      </c>
      <c r="G103" s="359">
        <v>18</v>
      </c>
      <c r="H103" s="10">
        <v>77</v>
      </c>
      <c r="I103" s="7" t="s">
        <v>89</v>
      </c>
      <c r="J103" s="287"/>
      <c r="K103" s="356">
        <v>7390.01</v>
      </c>
      <c r="L103" s="359"/>
      <c r="M103" s="289"/>
      <c r="N103" s="357">
        <v>4288</v>
      </c>
      <c r="O103" s="290">
        <f t="shared" si="31"/>
        <v>0.58024278722220946</v>
      </c>
      <c r="P103" s="290">
        <f t="shared" si="43"/>
        <v>0</v>
      </c>
      <c r="Q103" s="291">
        <f t="shared" si="32"/>
        <v>0</v>
      </c>
      <c r="R103" s="291">
        <f t="shared" si="44"/>
        <v>0</v>
      </c>
      <c r="S103" s="357">
        <v>521</v>
      </c>
      <c r="T103" s="292">
        <f t="shared" si="33"/>
        <v>1286.4000000000001</v>
      </c>
      <c r="U103" s="254">
        <f t="shared" si="45"/>
        <v>8806.66</v>
      </c>
      <c r="V103" s="356">
        <v>5990360631</v>
      </c>
      <c r="W103" s="357">
        <v>57955</v>
      </c>
      <c r="X103" s="264">
        <f t="shared" si="34"/>
        <v>103362.27</v>
      </c>
      <c r="Y103" s="293">
        <f t="shared" si="35"/>
        <v>0.53687200000000002</v>
      </c>
      <c r="Z103" s="357">
        <v>70736</v>
      </c>
      <c r="AA103" s="293">
        <f t="shared" si="36"/>
        <v>0.58704900000000004</v>
      </c>
      <c r="AB103" s="293">
        <f t="shared" si="37"/>
        <v>0.448075</v>
      </c>
      <c r="AC103" s="294">
        <f t="shared" si="38"/>
        <v>0.448075</v>
      </c>
      <c r="AD103" s="295">
        <f t="shared" si="46"/>
        <v>0.03</v>
      </c>
      <c r="AE103" s="296">
        <f t="shared" si="47"/>
        <v>0.47807500000000003</v>
      </c>
      <c r="AF103" s="357">
        <v>0</v>
      </c>
      <c r="AG103" s="357">
        <v>0</v>
      </c>
      <c r="AH103" s="254">
        <f t="shared" si="48"/>
        <v>0</v>
      </c>
      <c r="AI103" s="9">
        <f t="shared" si="39"/>
        <v>0</v>
      </c>
      <c r="AJ103" s="9">
        <v>0</v>
      </c>
      <c r="AK103" s="9">
        <f t="shared" si="49"/>
        <v>0</v>
      </c>
      <c r="AL103" s="9">
        <f t="shared" si="50"/>
        <v>0</v>
      </c>
      <c r="AM103" s="9">
        <f t="shared" si="51"/>
        <v>0</v>
      </c>
      <c r="AN103" s="9">
        <f t="shared" si="52"/>
        <v>0</v>
      </c>
      <c r="AO103" s="9">
        <f t="shared" si="40"/>
        <v>48523062</v>
      </c>
      <c r="AP103" s="9">
        <f t="shared" si="53"/>
        <v>48523062</v>
      </c>
      <c r="AQ103" s="9">
        <f t="shared" si="54"/>
        <v>48523062</v>
      </c>
      <c r="AR103" s="291">
        <v>34440424</v>
      </c>
      <c r="AS103" s="9">
        <f t="shared" si="55"/>
        <v>14082638</v>
      </c>
      <c r="AT103" s="297" t="str">
        <f t="shared" si="56"/>
        <v>Yes</v>
      </c>
      <c r="AU103" s="357">
        <v>38251467</v>
      </c>
      <c r="AV103" s="291">
        <f t="shared" si="41"/>
        <v>1501209.2108</v>
      </c>
      <c r="AW103" s="291">
        <f t="shared" si="57"/>
        <v>39752676.2108</v>
      </c>
      <c r="AX103" s="291">
        <f t="shared" si="42"/>
        <v>39752676.2108</v>
      </c>
      <c r="AY103" s="358">
        <f t="shared" si="58"/>
        <v>1501209.2107999995</v>
      </c>
      <c r="AZ103" s="301"/>
      <c r="BA103" s="301"/>
      <c r="BB103" s="302"/>
      <c r="BC103" s="291"/>
      <c r="BD103" s="298"/>
      <c r="BF103" s="298"/>
      <c r="BG103" s="298"/>
      <c r="BK103" s="298"/>
      <c r="BL103" s="298"/>
      <c r="BM103" s="298"/>
      <c r="BN103" s="298"/>
      <c r="BO103" s="298"/>
    </row>
    <row r="104" spans="1:67" ht="15" x14ac:dyDescent="0.2">
      <c r="A104" s="10" t="s">
        <v>4</v>
      </c>
      <c r="B104" s="10"/>
      <c r="C104" s="276"/>
      <c r="D104" s="276"/>
      <c r="E104" s="276"/>
      <c r="F104" s="8">
        <v>8</v>
      </c>
      <c r="G104" s="360">
        <v>47</v>
      </c>
      <c r="H104" s="10">
        <v>78</v>
      </c>
      <c r="I104" s="7" t="s">
        <v>90</v>
      </c>
      <c r="J104" s="287"/>
      <c r="K104" s="356">
        <v>1579.92</v>
      </c>
      <c r="L104" s="360"/>
      <c r="M104" s="289"/>
      <c r="N104" s="357">
        <v>464</v>
      </c>
      <c r="O104" s="290">
        <f t="shared" si="31"/>
        <v>0.29368575624082233</v>
      </c>
      <c r="P104" s="290">
        <f t="shared" si="43"/>
        <v>0</v>
      </c>
      <c r="Q104" s="291">
        <f t="shared" si="32"/>
        <v>0</v>
      </c>
      <c r="R104" s="291">
        <f t="shared" si="44"/>
        <v>0</v>
      </c>
      <c r="S104" s="357">
        <v>49</v>
      </c>
      <c r="T104" s="292">
        <f t="shared" si="33"/>
        <v>139.19999999999999</v>
      </c>
      <c r="U104" s="254">
        <f t="shared" si="45"/>
        <v>1731.3700000000001</v>
      </c>
      <c r="V104" s="356">
        <v>1606825479</v>
      </c>
      <c r="W104" s="357">
        <v>14110</v>
      </c>
      <c r="X104" s="264">
        <f t="shared" si="34"/>
        <v>113878.49</v>
      </c>
      <c r="Y104" s="293">
        <f t="shared" si="35"/>
        <v>0.59149399999999996</v>
      </c>
      <c r="Z104" s="357">
        <v>56807</v>
      </c>
      <c r="AA104" s="293">
        <f t="shared" si="36"/>
        <v>0.47144999999999998</v>
      </c>
      <c r="AB104" s="293">
        <f t="shared" si="37"/>
        <v>0.444519</v>
      </c>
      <c r="AC104" s="294">
        <f t="shared" si="38"/>
        <v>0.444519</v>
      </c>
      <c r="AD104" s="295">
        <f t="shared" si="46"/>
        <v>0</v>
      </c>
      <c r="AE104" s="296">
        <f t="shared" si="47"/>
        <v>0.444519</v>
      </c>
      <c r="AF104" s="357">
        <v>525</v>
      </c>
      <c r="AG104" s="357">
        <v>4</v>
      </c>
      <c r="AH104" s="254">
        <f t="shared" si="48"/>
        <v>400</v>
      </c>
      <c r="AI104" s="9">
        <f t="shared" si="39"/>
        <v>210000</v>
      </c>
      <c r="AJ104" s="9">
        <v>0</v>
      </c>
      <c r="AK104" s="9">
        <f t="shared" si="49"/>
        <v>0</v>
      </c>
      <c r="AL104" s="9">
        <f t="shared" si="50"/>
        <v>0</v>
      </c>
      <c r="AM104" s="9">
        <f t="shared" si="51"/>
        <v>0</v>
      </c>
      <c r="AN104" s="9">
        <f t="shared" si="52"/>
        <v>210000</v>
      </c>
      <c r="AO104" s="9">
        <f t="shared" si="40"/>
        <v>8869950</v>
      </c>
      <c r="AP104" s="9">
        <f t="shared" si="53"/>
        <v>9079950</v>
      </c>
      <c r="AQ104" s="9">
        <f t="shared" si="54"/>
        <v>9079950</v>
      </c>
      <c r="AR104" s="291">
        <v>9947410</v>
      </c>
      <c r="AS104" s="9">
        <f t="shared" si="55"/>
        <v>867460</v>
      </c>
      <c r="AT104" s="297" t="str">
        <f t="shared" si="56"/>
        <v>No</v>
      </c>
      <c r="AU104" s="357">
        <v>9459722</v>
      </c>
      <c r="AV104" s="291">
        <f t="shared" si="41"/>
        <v>72259.418000000005</v>
      </c>
      <c r="AW104" s="291">
        <f t="shared" si="57"/>
        <v>9459722</v>
      </c>
      <c r="AX104" s="291">
        <f t="shared" si="42"/>
        <v>9459722</v>
      </c>
      <c r="AY104" s="358">
        <f t="shared" si="58"/>
        <v>0</v>
      </c>
      <c r="AZ104" s="301"/>
      <c r="BA104" s="301"/>
      <c r="BB104" s="302"/>
      <c r="BC104" s="291"/>
      <c r="BD104" s="298"/>
      <c r="BF104" s="298"/>
      <c r="BG104" s="298"/>
      <c r="BK104" s="298"/>
      <c r="BL104" s="298"/>
      <c r="BM104" s="298"/>
      <c r="BN104" s="298"/>
      <c r="BO104" s="298"/>
    </row>
    <row r="105" spans="1:67" ht="15" x14ac:dyDescent="0.2">
      <c r="A105" s="10" t="s">
        <v>4</v>
      </c>
      <c r="B105" s="10"/>
      <c r="C105" s="276"/>
      <c r="D105" s="276"/>
      <c r="E105" s="276"/>
      <c r="F105" s="8">
        <v>4</v>
      </c>
      <c r="G105" s="355">
        <v>101</v>
      </c>
      <c r="H105" s="10">
        <v>79</v>
      </c>
      <c r="I105" s="7" t="s">
        <v>91</v>
      </c>
      <c r="J105" s="287"/>
      <c r="K105" s="356">
        <v>934.13</v>
      </c>
      <c r="L105" s="355"/>
      <c r="M105" s="289"/>
      <c r="N105" s="357">
        <v>137</v>
      </c>
      <c r="O105" s="290">
        <f t="shared" si="31"/>
        <v>0.14666052904841939</v>
      </c>
      <c r="P105" s="290">
        <f t="shared" si="43"/>
        <v>0</v>
      </c>
      <c r="Q105" s="291">
        <f t="shared" si="32"/>
        <v>0</v>
      </c>
      <c r="R105" s="291">
        <f t="shared" si="44"/>
        <v>0</v>
      </c>
      <c r="S105" s="357">
        <v>7</v>
      </c>
      <c r="T105" s="292">
        <f t="shared" si="33"/>
        <v>41.1</v>
      </c>
      <c r="U105" s="254">
        <f t="shared" si="45"/>
        <v>976.98</v>
      </c>
      <c r="V105" s="356">
        <v>863962490</v>
      </c>
      <c r="W105" s="357">
        <v>6394</v>
      </c>
      <c r="X105" s="264">
        <f t="shared" si="34"/>
        <v>135120.81</v>
      </c>
      <c r="Y105" s="293">
        <f t="shared" si="35"/>
        <v>0.70182900000000004</v>
      </c>
      <c r="Z105" s="357">
        <v>109750</v>
      </c>
      <c r="AA105" s="293">
        <f t="shared" si="36"/>
        <v>0.91083199999999997</v>
      </c>
      <c r="AB105" s="293">
        <f t="shared" si="37"/>
        <v>0.23547000000000001</v>
      </c>
      <c r="AC105" s="294">
        <f t="shared" si="38"/>
        <v>0.23547000000000001</v>
      </c>
      <c r="AD105" s="295">
        <f t="shared" si="46"/>
        <v>0</v>
      </c>
      <c r="AE105" s="296">
        <f t="shared" si="47"/>
        <v>0.23547000000000001</v>
      </c>
      <c r="AF105" s="357">
        <v>489</v>
      </c>
      <c r="AG105" s="357">
        <v>6</v>
      </c>
      <c r="AH105" s="254">
        <f t="shared" si="48"/>
        <v>600</v>
      </c>
      <c r="AI105" s="9">
        <f t="shared" si="39"/>
        <v>293400</v>
      </c>
      <c r="AJ105" s="9">
        <v>0</v>
      </c>
      <c r="AK105" s="9">
        <f t="shared" si="49"/>
        <v>0</v>
      </c>
      <c r="AL105" s="9">
        <f t="shared" si="50"/>
        <v>0</v>
      </c>
      <c r="AM105" s="9">
        <f t="shared" si="51"/>
        <v>0</v>
      </c>
      <c r="AN105" s="9">
        <f t="shared" si="52"/>
        <v>293400</v>
      </c>
      <c r="AO105" s="9">
        <f t="shared" si="40"/>
        <v>2651320</v>
      </c>
      <c r="AP105" s="9">
        <f t="shared" si="53"/>
        <v>2944720</v>
      </c>
      <c r="AQ105" s="9">
        <f t="shared" si="54"/>
        <v>2944720</v>
      </c>
      <c r="AR105" s="291">
        <v>3154015</v>
      </c>
      <c r="AS105" s="9">
        <f t="shared" si="55"/>
        <v>209295</v>
      </c>
      <c r="AT105" s="297" t="str">
        <f t="shared" si="56"/>
        <v>No</v>
      </c>
      <c r="AU105" s="357">
        <v>2902339</v>
      </c>
      <c r="AV105" s="291">
        <f t="shared" si="41"/>
        <v>17434.273499999999</v>
      </c>
      <c r="AW105" s="291">
        <f t="shared" si="57"/>
        <v>2902339</v>
      </c>
      <c r="AX105" s="291">
        <f t="shared" si="42"/>
        <v>2902339</v>
      </c>
      <c r="AY105" s="358">
        <f t="shared" si="58"/>
        <v>0</v>
      </c>
      <c r="AZ105" s="301"/>
      <c r="BA105" s="301"/>
      <c r="BB105" s="302"/>
      <c r="BC105" s="291"/>
      <c r="BD105" s="298"/>
      <c r="BF105" s="298"/>
      <c r="BG105" s="298"/>
      <c r="BK105" s="298"/>
      <c r="BL105" s="298"/>
      <c r="BM105" s="298"/>
      <c r="BN105" s="298"/>
      <c r="BO105" s="298"/>
    </row>
    <row r="106" spans="1:67" ht="15" x14ac:dyDescent="0.2">
      <c r="A106" s="10" t="s">
        <v>6</v>
      </c>
      <c r="B106" s="10">
        <v>1</v>
      </c>
      <c r="C106" s="276">
        <v>1</v>
      </c>
      <c r="D106" s="276">
        <v>0</v>
      </c>
      <c r="E106" s="276">
        <v>1</v>
      </c>
      <c r="F106" s="8">
        <v>10</v>
      </c>
      <c r="G106" s="359">
        <v>11</v>
      </c>
      <c r="H106" s="10">
        <v>80</v>
      </c>
      <c r="I106" s="7" t="s">
        <v>92</v>
      </c>
      <c r="J106" s="287"/>
      <c r="K106" s="356">
        <v>8867</v>
      </c>
      <c r="L106" s="359"/>
      <c r="M106" s="289"/>
      <c r="N106" s="357">
        <v>6684</v>
      </c>
      <c r="O106" s="290">
        <f t="shared" si="31"/>
        <v>0.75380624788541783</v>
      </c>
      <c r="P106" s="290">
        <f t="shared" si="43"/>
        <v>0.15380624788541786</v>
      </c>
      <c r="Q106" s="291">
        <f t="shared" si="32"/>
        <v>1363.8000000000002</v>
      </c>
      <c r="R106" s="291">
        <f t="shared" si="44"/>
        <v>204.57000000000002</v>
      </c>
      <c r="S106" s="357">
        <v>1394</v>
      </c>
      <c r="T106" s="292">
        <f t="shared" si="33"/>
        <v>2005.2</v>
      </c>
      <c r="U106" s="254">
        <f t="shared" si="45"/>
        <v>11425.27</v>
      </c>
      <c r="V106" s="356">
        <v>4674675666.6700001</v>
      </c>
      <c r="W106" s="357">
        <v>59864</v>
      </c>
      <c r="X106" s="264">
        <f t="shared" si="34"/>
        <v>78088.259999999995</v>
      </c>
      <c r="Y106" s="293">
        <f t="shared" si="35"/>
        <v>0.40559699999999999</v>
      </c>
      <c r="Z106" s="357">
        <v>57886</v>
      </c>
      <c r="AA106" s="293">
        <f t="shared" si="36"/>
        <v>0.48040500000000003</v>
      </c>
      <c r="AB106" s="293">
        <f t="shared" si="37"/>
        <v>0.57196100000000005</v>
      </c>
      <c r="AC106" s="294">
        <f t="shared" si="38"/>
        <v>0.57196100000000005</v>
      </c>
      <c r="AD106" s="295">
        <f t="shared" si="46"/>
        <v>0.04</v>
      </c>
      <c r="AE106" s="296">
        <f t="shared" si="47"/>
        <v>0.61196100000000009</v>
      </c>
      <c r="AF106" s="357">
        <v>0</v>
      </c>
      <c r="AG106" s="357">
        <v>0</v>
      </c>
      <c r="AH106" s="254">
        <f t="shared" si="48"/>
        <v>0</v>
      </c>
      <c r="AI106" s="9">
        <f t="shared" si="39"/>
        <v>0</v>
      </c>
      <c r="AJ106" s="9">
        <v>0</v>
      </c>
      <c r="AK106" s="9">
        <f t="shared" si="49"/>
        <v>0</v>
      </c>
      <c r="AL106" s="9">
        <f t="shared" si="50"/>
        <v>0</v>
      </c>
      <c r="AM106" s="9">
        <f t="shared" si="51"/>
        <v>0</v>
      </c>
      <c r="AN106" s="9">
        <f t="shared" si="52"/>
        <v>0</v>
      </c>
      <c r="AO106" s="9">
        <f t="shared" si="40"/>
        <v>80580722</v>
      </c>
      <c r="AP106" s="9">
        <f t="shared" si="53"/>
        <v>80580722</v>
      </c>
      <c r="AQ106" s="9">
        <f t="shared" si="54"/>
        <v>80580722</v>
      </c>
      <c r="AR106" s="291">
        <v>60258395</v>
      </c>
      <c r="AS106" s="9">
        <f t="shared" si="55"/>
        <v>20322327</v>
      </c>
      <c r="AT106" s="297" t="str">
        <f t="shared" si="56"/>
        <v>Yes</v>
      </c>
      <c r="AU106" s="357">
        <v>64774542</v>
      </c>
      <c r="AV106" s="291">
        <f t="shared" si="41"/>
        <v>2166360.0581999999</v>
      </c>
      <c r="AW106" s="291">
        <f t="shared" si="57"/>
        <v>66940902.058200002</v>
      </c>
      <c r="AX106" s="291">
        <f t="shared" si="42"/>
        <v>66940902.058200002</v>
      </c>
      <c r="AY106" s="358">
        <f t="shared" si="58"/>
        <v>2166360.0582000017</v>
      </c>
      <c r="AZ106" s="301"/>
      <c r="BA106" s="301"/>
      <c r="BB106" s="302"/>
      <c r="BC106" s="291"/>
      <c r="BD106" s="298"/>
      <c r="BF106" s="298"/>
      <c r="BG106" s="298"/>
      <c r="BK106" s="298"/>
      <c r="BL106" s="298"/>
      <c r="BM106" s="298"/>
      <c r="BN106" s="298"/>
      <c r="BO106" s="298"/>
    </row>
    <row r="107" spans="1:67" ht="15" x14ac:dyDescent="0.2">
      <c r="A107" s="10" t="s">
        <v>10</v>
      </c>
      <c r="B107" s="10"/>
      <c r="C107" s="276"/>
      <c r="D107" s="276"/>
      <c r="E107" s="276"/>
      <c r="F107" s="8">
        <v>3</v>
      </c>
      <c r="G107" s="355">
        <v>105</v>
      </c>
      <c r="H107" s="10">
        <v>81</v>
      </c>
      <c r="I107" s="7" t="s">
        <v>93</v>
      </c>
      <c r="J107" s="287"/>
      <c r="K107" s="356">
        <v>1206.1500000000001</v>
      </c>
      <c r="L107" s="355"/>
      <c r="M107" s="289"/>
      <c r="N107" s="357">
        <v>205</v>
      </c>
      <c r="O107" s="290">
        <f t="shared" si="31"/>
        <v>0.16996227666542302</v>
      </c>
      <c r="P107" s="290">
        <f t="shared" si="43"/>
        <v>0</v>
      </c>
      <c r="Q107" s="291">
        <f t="shared" si="32"/>
        <v>0</v>
      </c>
      <c r="R107" s="291">
        <f t="shared" si="44"/>
        <v>0</v>
      </c>
      <c r="S107" s="357">
        <v>26</v>
      </c>
      <c r="T107" s="292">
        <f t="shared" si="33"/>
        <v>61.5</v>
      </c>
      <c r="U107" s="254">
        <f t="shared" si="45"/>
        <v>1274.1500000000001</v>
      </c>
      <c r="V107" s="356">
        <v>1396744506.6700001</v>
      </c>
      <c r="W107" s="357">
        <v>7661</v>
      </c>
      <c r="X107" s="264">
        <f t="shared" si="34"/>
        <v>182318.82</v>
      </c>
      <c r="Y107" s="293">
        <f t="shared" si="35"/>
        <v>0.94697900000000002</v>
      </c>
      <c r="Z107" s="357">
        <v>108977</v>
      </c>
      <c r="AA107" s="293">
        <f t="shared" si="36"/>
        <v>0.90441700000000003</v>
      </c>
      <c r="AB107" s="293">
        <f t="shared" si="37"/>
        <v>6.5790000000000001E-2</v>
      </c>
      <c r="AC107" s="294">
        <f t="shared" si="38"/>
        <v>6.5790000000000001E-2</v>
      </c>
      <c r="AD107" s="295">
        <f t="shared" si="46"/>
        <v>0</v>
      </c>
      <c r="AE107" s="296">
        <f t="shared" si="47"/>
        <v>6.5790000000000001E-2</v>
      </c>
      <c r="AF107" s="357">
        <v>1208</v>
      </c>
      <c r="AG107" s="357">
        <v>13</v>
      </c>
      <c r="AH107" s="254">
        <f t="shared" si="48"/>
        <v>1300</v>
      </c>
      <c r="AI107" s="9">
        <f t="shared" si="39"/>
        <v>1570400</v>
      </c>
      <c r="AJ107" s="9">
        <v>0</v>
      </c>
      <c r="AK107" s="9">
        <f t="shared" si="49"/>
        <v>0</v>
      </c>
      <c r="AL107" s="9">
        <f t="shared" si="50"/>
        <v>0</v>
      </c>
      <c r="AM107" s="9">
        <f t="shared" si="51"/>
        <v>0</v>
      </c>
      <c r="AN107" s="9">
        <f t="shared" si="52"/>
        <v>1570400</v>
      </c>
      <c r="AO107" s="9">
        <f t="shared" si="40"/>
        <v>966098</v>
      </c>
      <c r="AP107" s="9">
        <f t="shared" si="53"/>
        <v>2536498</v>
      </c>
      <c r="AQ107" s="9">
        <f t="shared" si="54"/>
        <v>2536498</v>
      </c>
      <c r="AR107" s="291">
        <v>855086</v>
      </c>
      <c r="AS107" s="9">
        <f t="shared" si="55"/>
        <v>1681412</v>
      </c>
      <c r="AT107" s="297" t="str">
        <f t="shared" si="56"/>
        <v>Yes</v>
      </c>
      <c r="AU107" s="357">
        <v>847757</v>
      </c>
      <c r="AV107" s="291">
        <f t="shared" si="41"/>
        <v>179238.51920000001</v>
      </c>
      <c r="AW107" s="291">
        <f t="shared" si="57"/>
        <v>1026995.5192</v>
      </c>
      <c r="AX107" s="291">
        <f t="shared" si="42"/>
        <v>1026995.5192</v>
      </c>
      <c r="AY107" s="358">
        <f t="shared" si="58"/>
        <v>179238.51919999998</v>
      </c>
      <c r="AZ107" s="301"/>
      <c r="BA107" s="301"/>
      <c r="BB107" s="302"/>
      <c r="BC107" s="291"/>
      <c r="BD107" s="298"/>
      <c r="BF107" s="298"/>
      <c r="BG107" s="298"/>
      <c r="BK107" s="298"/>
      <c r="BL107" s="298"/>
      <c r="BM107" s="298"/>
      <c r="BN107" s="298"/>
      <c r="BO107" s="298"/>
    </row>
    <row r="108" spans="1:67" ht="15" x14ac:dyDescent="0.2">
      <c r="A108" s="10" t="s">
        <v>4</v>
      </c>
      <c r="B108" s="10"/>
      <c r="C108" s="276"/>
      <c r="D108" s="276"/>
      <c r="E108" s="276"/>
      <c r="F108" s="8">
        <v>6</v>
      </c>
      <c r="G108" s="355">
        <v>60</v>
      </c>
      <c r="H108" s="10">
        <v>82</v>
      </c>
      <c r="I108" s="7" t="s">
        <v>94</v>
      </c>
      <c r="J108" s="287"/>
      <c r="K108" s="356">
        <v>493.4</v>
      </c>
      <c r="L108" s="355"/>
      <c r="M108" s="289"/>
      <c r="N108" s="357">
        <v>98</v>
      </c>
      <c r="O108" s="290">
        <f t="shared" si="31"/>
        <v>0.19862180786380221</v>
      </c>
      <c r="P108" s="290">
        <f t="shared" si="43"/>
        <v>0</v>
      </c>
      <c r="Q108" s="291">
        <f t="shared" si="32"/>
        <v>0</v>
      </c>
      <c r="R108" s="291">
        <f t="shared" si="44"/>
        <v>0</v>
      </c>
      <c r="S108" s="357">
        <v>4</v>
      </c>
      <c r="T108" s="292">
        <f t="shared" si="33"/>
        <v>29.4</v>
      </c>
      <c r="U108" s="254">
        <f t="shared" si="45"/>
        <v>523.79999999999995</v>
      </c>
      <c r="V108" s="356">
        <v>617127590</v>
      </c>
      <c r="W108" s="357">
        <v>4385</v>
      </c>
      <c r="X108" s="264">
        <f t="shared" si="34"/>
        <v>140736.04999999999</v>
      </c>
      <c r="Y108" s="293">
        <f t="shared" si="35"/>
        <v>0.73099499999999995</v>
      </c>
      <c r="Z108" s="357">
        <v>93750</v>
      </c>
      <c r="AA108" s="293">
        <f t="shared" si="36"/>
        <v>0.77804499999999999</v>
      </c>
      <c r="AB108" s="293">
        <f t="shared" si="37"/>
        <v>0.25489000000000001</v>
      </c>
      <c r="AC108" s="294">
        <f t="shared" si="38"/>
        <v>0.25489000000000001</v>
      </c>
      <c r="AD108" s="295">
        <f t="shared" si="46"/>
        <v>0</v>
      </c>
      <c r="AE108" s="296">
        <f t="shared" si="47"/>
        <v>0.25489000000000001</v>
      </c>
      <c r="AF108" s="357">
        <v>494</v>
      </c>
      <c r="AG108" s="357">
        <v>13</v>
      </c>
      <c r="AH108" s="254">
        <f t="shared" si="48"/>
        <v>1300</v>
      </c>
      <c r="AI108" s="9">
        <f t="shared" si="39"/>
        <v>642200</v>
      </c>
      <c r="AJ108" s="9">
        <v>0</v>
      </c>
      <c r="AK108" s="9">
        <f t="shared" si="49"/>
        <v>0</v>
      </c>
      <c r="AL108" s="9">
        <f t="shared" si="50"/>
        <v>0</v>
      </c>
      <c r="AM108" s="9">
        <f t="shared" si="51"/>
        <v>0</v>
      </c>
      <c r="AN108" s="9">
        <f t="shared" si="52"/>
        <v>642200</v>
      </c>
      <c r="AO108" s="9">
        <f t="shared" si="40"/>
        <v>1538719</v>
      </c>
      <c r="AP108" s="9">
        <f t="shared" si="53"/>
        <v>2180919</v>
      </c>
      <c r="AQ108" s="9">
        <f t="shared" si="54"/>
        <v>2180919</v>
      </c>
      <c r="AR108" s="291">
        <v>2099315</v>
      </c>
      <c r="AS108" s="9">
        <f t="shared" si="55"/>
        <v>81604</v>
      </c>
      <c r="AT108" s="297" t="str">
        <f t="shared" si="56"/>
        <v>Yes</v>
      </c>
      <c r="AU108" s="357">
        <v>1837504</v>
      </c>
      <c r="AV108" s="291">
        <f t="shared" si="41"/>
        <v>8698.9863999999998</v>
      </c>
      <c r="AW108" s="291">
        <f t="shared" si="57"/>
        <v>1846202.9864000001</v>
      </c>
      <c r="AX108" s="291">
        <f t="shared" si="42"/>
        <v>1846202.9864000001</v>
      </c>
      <c r="AY108" s="358">
        <f t="shared" si="58"/>
        <v>8698.9864000000525</v>
      </c>
      <c r="AZ108" s="301"/>
      <c r="BA108" s="301"/>
      <c r="BB108" s="302"/>
      <c r="BC108" s="291"/>
      <c r="BD108" s="298"/>
      <c r="BF108" s="298"/>
      <c r="BG108" s="298"/>
      <c r="BK108" s="298"/>
      <c r="BL108" s="298"/>
      <c r="BM108" s="298"/>
      <c r="BN108" s="298"/>
      <c r="BO108" s="298"/>
    </row>
    <row r="109" spans="1:67" ht="15" x14ac:dyDescent="0.2">
      <c r="A109" s="10" t="s">
        <v>19</v>
      </c>
      <c r="B109" s="10"/>
      <c r="C109" s="276">
        <v>1</v>
      </c>
      <c r="D109" s="276">
        <v>1</v>
      </c>
      <c r="E109" s="276"/>
      <c r="F109" s="8">
        <v>9</v>
      </c>
      <c r="G109" s="359">
        <v>31</v>
      </c>
      <c r="H109" s="10">
        <v>83</v>
      </c>
      <c r="I109" s="7" t="s">
        <v>95</v>
      </c>
      <c r="J109" s="287"/>
      <c r="K109" s="356">
        <v>4603.3500000000004</v>
      </c>
      <c r="L109" s="359"/>
      <c r="M109" s="289"/>
      <c r="N109" s="357">
        <v>2144</v>
      </c>
      <c r="O109" s="290">
        <f t="shared" si="31"/>
        <v>0.46574777064529088</v>
      </c>
      <c r="P109" s="290">
        <f t="shared" si="43"/>
        <v>0</v>
      </c>
      <c r="Q109" s="291">
        <f t="shared" si="32"/>
        <v>0</v>
      </c>
      <c r="R109" s="291">
        <f t="shared" si="44"/>
        <v>0</v>
      </c>
      <c r="S109" s="357">
        <v>166</v>
      </c>
      <c r="T109" s="292">
        <f t="shared" si="33"/>
        <v>643.20000000000005</v>
      </c>
      <c r="U109" s="254">
        <f t="shared" si="45"/>
        <v>5288.05</v>
      </c>
      <c r="V109" s="356">
        <v>5114946730.6700001</v>
      </c>
      <c r="W109" s="357">
        <v>46473</v>
      </c>
      <c r="X109" s="264">
        <f t="shared" si="34"/>
        <v>110062.76</v>
      </c>
      <c r="Y109" s="293">
        <f t="shared" si="35"/>
        <v>0.57167500000000004</v>
      </c>
      <c r="Z109" s="357">
        <v>67651</v>
      </c>
      <c r="AA109" s="293">
        <f t="shared" si="36"/>
        <v>0.561446</v>
      </c>
      <c r="AB109" s="293">
        <f t="shared" si="37"/>
        <v>0.431394</v>
      </c>
      <c r="AC109" s="294">
        <f t="shared" si="38"/>
        <v>0.431394</v>
      </c>
      <c r="AD109" s="295">
        <f t="shared" si="46"/>
        <v>0</v>
      </c>
      <c r="AE109" s="296">
        <f t="shared" si="47"/>
        <v>0.431394</v>
      </c>
      <c r="AF109" s="357">
        <v>0</v>
      </c>
      <c r="AG109" s="357">
        <v>0</v>
      </c>
      <c r="AH109" s="254">
        <f t="shared" si="48"/>
        <v>0</v>
      </c>
      <c r="AI109" s="9">
        <f t="shared" si="39"/>
        <v>0</v>
      </c>
      <c r="AJ109" s="9">
        <v>0</v>
      </c>
      <c r="AK109" s="9">
        <f t="shared" si="49"/>
        <v>0</v>
      </c>
      <c r="AL109" s="9">
        <f t="shared" si="50"/>
        <v>0</v>
      </c>
      <c r="AM109" s="9">
        <f t="shared" si="51"/>
        <v>0</v>
      </c>
      <c r="AN109" s="9">
        <f t="shared" si="52"/>
        <v>0</v>
      </c>
      <c r="AO109" s="9">
        <f t="shared" si="40"/>
        <v>26291211</v>
      </c>
      <c r="AP109" s="9">
        <f t="shared" si="53"/>
        <v>26291211</v>
      </c>
      <c r="AQ109" s="9">
        <f t="shared" si="54"/>
        <v>26291211</v>
      </c>
      <c r="AR109" s="291">
        <v>19515825</v>
      </c>
      <c r="AS109" s="9">
        <f t="shared" si="55"/>
        <v>6775386</v>
      </c>
      <c r="AT109" s="297" t="str">
        <f t="shared" si="56"/>
        <v>Yes</v>
      </c>
      <c r="AU109" s="357">
        <v>21551965</v>
      </c>
      <c r="AV109" s="291">
        <f t="shared" si="41"/>
        <v>722256.14760000003</v>
      </c>
      <c r="AW109" s="291">
        <f t="shared" si="57"/>
        <v>22274221.147599999</v>
      </c>
      <c r="AX109" s="291">
        <f t="shared" si="42"/>
        <v>22274221.147599999</v>
      </c>
      <c r="AY109" s="358">
        <f t="shared" si="58"/>
        <v>722256.14759999886</v>
      </c>
      <c r="AZ109" s="301"/>
      <c r="BA109" s="301"/>
      <c r="BB109" s="302"/>
      <c r="BC109" s="291"/>
      <c r="BD109" s="298"/>
      <c r="BF109" s="298"/>
      <c r="BG109" s="298"/>
      <c r="BK109" s="298"/>
      <c r="BL109" s="298"/>
      <c r="BM109" s="298"/>
      <c r="BN109" s="298"/>
      <c r="BO109" s="298"/>
    </row>
    <row r="110" spans="1:67" ht="15" x14ac:dyDescent="0.2">
      <c r="A110" s="10" t="s">
        <v>14</v>
      </c>
      <c r="B110" s="10"/>
      <c r="C110" s="276"/>
      <c r="D110" s="276"/>
      <c r="E110" s="276"/>
      <c r="F110" s="8">
        <v>6</v>
      </c>
      <c r="G110" s="355">
        <v>80</v>
      </c>
      <c r="H110" s="10">
        <v>84</v>
      </c>
      <c r="I110" s="7" t="s">
        <v>96</v>
      </c>
      <c r="J110" s="287"/>
      <c r="K110" s="356">
        <v>5426.46</v>
      </c>
      <c r="L110" s="355"/>
      <c r="M110" s="289"/>
      <c r="N110" s="357">
        <v>1551</v>
      </c>
      <c r="O110" s="290">
        <f t="shared" si="31"/>
        <v>0.2858216959122522</v>
      </c>
      <c r="P110" s="290">
        <f t="shared" si="43"/>
        <v>0</v>
      </c>
      <c r="Q110" s="291">
        <f t="shared" si="32"/>
        <v>0</v>
      </c>
      <c r="R110" s="291">
        <f t="shared" si="44"/>
        <v>0</v>
      </c>
      <c r="S110" s="357">
        <v>128</v>
      </c>
      <c r="T110" s="292">
        <f t="shared" si="33"/>
        <v>465.3</v>
      </c>
      <c r="U110" s="254">
        <f t="shared" si="45"/>
        <v>5923.76</v>
      </c>
      <c r="V110" s="356">
        <v>9672348317.3299999</v>
      </c>
      <c r="W110" s="357">
        <v>54047</v>
      </c>
      <c r="X110" s="264">
        <f t="shared" si="34"/>
        <v>178961.8</v>
      </c>
      <c r="Y110" s="293">
        <f t="shared" si="35"/>
        <v>0.92954199999999998</v>
      </c>
      <c r="Z110" s="357">
        <v>89778</v>
      </c>
      <c r="AA110" s="293">
        <f t="shared" si="36"/>
        <v>0.74508099999999999</v>
      </c>
      <c r="AB110" s="293">
        <f t="shared" si="37"/>
        <v>0.12579599999999999</v>
      </c>
      <c r="AC110" s="294">
        <f t="shared" si="38"/>
        <v>0.12579599999999999</v>
      </c>
      <c r="AD110" s="295">
        <f t="shared" si="46"/>
        <v>0</v>
      </c>
      <c r="AE110" s="296">
        <f t="shared" si="47"/>
        <v>0.12579599999999999</v>
      </c>
      <c r="AF110" s="357">
        <v>0</v>
      </c>
      <c r="AG110" s="357">
        <v>0</v>
      </c>
      <c r="AH110" s="254">
        <f t="shared" si="48"/>
        <v>0</v>
      </c>
      <c r="AI110" s="9">
        <f t="shared" si="39"/>
        <v>0</v>
      </c>
      <c r="AJ110" s="9">
        <v>0</v>
      </c>
      <c r="AK110" s="9">
        <f t="shared" si="49"/>
        <v>0</v>
      </c>
      <c r="AL110" s="9">
        <f t="shared" si="50"/>
        <v>0</v>
      </c>
      <c r="AM110" s="9">
        <f t="shared" si="51"/>
        <v>0</v>
      </c>
      <c r="AN110" s="9">
        <f t="shared" si="52"/>
        <v>0</v>
      </c>
      <c r="AO110" s="9">
        <f t="shared" si="40"/>
        <v>8588261</v>
      </c>
      <c r="AP110" s="9">
        <f t="shared" si="53"/>
        <v>8588261</v>
      </c>
      <c r="AQ110" s="9">
        <f t="shared" si="54"/>
        <v>8588261</v>
      </c>
      <c r="AR110" s="291">
        <v>10849101</v>
      </c>
      <c r="AS110" s="9">
        <f t="shared" si="55"/>
        <v>2260840</v>
      </c>
      <c r="AT110" s="297" t="str">
        <f t="shared" si="56"/>
        <v>No</v>
      </c>
      <c r="AU110" s="357">
        <v>9673235</v>
      </c>
      <c r="AV110" s="291">
        <f t="shared" si="41"/>
        <v>188327.97200000001</v>
      </c>
      <c r="AW110" s="291">
        <f t="shared" si="57"/>
        <v>9673235</v>
      </c>
      <c r="AX110" s="291">
        <f t="shared" si="42"/>
        <v>9673235</v>
      </c>
      <c r="AY110" s="358">
        <f t="shared" si="58"/>
        <v>0</v>
      </c>
      <c r="AZ110" s="301"/>
      <c r="BA110" s="301"/>
      <c r="BB110" s="302"/>
      <c r="BC110" s="291"/>
      <c r="BD110" s="298"/>
      <c r="BF110" s="298"/>
      <c r="BG110" s="298"/>
      <c r="BK110" s="298"/>
      <c r="BL110" s="298"/>
      <c r="BM110" s="298"/>
      <c r="BN110" s="298"/>
      <c r="BO110" s="298"/>
    </row>
    <row r="111" spans="1:67" ht="15" x14ac:dyDescent="0.2">
      <c r="A111" s="10" t="s">
        <v>10</v>
      </c>
      <c r="B111" s="10"/>
      <c r="C111" s="276"/>
      <c r="D111" s="276"/>
      <c r="E111" s="276"/>
      <c r="F111" s="8">
        <v>3</v>
      </c>
      <c r="G111" s="355">
        <v>77</v>
      </c>
      <c r="H111" s="10">
        <v>85</v>
      </c>
      <c r="I111" s="7" t="s">
        <v>97</v>
      </c>
      <c r="J111" s="287"/>
      <c r="K111" s="356">
        <v>3202.95</v>
      </c>
      <c r="L111" s="355"/>
      <c r="M111" s="289"/>
      <c r="N111" s="357">
        <v>350</v>
      </c>
      <c r="O111" s="290">
        <f t="shared" si="31"/>
        <v>0.10927426278899141</v>
      </c>
      <c r="P111" s="290">
        <f t="shared" si="43"/>
        <v>0</v>
      </c>
      <c r="Q111" s="291">
        <f t="shared" si="32"/>
        <v>0</v>
      </c>
      <c r="R111" s="291">
        <f t="shared" si="44"/>
        <v>0</v>
      </c>
      <c r="S111" s="357">
        <v>36</v>
      </c>
      <c r="T111" s="292">
        <f t="shared" si="33"/>
        <v>105</v>
      </c>
      <c r="U111" s="254">
        <f t="shared" si="45"/>
        <v>3316.95</v>
      </c>
      <c r="V111" s="356">
        <v>3241585331.3299999</v>
      </c>
      <c r="W111" s="357">
        <v>19621</v>
      </c>
      <c r="X111" s="264">
        <f t="shared" si="34"/>
        <v>165210</v>
      </c>
      <c r="Y111" s="293">
        <f t="shared" si="35"/>
        <v>0.85811400000000004</v>
      </c>
      <c r="Z111" s="357">
        <v>115049</v>
      </c>
      <c r="AA111" s="293">
        <f t="shared" si="36"/>
        <v>0.95480900000000002</v>
      </c>
      <c r="AB111" s="293">
        <f t="shared" si="37"/>
        <v>0.11287800000000001</v>
      </c>
      <c r="AC111" s="294">
        <f t="shared" si="38"/>
        <v>0.11287800000000001</v>
      </c>
      <c r="AD111" s="295">
        <f t="shared" si="46"/>
        <v>0</v>
      </c>
      <c r="AE111" s="296">
        <f t="shared" si="47"/>
        <v>0.11287800000000001</v>
      </c>
      <c r="AF111" s="357">
        <v>0</v>
      </c>
      <c r="AG111" s="357">
        <v>0</v>
      </c>
      <c r="AH111" s="254">
        <f t="shared" si="48"/>
        <v>0</v>
      </c>
      <c r="AI111" s="9">
        <f t="shared" si="39"/>
        <v>0</v>
      </c>
      <c r="AJ111" s="9">
        <v>0</v>
      </c>
      <c r="AK111" s="9">
        <f t="shared" si="49"/>
        <v>0</v>
      </c>
      <c r="AL111" s="9">
        <f t="shared" si="50"/>
        <v>0</v>
      </c>
      <c r="AM111" s="9">
        <f t="shared" si="51"/>
        <v>0</v>
      </c>
      <c r="AN111" s="9">
        <f t="shared" si="52"/>
        <v>0</v>
      </c>
      <c r="AO111" s="9">
        <f t="shared" si="40"/>
        <v>4315083</v>
      </c>
      <c r="AP111" s="9">
        <f t="shared" si="53"/>
        <v>4315083</v>
      </c>
      <c r="AQ111" s="9">
        <f t="shared" si="54"/>
        <v>4315083</v>
      </c>
      <c r="AR111" s="291">
        <v>6394518</v>
      </c>
      <c r="AS111" s="9">
        <f t="shared" si="55"/>
        <v>2079435</v>
      </c>
      <c r="AT111" s="297" t="str">
        <f t="shared" si="56"/>
        <v>No</v>
      </c>
      <c r="AU111" s="357">
        <v>5272935</v>
      </c>
      <c r="AV111" s="291">
        <f t="shared" si="41"/>
        <v>173216.93549999999</v>
      </c>
      <c r="AW111" s="291">
        <f t="shared" si="57"/>
        <v>5272935</v>
      </c>
      <c r="AX111" s="291">
        <f t="shared" si="42"/>
        <v>5272935</v>
      </c>
      <c r="AY111" s="358">
        <f t="shared" si="58"/>
        <v>0</v>
      </c>
      <c r="AZ111" s="301"/>
      <c r="BA111" s="301"/>
      <c r="BB111" s="302"/>
      <c r="BC111" s="291"/>
      <c r="BD111" s="298"/>
      <c r="BF111" s="298"/>
      <c r="BG111" s="298"/>
      <c r="BK111" s="298"/>
      <c r="BL111" s="298"/>
      <c r="BM111" s="298"/>
      <c r="BN111" s="298"/>
      <c r="BO111" s="298"/>
    </row>
    <row r="112" spans="1:67" ht="15" x14ac:dyDescent="0.2">
      <c r="A112" s="10" t="s">
        <v>32</v>
      </c>
      <c r="B112" s="10"/>
      <c r="C112" s="276"/>
      <c r="D112" s="276"/>
      <c r="E112" s="276"/>
      <c r="F112" s="8">
        <v>8</v>
      </c>
      <c r="G112" s="359">
        <v>21</v>
      </c>
      <c r="H112" s="10">
        <v>86</v>
      </c>
      <c r="I112" s="7" t="s">
        <v>98</v>
      </c>
      <c r="J112" s="287"/>
      <c r="K112" s="356">
        <v>2127.64</v>
      </c>
      <c r="L112" s="359"/>
      <c r="M112" s="289"/>
      <c r="N112" s="357">
        <v>968</v>
      </c>
      <c r="O112" s="290">
        <f t="shared" si="31"/>
        <v>0.45496418567050817</v>
      </c>
      <c r="P112" s="290">
        <f t="shared" si="43"/>
        <v>0</v>
      </c>
      <c r="Q112" s="291">
        <f t="shared" si="32"/>
        <v>0</v>
      </c>
      <c r="R112" s="291">
        <f t="shared" si="44"/>
        <v>0</v>
      </c>
      <c r="S112" s="357">
        <v>97</v>
      </c>
      <c r="T112" s="292">
        <f t="shared" si="33"/>
        <v>290.39999999999998</v>
      </c>
      <c r="U112" s="254">
        <f t="shared" si="45"/>
        <v>2442.29</v>
      </c>
      <c r="V112" s="356">
        <v>1897089863.3299999</v>
      </c>
      <c r="W112" s="357">
        <v>19094</v>
      </c>
      <c r="X112" s="264">
        <f t="shared" si="34"/>
        <v>99355.29</v>
      </c>
      <c r="Y112" s="293">
        <f t="shared" si="35"/>
        <v>0.51605999999999996</v>
      </c>
      <c r="Z112" s="357">
        <v>73765</v>
      </c>
      <c r="AA112" s="293">
        <f t="shared" si="36"/>
        <v>0.61218700000000004</v>
      </c>
      <c r="AB112" s="293">
        <f t="shared" si="37"/>
        <v>0.45510200000000001</v>
      </c>
      <c r="AC112" s="294">
        <f t="shared" si="38"/>
        <v>0.45510200000000001</v>
      </c>
      <c r="AD112" s="295">
        <f t="shared" si="46"/>
        <v>0</v>
      </c>
      <c r="AE112" s="296">
        <f t="shared" si="47"/>
        <v>0.45510200000000001</v>
      </c>
      <c r="AF112" s="357">
        <v>0</v>
      </c>
      <c r="AG112" s="357">
        <v>0</v>
      </c>
      <c r="AH112" s="254">
        <f t="shared" si="48"/>
        <v>0</v>
      </c>
      <c r="AI112" s="9">
        <f t="shared" si="39"/>
        <v>0</v>
      </c>
      <c r="AJ112" s="9">
        <v>0</v>
      </c>
      <c r="AK112" s="9">
        <f t="shared" si="49"/>
        <v>0</v>
      </c>
      <c r="AL112" s="9">
        <f t="shared" si="50"/>
        <v>0</v>
      </c>
      <c r="AM112" s="9">
        <f t="shared" si="51"/>
        <v>0</v>
      </c>
      <c r="AN112" s="9">
        <f t="shared" si="52"/>
        <v>0</v>
      </c>
      <c r="AO112" s="9">
        <f t="shared" si="40"/>
        <v>12809935</v>
      </c>
      <c r="AP112" s="9">
        <f t="shared" si="53"/>
        <v>12809935</v>
      </c>
      <c r="AQ112" s="9">
        <f t="shared" si="54"/>
        <v>12809935</v>
      </c>
      <c r="AR112" s="291">
        <v>12589621</v>
      </c>
      <c r="AS112" s="9">
        <f t="shared" si="55"/>
        <v>220314</v>
      </c>
      <c r="AT112" s="297" t="str">
        <f t="shared" si="56"/>
        <v>Yes</v>
      </c>
      <c r="AU112" s="357">
        <v>12779336</v>
      </c>
      <c r="AV112" s="291">
        <f t="shared" si="41"/>
        <v>23485.472399999999</v>
      </c>
      <c r="AW112" s="291">
        <f t="shared" si="57"/>
        <v>12802821.4724</v>
      </c>
      <c r="AX112" s="291">
        <f t="shared" si="42"/>
        <v>12802821.4724</v>
      </c>
      <c r="AY112" s="358">
        <f t="shared" si="58"/>
        <v>23485.472400000319</v>
      </c>
      <c r="AZ112" s="301"/>
      <c r="BA112" s="301"/>
      <c r="BB112" s="302"/>
      <c r="BC112" s="291"/>
      <c r="BD112" s="298"/>
      <c r="BF112" s="298"/>
      <c r="BG112" s="298"/>
      <c r="BK112" s="298"/>
      <c r="BL112" s="298"/>
      <c r="BM112" s="298"/>
      <c r="BN112" s="298"/>
      <c r="BO112" s="298"/>
    </row>
    <row r="113" spans="1:67" ht="15" x14ac:dyDescent="0.2">
      <c r="A113" s="10" t="s">
        <v>8</v>
      </c>
      <c r="B113" s="10"/>
      <c r="C113" s="276"/>
      <c r="D113" s="276"/>
      <c r="E113" s="276"/>
      <c r="F113" s="8">
        <v>3</v>
      </c>
      <c r="G113" s="355">
        <v>133</v>
      </c>
      <c r="H113" s="10">
        <v>87</v>
      </c>
      <c r="I113" s="7" t="s">
        <v>99</v>
      </c>
      <c r="J113" s="287"/>
      <c r="K113" s="356">
        <v>215.58</v>
      </c>
      <c r="L113" s="355"/>
      <c r="M113" s="289"/>
      <c r="N113" s="357">
        <v>65</v>
      </c>
      <c r="O113" s="290">
        <f t="shared" si="31"/>
        <v>0.30151219964746262</v>
      </c>
      <c r="P113" s="290">
        <f t="shared" si="43"/>
        <v>0</v>
      </c>
      <c r="Q113" s="291">
        <f t="shared" si="32"/>
        <v>0</v>
      </c>
      <c r="R113" s="291">
        <f t="shared" si="44"/>
        <v>0</v>
      </c>
      <c r="S113" s="357">
        <v>4</v>
      </c>
      <c r="T113" s="292">
        <f t="shared" si="33"/>
        <v>19.5</v>
      </c>
      <c r="U113" s="254">
        <f t="shared" si="45"/>
        <v>236.08</v>
      </c>
      <c r="V113" s="356">
        <v>476416325.67000002</v>
      </c>
      <c r="W113" s="357">
        <v>2288</v>
      </c>
      <c r="X113" s="264">
        <f t="shared" si="34"/>
        <v>208223.92</v>
      </c>
      <c r="Y113" s="293">
        <f t="shared" si="35"/>
        <v>1.0815319999999999</v>
      </c>
      <c r="Z113" s="357">
        <v>94500</v>
      </c>
      <c r="AA113" s="293">
        <f t="shared" si="36"/>
        <v>0.78427000000000002</v>
      </c>
      <c r="AB113" s="293">
        <f t="shared" si="37"/>
        <v>7.6470000000000002E-3</v>
      </c>
      <c r="AC113" s="294">
        <f t="shared" si="38"/>
        <v>0.01</v>
      </c>
      <c r="AD113" s="295">
        <f t="shared" si="46"/>
        <v>0</v>
      </c>
      <c r="AE113" s="296">
        <f t="shared" si="47"/>
        <v>0.01</v>
      </c>
      <c r="AF113" s="357">
        <v>218</v>
      </c>
      <c r="AG113" s="357">
        <v>13</v>
      </c>
      <c r="AH113" s="254">
        <f t="shared" si="48"/>
        <v>1300</v>
      </c>
      <c r="AI113" s="9">
        <f t="shared" si="39"/>
        <v>283400</v>
      </c>
      <c r="AJ113" s="9">
        <v>0</v>
      </c>
      <c r="AK113" s="9">
        <f t="shared" si="49"/>
        <v>0</v>
      </c>
      <c r="AL113" s="9">
        <f t="shared" si="50"/>
        <v>0</v>
      </c>
      <c r="AM113" s="9">
        <f t="shared" si="51"/>
        <v>0</v>
      </c>
      <c r="AN113" s="9">
        <f t="shared" si="52"/>
        <v>283400</v>
      </c>
      <c r="AO113" s="9">
        <f t="shared" si="40"/>
        <v>27208</v>
      </c>
      <c r="AP113" s="9">
        <f t="shared" si="53"/>
        <v>310608</v>
      </c>
      <c r="AQ113" s="9">
        <f t="shared" si="54"/>
        <v>310608</v>
      </c>
      <c r="AR113" s="291">
        <v>102178</v>
      </c>
      <c r="AS113" s="9">
        <f t="shared" si="55"/>
        <v>208430</v>
      </c>
      <c r="AT113" s="297" t="str">
        <f t="shared" si="56"/>
        <v>Yes</v>
      </c>
      <c r="AU113" s="357">
        <v>109929</v>
      </c>
      <c r="AV113" s="291">
        <f t="shared" si="41"/>
        <v>22218.637999999999</v>
      </c>
      <c r="AW113" s="291">
        <f t="shared" si="57"/>
        <v>132147.63800000001</v>
      </c>
      <c r="AX113" s="291">
        <f t="shared" si="42"/>
        <v>132147.63800000001</v>
      </c>
      <c r="AY113" s="358">
        <f t="shared" si="58"/>
        <v>22218.638000000006</v>
      </c>
      <c r="AZ113" s="301"/>
      <c r="BA113" s="301"/>
      <c r="BB113" s="302"/>
      <c r="BC113" s="291"/>
      <c r="BD113" s="298"/>
      <c r="BF113" s="298"/>
      <c r="BG113" s="298"/>
      <c r="BK113" s="298"/>
      <c r="BL113" s="298"/>
      <c r="BM113" s="298"/>
      <c r="BN113" s="298"/>
      <c r="BO113" s="298"/>
    </row>
    <row r="114" spans="1:67" ht="15" x14ac:dyDescent="0.2">
      <c r="A114" s="10" t="s">
        <v>19</v>
      </c>
      <c r="B114" s="10"/>
      <c r="C114" s="276">
        <v>1</v>
      </c>
      <c r="D114" s="276">
        <v>1</v>
      </c>
      <c r="E114" s="276"/>
      <c r="F114" s="8">
        <v>10</v>
      </c>
      <c r="G114" s="359">
        <v>13</v>
      </c>
      <c r="H114" s="10">
        <v>88</v>
      </c>
      <c r="I114" s="7" t="s">
        <v>100</v>
      </c>
      <c r="J114" s="287"/>
      <c r="K114" s="356">
        <v>4538.93</v>
      </c>
      <c r="L114" s="359"/>
      <c r="M114" s="289"/>
      <c r="N114" s="357">
        <v>2562</v>
      </c>
      <c r="O114" s="290">
        <f t="shared" si="31"/>
        <v>0.56445021183406663</v>
      </c>
      <c r="P114" s="290">
        <f t="shared" si="43"/>
        <v>0</v>
      </c>
      <c r="Q114" s="291">
        <f t="shared" si="32"/>
        <v>0</v>
      </c>
      <c r="R114" s="291">
        <f t="shared" si="44"/>
        <v>0</v>
      </c>
      <c r="S114" s="357">
        <v>337</v>
      </c>
      <c r="T114" s="292">
        <f t="shared" si="33"/>
        <v>768.6</v>
      </c>
      <c r="U114" s="254">
        <f t="shared" si="45"/>
        <v>5391.7800000000007</v>
      </c>
      <c r="V114" s="356">
        <v>2395636456.6700001</v>
      </c>
      <c r="W114" s="357">
        <v>31481</v>
      </c>
      <c r="X114" s="264">
        <f t="shared" si="34"/>
        <v>76097.850000000006</v>
      </c>
      <c r="Y114" s="293">
        <f t="shared" si="35"/>
        <v>0.395258</v>
      </c>
      <c r="Z114" s="357">
        <v>70512</v>
      </c>
      <c r="AA114" s="293">
        <f t="shared" si="36"/>
        <v>0.58518999999999999</v>
      </c>
      <c r="AB114" s="293">
        <f t="shared" si="37"/>
        <v>0.54776199999999997</v>
      </c>
      <c r="AC114" s="294">
        <f t="shared" si="38"/>
        <v>0.54776199999999997</v>
      </c>
      <c r="AD114" s="295">
        <f t="shared" si="46"/>
        <v>0.04</v>
      </c>
      <c r="AE114" s="296">
        <f t="shared" si="47"/>
        <v>0.58776200000000001</v>
      </c>
      <c r="AF114" s="357">
        <v>0</v>
      </c>
      <c r="AG114" s="357">
        <v>0</v>
      </c>
      <c r="AH114" s="254">
        <f t="shared" si="48"/>
        <v>0</v>
      </c>
      <c r="AI114" s="9">
        <f t="shared" si="39"/>
        <v>0</v>
      </c>
      <c r="AJ114" s="9">
        <v>0</v>
      </c>
      <c r="AK114" s="9">
        <f t="shared" si="49"/>
        <v>0</v>
      </c>
      <c r="AL114" s="9">
        <f t="shared" si="50"/>
        <v>0</v>
      </c>
      <c r="AM114" s="9">
        <f t="shared" si="51"/>
        <v>0</v>
      </c>
      <c r="AN114" s="9">
        <f t="shared" si="52"/>
        <v>0</v>
      </c>
      <c r="AO114" s="9">
        <f t="shared" si="40"/>
        <v>36523686</v>
      </c>
      <c r="AP114" s="9">
        <f t="shared" si="53"/>
        <v>36523686</v>
      </c>
      <c r="AQ114" s="9">
        <f t="shared" si="54"/>
        <v>36523686</v>
      </c>
      <c r="AR114" s="291">
        <v>30280380</v>
      </c>
      <c r="AS114" s="9">
        <f t="shared" si="55"/>
        <v>6243306</v>
      </c>
      <c r="AT114" s="297" t="str">
        <f t="shared" si="56"/>
        <v>Yes</v>
      </c>
      <c r="AU114" s="357">
        <v>32037303</v>
      </c>
      <c r="AV114" s="291">
        <f t="shared" si="41"/>
        <v>665536.41960000002</v>
      </c>
      <c r="AW114" s="291">
        <f t="shared" si="57"/>
        <v>32702839.419599999</v>
      </c>
      <c r="AX114" s="291">
        <f t="shared" si="42"/>
        <v>32702839.419599999</v>
      </c>
      <c r="AY114" s="358">
        <f t="shared" si="58"/>
        <v>665536.41959999874</v>
      </c>
      <c r="AZ114" s="301"/>
      <c r="BA114" s="301"/>
      <c r="BB114" s="302"/>
      <c r="BC114" s="291"/>
      <c r="BD114" s="298"/>
      <c r="BF114" s="298"/>
      <c r="BG114" s="298"/>
      <c r="BK114" s="298"/>
      <c r="BL114" s="298"/>
      <c r="BM114" s="298"/>
      <c r="BN114" s="298"/>
      <c r="BO114" s="298"/>
    </row>
    <row r="115" spans="1:67" ht="15" x14ac:dyDescent="0.2">
      <c r="A115" s="10" t="s">
        <v>24</v>
      </c>
      <c r="B115" s="10">
        <v>1</v>
      </c>
      <c r="C115" s="276">
        <v>1</v>
      </c>
      <c r="D115" s="276">
        <v>0</v>
      </c>
      <c r="E115" s="276">
        <v>1</v>
      </c>
      <c r="F115" s="8">
        <v>10</v>
      </c>
      <c r="G115" s="359">
        <v>3</v>
      </c>
      <c r="H115" s="10">
        <v>89</v>
      </c>
      <c r="I115" s="7" t="s">
        <v>101</v>
      </c>
      <c r="J115" s="287"/>
      <c r="K115" s="356">
        <v>11097.79</v>
      </c>
      <c r="L115" s="359"/>
      <c r="M115" s="289"/>
      <c r="N115" s="357">
        <v>8178</v>
      </c>
      <c r="O115" s="290">
        <f t="shared" si="31"/>
        <v>0.73690347357446839</v>
      </c>
      <c r="P115" s="290">
        <f t="shared" si="43"/>
        <v>0.13690347357446842</v>
      </c>
      <c r="Q115" s="291">
        <f t="shared" si="32"/>
        <v>1519.326</v>
      </c>
      <c r="R115" s="291">
        <f t="shared" si="44"/>
        <v>227.8989</v>
      </c>
      <c r="S115" s="357">
        <v>1815</v>
      </c>
      <c r="T115" s="292">
        <f t="shared" si="33"/>
        <v>2453.4</v>
      </c>
      <c r="U115" s="254">
        <f t="shared" si="45"/>
        <v>14232.838900000001</v>
      </c>
      <c r="V115" s="356">
        <v>3969245273.3299999</v>
      </c>
      <c r="W115" s="357">
        <v>72839</v>
      </c>
      <c r="X115" s="264">
        <f t="shared" si="34"/>
        <v>54493.41</v>
      </c>
      <c r="Y115" s="293">
        <f t="shared" si="35"/>
        <v>0.28304299999999999</v>
      </c>
      <c r="Z115" s="357">
        <v>45258</v>
      </c>
      <c r="AA115" s="293">
        <f t="shared" si="36"/>
        <v>0.37560300000000002</v>
      </c>
      <c r="AB115" s="293">
        <f t="shared" si="37"/>
        <v>0.68918900000000005</v>
      </c>
      <c r="AC115" s="294">
        <f t="shared" si="38"/>
        <v>0.68918900000000005</v>
      </c>
      <c r="AD115" s="295">
        <f t="shared" si="46"/>
        <v>0.06</v>
      </c>
      <c r="AE115" s="296">
        <f t="shared" si="47"/>
        <v>0.7491890000000001</v>
      </c>
      <c r="AF115" s="357">
        <v>0</v>
      </c>
      <c r="AG115" s="357">
        <v>0</v>
      </c>
      <c r="AH115" s="254">
        <f t="shared" si="48"/>
        <v>0</v>
      </c>
      <c r="AI115" s="9">
        <f t="shared" si="39"/>
        <v>0</v>
      </c>
      <c r="AJ115" s="9">
        <v>0</v>
      </c>
      <c r="AK115" s="9">
        <f t="shared" si="49"/>
        <v>0</v>
      </c>
      <c r="AL115" s="9">
        <f t="shared" si="50"/>
        <v>0</v>
      </c>
      <c r="AM115" s="9">
        <f t="shared" si="51"/>
        <v>0</v>
      </c>
      <c r="AN115" s="9">
        <f t="shared" si="52"/>
        <v>0</v>
      </c>
      <c r="AO115" s="9">
        <f t="shared" si="40"/>
        <v>122892070</v>
      </c>
      <c r="AP115" s="9">
        <f t="shared" si="53"/>
        <v>122892070</v>
      </c>
      <c r="AQ115" s="9">
        <f t="shared" si="54"/>
        <v>122892070</v>
      </c>
      <c r="AR115" s="291">
        <v>86195269</v>
      </c>
      <c r="AS115" s="9">
        <f t="shared" si="55"/>
        <v>36696801</v>
      </c>
      <c r="AT115" s="297" t="str">
        <f t="shared" si="56"/>
        <v>Yes</v>
      </c>
      <c r="AU115" s="357">
        <v>95776383</v>
      </c>
      <c r="AV115" s="291">
        <f t="shared" si="41"/>
        <v>3911878.9865999999</v>
      </c>
      <c r="AW115" s="291">
        <f t="shared" si="57"/>
        <v>99688261.986599997</v>
      </c>
      <c r="AX115" s="291">
        <f t="shared" si="42"/>
        <v>99688261.986599997</v>
      </c>
      <c r="AY115" s="358">
        <f t="shared" si="58"/>
        <v>3911878.9865999967</v>
      </c>
      <c r="AZ115" s="301"/>
      <c r="BA115" s="301"/>
      <c r="BB115" s="302"/>
      <c r="BC115" s="291"/>
      <c r="BD115" s="298"/>
      <c r="BF115" s="298"/>
      <c r="BG115" s="298"/>
      <c r="BK115" s="298"/>
      <c r="BL115" s="298"/>
      <c r="BM115" s="298"/>
      <c r="BN115" s="298"/>
      <c r="BO115" s="298"/>
    </row>
    <row r="116" spans="1:67" ht="15" x14ac:dyDescent="0.2">
      <c r="A116" s="10" t="s">
        <v>46</v>
      </c>
      <c r="B116" s="10"/>
      <c r="C116" s="276"/>
      <c r="D116" s="276"/>
      <c r="E116" s="276"/>
      <c r="F116" s="8">
        <v>1</v>
      </c>
      <c r="G116" s="355">
        <v>168</v>
      </c>
      <c r="H116" s="10">
        <v>90</v>
      </c>
      <c r="I116" s="7" t="s">
        <v>102</v>
      </c>
      <c r="J116" s="287"/>
      <c r="K116" s="356">
        <v>4230.76</v>
      </c>
      <c r="L116" s="355"/>
      <c r="M116" s="289"/>
      <c r="N116" s="357">
        <v>5</v>
      </c>
      <c r="O116" s="290">
        <f t="shared" si="31"/>
        <v>1.1818207603362042E-3</v>
      </c>
      <c r="P116" s="290">
        <f t="shared" si="43"/>
        <v>0</v>
      </c>
      <c r="Q116" s="291">
        <f t="shared" si="32"/>
        <v>0</v>
      </c>
      <c r="R116" s="291">
        <f t="shared" si="44"/>
        <v>0</v>
      </c>
      <c r="S116" s="357">
        <v>29</v>
      </c>
      <c r="T116" s="292">
        <f t="shared" si="33"/>
        <v>1.5</v>
      </c>
      <c r="U116" s="254">
        <f t="shared" si="45"/>
        <v>4239.51</v>
      </c>
      <c r="V116" s="356">
        <v>11466893202.33</v>
      </c>
      <c r="W116" s="357">
        <v>20273</v>
      </c>
      <c r="X116" s="264">
        <f t="shared" si="34"/>
        <v>565623.89</v>
      </c>
      <c r="Y116" s="293">
        <f t="shared" si="35"/>
        <v>2.937897</v>
      </c>
      <c r="Z116" s="357">
        <v>192428</v>
      </c>
      <c r="AA116" s="293">
        <f t="shared" si="36"/>
        <v>1.596989</v>
      </c>
      <c r="AB116" s="293">
        <f t="shared" si="37"/>
        <v>-1.535625</v>
      </c>
      <c r="AC116" s="294">
        <f t="shared" si="38"/>
        <v>0.01</v>
      </c>
      <c r="AD116" s="295">
        <f t="shared" si="46"/>
        <v>0</v>
      </c>
      <c r="AE116" s="296">
        <f t="shared" si="47"/>
        <v>0.01</v>
      </c>
      <c r="AF116" s="357">
        <v>0</v>
      </c>
      <c r="AG116" s="357">
        <v>0</v>
      </c>
      <c r="AH116" s="254">
        <f t="shared" si="48"/>
        <v>0</v>
      </c>
      <c r="AI116" s="9">
        <f t="shared" si="39"/>
        <v>0</v>
      </c>
      <c r="AJ116" s="9">
        <v>0</v>
      </c>
      <c r="AK116" s="9">
        <f t="shared" si="49"/>
        <v>0</v>
      </c>
      <c r="AL116" s="9">
        <f t="shared" si="50"/>
        <v>0</v>
      </c>
      <c r="AM116" s="9">
        <f t="shared" si="51"/>
        <v>0</v>
      </c>
      <c r="AN116" s="9">
        <f t="shared" si="52"/>
        <v>0</v>
      </c>
      <c r="AO116" s="9">
        <f t="shared" si="40"/>
        <v>488604</v>
      </c>
      <c r="AP116" s="9">
        <f t="shared" si="53"/>
        <v>488604</v>
      </c>
      <c r="AQ116" s="9">
        <f t="shared" si="54"/>
        <v>488604</v>
      </c>
      <c r="AR116" s="291">
        <v>339590</v>
      </c>
      <c r="AS116" s="9">
        <f t="shared" si="55"/>
        <v>149014</v>
      </c>
      <c r="AT116" s="297" t="str">
        <f t="shared" si="56"/>
        <v>Yes</v>
      </c>
      <c r="AU116" s="357">
        <v>377366</v>
      </c>
      <c r="AV116" s="291">
        <f t="shared" si="41"/>
        <v>15884.892400000001</v>
      </c>
      <c r="AW116" s="291">
        <f t="shared" si="57"/>
        <v>393250.89240000001</v>
      </c>
      <c r="AX116" s="291">
        <f t="shared" si="42"/>
        <v>393250.89240000001</v>
      </c>
      <c r="AY116" s="358">
        <f t="shared" si="58"/>
        <v>15884.892400000012</v>
      </c>
      <c r="AZ116" s="301"/>
      <c r="BA116" s="301"/>
      <c r="BB116" s="302"/>
      <c r="BC116" s="291"/>
      <c r="BD116" s="298"/>
      <c r="BF116" s="298"/>
      <c r="BG116" s="298"/>
      <c r="BK116" s="298"/>
      <c r="BL116" s="298"/>
      <c r="BM116" s="298"/>
      <c r="BN116" s="298"/>
      <c r="BO116" s="298"/>
    </row>
    <row r="117" spans="1:67" ht="15" x14ac:dyDescent="0.2">
      <c r="A117" s="10" t="s">
        <v>10</v>
      </c>
      <c r="B117" s="10"/>
      <c r="C117" s="276"/>
      <c r="D117" s="276"/>
      <c r="E117" s="276"/>
      <c r="F117" s="8">
        <v>3</v>
      </c>
      <c r="G117" s="355">
        <v>107</v>
      </c>
      <c r="H117" s="10">
        <v>91</v>
      </c>
      <c r="I117" s="7" t="s">
        <v>103</v>
      </c>
      <c r="J117" s="287"/>
      <c r="K117" s="356">
        <v>2053.7800000000002</v>
      </c>
      <c r="L117" s="355"/>
      <c r="M117" s="289"/>
      <c r="N117" s="357">
        <v>277</v>
      </c>
      <c r="O117" s="290">
        <f t="shared" si="31"/>
        <v>0.13487325808996092</v>
      </c>
      <c r="P117" s="290">
        <f t="shared" si="43"/>
        <v>0</v>
      </c>
      <c r="Q117" s="291">
        <f t="shared" si="32"/>
        <v>0</v>
      </c>
      <c r="R117" s="291">
        <f t="shared" si="44"/>
        <v>0</v>
      </c>
      <c r="S117" s="357">
        <v>80</v>
      </c>
      <c r="T117" s="292">
        <f t="shared" si="33"/>
        <v>83.1</v>
      </c>
      <c r="U117" s="254">
        <f t="shared" si="45"/>
        <v>2156.88</v>
      </c>
      <c r="V117" s="356">
        <v>2500958862</v>
      </c>
      <c r="W117" s="357">
        <v>13992</v>
      </c>
      <c r="X117" s="264">
        <f t="shared" si="34"/>
        <v>178742.06</v>
      </c>
      <c r="Y117" s="293">
        <f t="shared" si="35"/>
        <v>0.92840100000000003</v>
      </c>
      <c r="Z117" s="357">
        <v>107089</v>
      </c>
      <c r="AA117" s="293">
        <f t="shared" si="36"/>
        <v>0.88874799999999998</v>
      </c>
      <c r="AB117" s="293">
        <f t="shared" si="37"/>
        <v>8.3495E-2</v>
      </c>
      <c r="AC117" s="294">
        <f t="shared" si="38"/>
        <v>8.3495E-2</v>
      </c>
      <c r="AD117" s="295">
        <f t="shared" si="46"/>
        <v>0</v>
      </c>
      <c r="AE117" s="296">
        <f t="shared" si="47"/>
        <v>8.3495E-2</v>
      </c>
      <c r="AF117" s="357">
        <v>0</v>
      </c>
      <c r="AG117" s="357">
        <v>0</v>
      </c>
      <c r="AH117" s="254">
        <f t="shared" si="48"/>
        <v>0</v>
      </c>
      <c r="AI117" s="9">
        <f t="shared" si="39"/>
        <v>0</v>
      </c>
      <c r="AJ117" s="9">
        <v>0</v>
      </c>
      <c r="AK117" s="9">
        <f t="shared" si="49"/>
        <v>0</v>
      </c>
      <c r="AL117" s="9">
        <f t="shared" si="50"/>
        <v>0</v>
      </c>
      <c r="AM117" s="9">
        <f t="shared" si="51"/>
        <v>0</v>
      </c>
      <c r="AN117" s="9">
        <f t="shared" si="52"/>
        <v>0</v>
      </c>
      <c r="AO117" s="9">
        <f t="shared" si="40"/>
        <v>2075522</v>
      </c>
      <c r="AP117" s="9">
        <f t="shared" si="53"/>
        <v>2075522</v>
      </c>
      <c r="AQ117" s="9">
        <f t="shared" si="54"/>
        <v>2075522</v>
      </c>
      <c r="AR117" s="291">
        <v>4338569</v>
      </c>
      <c r="AS117" s="9">
        <f t="shared" si="55"/>
        <v>2263047</v>
      </c>
      <c r="AT117" s="297" t="str">
        <f t="shared" si="56"/>
        <v>No</v>
      </c>
      <c r="AU117" s="357">
        <v>3481120</v>
      </c>
      <c r="AV117" s="291">
        <f t="shared" si="41"/>
        <v>188511.81510000001</v>
      </c>
      <c r="AW117" s="291">
        <f t="shared" si="57"/>
        <v>3481120</v>
      </c>
      <c r="AX117" s="291">
        <f t="shared" si="42"/>
        <v>3481120</v>
      </c>
      <c r="AY117" s="358">
        <f t="shared" si="58"/>
        <v>0</v>
      </c>
      <c r="AZ117" s="301"/>
      <c r="BA117" s="301"/>
      <c r="BB117" s="302"/>
      <c r="BC117" s="291"/>
      <c r="BD117" s="298"/>
      <c r="BF117" s="298"/>
      <c r="BG117" s="298"/>
      <c r="BK117" s="298"/>
      <c r="BL117" s="298"/>
      <c r="BM117" s="298"/>
      <c r="BN117" s="298"/>
      <c r="BO117" s="298"/>
    </row>
    <row r="118" spans="1:67" ht="15" x14ac:dyDescent="0.2">
      <c r="A118" s="10" t="s">
        <v>4</v>
      </c>
      <c r="B118" s="10"/>
      <c r="C118" s="276"/>
      <c r="D118" s="276"/>
      <c r="E118" s="276"/>
      <c r="F118" s="8">
        <v>5</v>
      </c>
      <c r="G118" s="355">
        <v>111</v>
      </c>
      <c r="H118" s="10">
        <v>92</v>
      </c>
      <c r="I118" s="7" t="s">
        <v>104</v>
      </c>
      <c r="J118" s="287"/>
      <c r="K118" s="356">
        <v>882.86</v>
      </c>
      <c r="L118" s="355"/>
      <c r="M118" s="289"/>
      <c r="N118" s="357">
        <v>158</v>
      </c>
      <c r="O118" s="290">
        <f t="shared" si="31"/>
        <v>0.178963822123553</v>
      </c>
      <c r="P118" s="290">
        <f t="shared" si="43"/>
        <v>0</v>
      </c>
      <c r="Q118" s="291">
        <f t="shared" si="32"/>
        <v>0</v>
      </c>
      <c r="R118" s="291">
        <f t="shared" si="44"/>
        <v>0</v>
      </c>
      <c r="S118" s="357">
        <v>7</v>
      </c>
      <c r="T118" s="292">
        <f t="shared" si="33"/>
        <v>47.4</v>
      </c>
      <c r="U118" s="254">
        <f t="shared" si="45"/>
        <v>932.01</v>
      </c>
      <c r="V118" s="356">
        <v>968060648.66999996</v>
      </c>
      <c r="W118" s="357">
        <v>6755</v>
      </c>
      <c r="X118" s="264">
        <f t="shared" si="34"/>
        <v>143310.24</v>
      </c>
      <c r="Y118" s="293">
        <f t="shared" si="35"/>
        <v>0.74436500000000005</v>
      </c>
      <c r="Z118" s="357">
        <v>99926</v>
      </c>
      <c r="AA118" s="293">
        <f t="shared" si="36"/>
        <v>0.82930099999999995</v>
      </c>
      <c r="AB118" s="293">
        <f t="shared" si="37"/>
        <v>0.230154</v>
      </c>
      <c r="AC118" s="294">
        <f t="shared" si="38"/>
        <v>0.230154</v>
      </c>
      <c r="AD118" s="295">
        <f t="shared" si="46"/>
        <v>0</v>
      </c>
      <c r="AE118" s="296">
        <f t="shared" si="47"/>
        <v>0.230154</v>
      </c>
      <c r="AF118" s="357">
        <v>450</v>
      </c>
      <c r="AG118" s="357">
        <v>6</v>
      </c>
      <c r="AH118" s="254">
        <f t="shared" si="48"/>
        <v>600</v>
      </c>
      <c r="AI118" s="9">
        <f t="shared" si="39"/>
        <v>270000</v>
      </c>
      <c r="AJ118" s="9">
        <v>0</v>
      </c>
      <c r="AK118" s="9">
        <f t="shared" si="49"/>
        <v>0</v>
      </c>
      <c r="AL118" s="9">
        <f t="shared" si="50"/>
        <v>0</v>
      </c>
      <c r="AM118" s="9">
        <f t="shared" si="51"/>
        <v>0</v>
      </c>
      <c r="AN118" s="9">
        <f t="shared" si="52"/>
        <v>270000</v>
      </c>
      <c r="AO118" s="9">
        <f t="shared" si="40"/>
        <v>2472180</v>
      </c>
      <c r="AP118" s="9">
        <f t="shared" si="53"/>
        <v>2742180</v>
      </c>
      <c r="AQ118" s="9">
        <f t="shared" si="54"/>
        <v>2742180</v>
      </c>
      <c r="AR118" s="291">
        <v>3113169</v>
      </c>
      <c r="AS118" s="9">
        <f t="shared" si="55"/>
        <v>370989</v>
      </c>
      <c r="AT118" s="297" t="str">
        <f t="shared" si="56"/>
        <v>No</v>
      </c>
      <c r="AU118" s="357">
        <v>2913010</v>
      </c>
      <c r="AV118" s="291">
        <f t="shared" si="41"/>
        <v>30903.383699999998</v>
      </c>
      <c r="AW118" s="291">
        <f t="shared" si="57"/>
        <v>2913010</v>
      </c>
      <c r="AX118" s="291">
        <f t="shared" si="42"/>
        <v>2913010</v>
      </c>
      <c r="AY118" s="358">
        <f t="shared" si="58"/>
        <v>0</v>
      </c>
      <c r="AZ118" s="301"/>
      <c r="BA118" s="301"/>
      <c r="BB118" s="302"/>
      <c r="BC118" s="291"/>
      <c r="BD118" s="298"/>
      <c r="BF118" s="298"/>
      <c r="BG118" s="298"/>
      <c r="BK118" s="298"/>
      <c r="BL118" s="298"/>
      <c r="BM118" s="298"/>
      <c r="BN118" s="298"/>
      <c r="BO118" s="298"/>
    </row>
    <row r="119" spans="1:67" ht="15" x14ac:dyDescent="0.2">
      <c r="A119" s="10" t="s">
        <v>24</v>
      </c>
      <c r="B119" s="10">
        <v>1</v>
      </c>
      <c r="C119" s="276">
        <v>1</v>
      </c>
      <c r="D119" s="276">
        <v>0</v>
      </c>
      <c r="E119" s="276">
        <v>1</v>
      </c>
      <c r="F119" s="8">
        <v>10</v>
      </c>
      <c r="G119" s="359">
        <v>6</v>
      </c>
      <c r="H119" s="10">
        <v>93</v>
      </c>
      <c r="I119" s="7" t="s">
        <v>105</v>
      </c>
      <c r="J119" s="287"/>
      <c r="K119" s="356">
        <v>18017.75</v>
      </c>
      <c r="L119" s="359"/>
      <c r="M119" s="289"/>
      <c r="N119" s="357">
        <v>13306</v>
      </c>
      <c r="O119" s="290">
        <f t="shared" si="31"/>
        <v>0.73849398509802833</v>
      </c>
      <c r="P119" s="290">
        <f t="shared" si="43"/>
        <v>0.13849398509802835</v>
      </c>
      <c r="Q119" s="291">
        <f t="shared" si="32"/>
        <v>2495.3500000000004</v>
      </c>
      <c r="R119" s="291">
        <f t="shared" si="44"/>
        <v>374.30250000000007</v>
      </c>
      <c r="S119" s="357">
        <v>3469</v>
      </c>
      <c r="T119" s="292">
        <f t="shared" si="33"/>
        <v>3991.8</v>
      </c>
      <c r="U119" s="254">
        <f t="shared" si="45"/>
        <v>23251.102500000001</v>
      </c>
      <c r="V119" s="356">
        <v>10367105845</v>
      </c>
      <c r="W119" s="357">
        <v>130529</v>
      </c>
      <c r="X119" s="264">
        <f t="shared" si="34"/>
        <v>79423.77</v>
      </c>
      <c r="Y119" s="293">
        <f t="shared" si="35"/>
        <v>0.41253400000000001</v>
      </c>
      <c r="Z119" s="357">
        <v>41142</v>
      </c>
      <c r="AA119" s="293">
        <f t="shared" si="36"/>
        <v>0.34144400000000003</v>
      </c>
      <c r="AB119" s="293">
        <f t="shared" si="37"/>
        <v>0.60879300000000003</v>
      </c>
      <c r="AC119" s="294">
        <f t="shared" si="38"/>
        <v>0.60879300000000003</v>
      </c>
      <c r="AD119" s="295">
        <f t="shared" si="46"/>
        <v>0.05</v>
      </c>
      <c r="AE119" s="296">
        <f t="shared" si="47"/>
        <v>0.65879300000000007</v>
      </c>
      <c r="AF119" s="357">
        <v>0</v>
      </c>
      <c r="AG119" s="357">
        <v>0</v>
      </c>
      <c r="AH119" s="254">
        <f t="shared" si="48"/>
        <v>0</v>
      </c>
      <c r="AI119" s="9">
        <f t="shared" si="39"/>
        <v>0</v>
      </c>
      <c r="AJ119" s="9">
        <v>0</v>
      </c>
      <c r="AK119" s="9">
        <f t="shared" si="49"/>
        <v>0</v>
      </c>
      <c r="AL119" s="9">
        <f t="shared" si="50"/>
        <v>0</v>
      </c>
      <c r="AM119" s="9">
        <f t="shared" si="51"/>
        <v>0</v>
      </c>
      <c r="AN119" s="9">
        <f t="shared" si="52"/>
        <v>0</v>
      </c>
      <c r="AO119" s="9">
        <f t="shared" si="40"/>
        <v>176536073</v>
      </c>
      <c r="AP119" s="9">
        <f t="shared" si="53"/>
        <v>176536073</v>
      </c>
      <c r="AQ119" s="9">
        <f t="shared" si="54"/>
        <v>176536073</v>
      </c>
      <c r="AR119" s="291">
        <v>154301977</v>
      </c>
      <c r="AS119" s="9">
        <f t="shared" si="55"/>
        <v>22234096</v>
      </c>
      <c r="AT119" s="297" t="str">
        <f t="shared" si="56"/>
        <v>Yes</v>
      </c>
      <c r="AU119" s="357">
        <v>160469961</v>
      </c>
      <c r="AV119" s="291">
        <f t="shared" si="41"/>
        <v>2370154.6335999998</v>
      </c>
      <c r="AW119" s="291">
        <f t="shared" si="57"/>
        <v>162840115.6336</v>
      </c>
      <c r="AX119" s="291">
        <f t="shared" si="42"/>
        <v>162840115.6336</v>
      </c>
      <c r="AY119" s="358">
        <f t="shared" si="58"/>
        <v>2370154.6335999966</v>
      </c>
      <c r="AZ119" s="301"/>
      <c r="BA119" s="301"/>
      <c r="BB119" s="302"/>
      <c r="BC119" s="291"/>
      <c r="BD119" s="298"/>
      <c r="BF119" s="298"/>
      <c r="BG119" s="298"/>
      <c r="BK119" s="298"/>
      <c r="BL119" s="298"/>
      <c r="BM119" s="298"/>
      <c r="BN119" s="298"/>
      <c r="BO119" s="298"/>
    </row>
    <row r="120" spans="1:67" ht="15" x14ac:dyDescent="0.2">
      <c r="A120" s="10" t="s">
        <v>14</v>
      </c>
      <c r="B120" s="10"/>
      <c r="C120" s="276"/>
      <c r="D120" s="276"/>
      <c r="E120" s="276"/>
      <c r="F120" s="8">
        <v>7</v>
      </c>
      <c r="G120" s="355">
        <v>50</v>
      </c>
      <c r="H120" s="10">
        <v>94</v>
      </c>
      <c r="I120" s="7" t="s">
        <v>106</v>
      </c>
      <c r="J120" s="287"/>
      <c r="K120" s="356">
        <v>4044.15</v>
      </c>
      <c r="L120" s="355"/>
      <c r="M120" s="289"/>
      <c r="N120" s="357">
        <v>1303</v>
      </c>
      <c r="O120" s="290">
        <f t="shared" si="31"/>
        <v>0.32219378608607496</v>
      </c>
      <c r="P120" s="290">
        <f t="shared" si="43"/>
        <v>0</v>
      </c>
      <c r="Q120" s="291">
        <f t="shared" si="32"/>
        <v>0</v>
      </c>
      <c r="R120" s="291">
        <f t="shared" si="44"/>
        <v>0</v>
      </c>
      <c r="S120" s="357">
        <v>267</v>
      </c>
      <c r="T120" s="292">
        <f t="shared" si="33"/>
        <v>390.9</v>
      </c>
      <c r="U120" s="254">
        <f t="shared" si="45"/>
        <v>4501.8</v>
      </c>
      <c r="V120" s="356">
        <v>4044186639.3299999</v>
      </c>
      <c r="W120" s="357">
        <v>30323</v>
      </c>
      <c r="X120" s="264">
        <f t="shared" si="34"/>
        <v>133370.26999999999</v>
      </c>
      <c r="Y120" s="293">
        <f t="shared" si="35"/>
        <v>0.69273600000000002</v>
      </c>
      <c r="Z120" s="357">
        <v>80310</v>
      </c>
      <c r="AA120" s="293">
        <f t="shared" si="36"/>
        <v>0.66650500000000001</v>
      </c>
      <c r="AB120" s="293">
        <f t="shared" si="37"/>
        <v>0.315133</v>
      </c>
      <c r="AC120" s="294">
        <f t="shared" si="38"/>
        <v>0.315133</v>
      </c>
      <c r="AD120" s="295">
        <f t="shared" si="46"/>
        <v>0</v>
      </c>
      <c r="AE120" s="296">
        <f t="shared" si="47"/>
        <v>0.315133</v>
      </c>
      <c r="AF120" s="357">
        <v>0</v>
      </c>
      <c r="AG120" s="357">
        <v>0</v>
      </c>
      <c r="AH120" s="254">
        <f t="shared" si="48"/>
        <v>0</v>
      </c>
      <c r="AI120" s="9">
        <f t="shared" si="39"/>
        <v>0</v>
      </c>
      <c r="AJ120" s="9">
        <v>0</v>
      </c>
      <c r="AK120" s="9">
        <f t="shared" si="49"/>
        <v>0</v>
      </c>
      <c r="AL120" s="9">
        <f t="shared" si="50"/>
        <v>0</v>
      </c>
      <c r="AM120" s="9">
        <f t="shared" si="51"/>
        <v>0</v>
      </c>
      <c r="AN120" s="9">
        <f t="shared" si="52"/>
        <v>0</v>
      </c>
      <c r="AO120" s="9">
        <f t="shared" si="40"/>
        <v>16350123</v>
      </c>
      <c r="AP120" s="9">
        <f t="shared" si="53"/>
        <v>16350123</v>
      </c>
      <c r="AQ120" s="9">
        <f t="shared" si="54"/>
        <v>16350123</v>
      </c>
      <c r="AR120" s="291">
        <v>12983806</v>
      </c>
      <c r="AS120" s="9">
        <f t="shared" si="55"/>
        <v>3366317</v>
      </c>
      <c r="AT120" s="297" t="str">
        <f t="shared" si="56"/>
        <v>Yes</v>
      </c>
      <c r="AU120" s="357">
        <v>13772951</v>
      </c>
      <c r="AV120" s="291">
        <f t="shared" si="41"/>
        <v>358849.3922</v>
      </c>
      <c r="AW120" s="291">
        <f t="shared" si="57"/>
        <v>14131800.392200001</v>
      </c>
      <c r="AX120" s="291">
        <f t="shared" si="42"/>
        <v>14131800.392200001</v>
      </c>
      <c r="AY120" s="358">
        <f t="shared" si="58"/>
        <v>358849.39220000058</v>
      </c>
      <c r="AZ120" s="301"/>
      <c r="BA120" s="301"/>
      <c r="BB120" s="302"/>
      <c r="BC120" s="291"/>
      <c r="BD120" s="298"/>
      <c r="BF120" s="298"/>
      <c r="BG120" s="298"/>
      <c r="BK120" s="298"/>
      <c r="BL120" s="298"/>
      <c r="BM120" s="298"/>
      <c r="BN120" s="298"/>
      <c r="BO120" s="298"/>
    </row>
    <row r="121" spans="1:67" ht="15" x14ac:dyDescent="0.2">
      <c r="A121" s="10" t="s">
        <v>24</v>
      </c>
      <c r="B121" s="10">
        <v>1</v>
      </c>
      <c r="C121" s="276">
        <v>1</v>
      </c>
      <c r="D121" s="276">
        <v>0</v>
      </c>
      <c r="E121" s="276">
        <v>1</v>
      </c>
      <c r="F121" s="8">
        <v>10</v>
      </c>
      <c r="G121" s="359">
        <v>4</v>
      </c>
      <c r="H121" s="10">
        <v>95</v>
      </c>
      <c r="I121" s="7" t="s">
        <v>107</v>
      </c>
      <c r="J121" s="287"/>
      <c r="K121" s="356">
        <v>3324.92</v>
      </c>
      <c r="L121" s="359"/>
      <c r="M121" s="289"/>
      <c r="N121" s="357">
        <v>2810</v>
      </c>
      <c r="O121" s="290">
        <f t="shared" si="31"/>
        <v>0.8451331159847455</v>
      </c>
      <c r="P121" s="290">
        <f t="shared" si="43"/>
        <v>0.24513311598474552</v>
      </c>
      <c r="Q121" s="291">
        <f t="shared" si="32"/>
        <v>815.04800000000012</v>
      </c>
      <c r="R121" s="291">
        <f t="shared" si="44"/>
        <v>122.25720000000001</v>
      </c>
      <c r="S121" s="357">
        <v>842</v>
      </c>
      <c r="T121" s="292">
        <f t="shared" si="33"/>
        <v>843</v>
      </c>
      <c r="U121" s="254">
        <f t="shared" si="45"/>
        <v>4500.6772000000001</v>
      </c>
      <c r="V121" s="356">
        <v>1978320860.3299999</v>
      </c>
      <c r="W121" s="357">
        <v>27032</v>
      </c>
      <c r="X121" s="264">
        <f t="shared" si="34"/>
        <v>73184.41</v>
      </c>
      <c r="Y121" s="293">
        <f t="shared" si="35"/>
        <v>0.38012600000000002</v>
      </c>
      <c r="Z121" s="357">
        <v>39675</v>
      </c>
      <c r="AA121" s="293">
        <f t="shared" si="36"/>
        <v>0.32926899999999998</v>
      </c>
      <c r="AB121" s="293">
        <f t="shared" si="37"/>
        <v>0.635131</v>
      </c>
      <c r="AC121" s="294">
        <f t="shared" si="38"/>
        <v>0.635131</v>
      </c>
      <c r="AD121" s="295">
        <f t="shared" si="46"/>
        <v>0.06</v>
      </c>
      <c r="AE121" s="296">
        <f t="shared" si="47"/>
        <v>0.69513099999999994</v>
      </c>
      <c r="AF121" s="357">
        <v>0</v>
      </c>
      <c r="AG121" s="357">
        <v>0</v>
      </c>
      <c r="AH121" s="254">
        <f t="shared" si="48"/>
        <v>0</v>
      </c>
      <c r="AI121" s="9">
        <f t="shared" si="39"/>
        <v>0</v>
      </c>
      <c r="AJ121" s="9">
        <v>0</v>
      </c>
      <c r="AK121" s="9">
        <f t="shared" si="49"/>
        <v>0</v>
      </c>
      <c r="AL121" s="9">
        <f t="shared" si="50"/>
        <v>0</v>
      </c>
      <c r="AM121" s="9">
        <f t="shared" si="51"/>
        <v>0</v>
      </c>
      <c r="AN121" s="9">
        <f t="shared" si="52"/>
        <v>0</v>
      </c>
      <c r="AO121" s="9">
        <f t="shared" si="40"/>
        <v>36056657</v>
      </c>
      <c r="AP121" s="9">
        <f t="shared" si="53"/>
        <v>36056657</v>
      </c>
      <c r="AQ121" s="9">
        <f t="shared" si="54"/>
        <v>36056657</v>
      </c>
      <c r="AR121" s="291">
        <v>25806077</v>
      </c>
      <c r="AS121" s="9">
        <f t="shared" si="55"/>
        <v>10250580</v>
      </c>
      <c r="AT121" s="297" t="str">
        <f t="shared" si="56"/>
        <v>Yes</v>
      </c>
      <c r="AU121" s="357">
        <v>28628974</v>
      </c>
      <c r="AV121" s="291">
        <f t="shared" si="41"/>
        <v>1092711.828</v>
      </c>
      <c r="AW121" s="291">
        <f t="shared" si="57"/>
        <v>29721685.828000002</v>
      </c>
      <c r="AX121" s="291">
        <f t="shared" si="42"/>
        <v>29721685.828000002</v>
      </c>
      <c r="AY121" s="358">
        <f t="shared" si="58"/>
        <v>1092711.8280000016</v>
      </c>
      <c r="AZ121" s="301"/>
      <c r="BA121" s="301"/>
      <c r="BB121" s="302"/>
      <c r="BC121" s="291"/>
      <c r="BD121" s="298"/>
      <c r="BF121" s="298"/>
      <c r="BG121" s="298"/>
      <c r="BK121" s="298"/>
      <c r="BL121" s="298"/>
      <c r="BM121" s="298"/>
      <c r="BN121" s="298"/>
      <c r="BO121" s="298"/>
    </row>
    <row r="122" spans="1:67" ht="15" x14ac:dyDescent="0.2">
      <c r="A122" s="10" t="s">
        <v>14</v>
      </c>
      <c r="B122" s="10"/>
      <c r="C122" s="276"/>
      <c r="D122" s="276"/>
      <c r="E122" s="276"/>
      <c r="F122" s="8">
        <v>5</v>
      </c>
      <c r="G122" s="355">
        <v>71</v>
      </c>
      <c r="H122" s="10">
        <v>96</v>
      </c>
      <c r="I122" s="7" t="s">
        <v>108</v>
      </c>
      <c r="J122" s="287"/>
      <c r="K122" s="356">
        <v>3665.1</v>
      </c>
      <c r="L122" s="355"/>
      <c r="M122" s="289"/>
      <c r="N122" s="357">
        <v>1374</v>
      </c>
      <c r="O122" s="290">
        <f t="shared" si="31"/>
        <v>0.37488745191127121</v>
      </c>
      <c r="P122" s="290">
        <f t="shared" si="43"/>
        <v>0</v>
      </c>
      <c r="Q122" s="291">
        <f t="shared" si="32"/>
        <v>0</v>
      </c>
      <c r="R122" s="291">
        <f t="shared" si="44"/>
        <v>0</v>
      </c>
      <c r="S122" s="357">
        <v>177</v>
      </c>
      <c r="T122" s="292">
        <f t="shared" si="33"/>
        <v>412.2</v>
      </c>
      <c r="U122" s="254">
        <f t="shared" si="45"/>
        <v>4121.5499999999993</v>
      </c>
      <c r="V122" s="356">
        <v>4349146162.6700001</v>
      </c>
      <c r="W122" s="357">
        <v>27196</v>
      </c>
      <c r="X122" s="264">
        <f t="shared" si="34"/>
        <v>159918.6</v>
      </c>
      <c r="Y122" s="293">
        <f t="shared" si="35"/>
        <v>0.83062999999999998</v>
      </c>
      <c r="Z122" s="357">
        <v>87188</v>
      </c>
      <c r="AA122" s="293">
        <f t="shared" si="36"/>
        <v>0.72358599999999995</v>
      </c>
      <c r="AB122" s="293">
        <f t="shared" si="37"/>
        <v>0.201483</v>
      </c>
      <c r="AC122" s="294">
        <f t="shared" si="38"/>
        <v>0.201483</v>
      </c>
      <c r="AD122" s="295">
        <f t="shared" si="46"/>
        <v>0</v>
      </c>
      <c r="AE122" s="296">
        <f t="shared" si="47"/>
        <v>0.201483</v>
      </c>
      <c r="AF122" s="357">
        <v>0</v>
      </c>
      <c r="AG122" s="357">
        <v>0</v>
      </c>
      <c r="AH122" s="254">
        <f t="shared" si="48"/>
        <v>0</v>
      </c>
      <c r="AI122" s="9">
        <f t="shared" si="39"/>
        <v>0</v>
      </c>
      <c r="AJ122" s="9">
        <v>0</v>
      </c>
      <c r="AK122" s="9">
        <f t="shared" si="49"/>
        <v>0</v>
      </c>
      <c r="AL122" s="9">
        <f t="shared" si="50"/>
        <v>0</v>
      </c>
      <c r="AM122" s="9">
        <f t="shared" si="51"/>
        <v>0</v>
      </c>
      <c r="AN122" s="9">
        <f t="shared" si="52"/>
        <v>0</v>
      </c>
      <c r="AO122" s="9">
        <f t="shared" si="40"/>
        <v>9570617</v>
      </c>
      <c r="AP122" s="9">
        <f t="shared" si="53"/>
        <v>9570617</v>
      </c>
      <c r="AQ122" s="9">
        <f t="shared" si="54"/>
        <v>9570617</v>
      </c>
      <c r="AR122" s="291">
        <v>11832806</v>
      </c>
      <c r="AS122" s="9">
        <f t="shared" si="55"/>
        <v>2262189</v>
      </c>
      <c r="AT122" s="297" t="str">
        <f t="shared" si="56"/>
        <v>No</v>
      </c>
      <c r="AU122" s="357">
        <v>11124188</v>
      </c>
      <c r="AV122" s="291">
        <f t="shared" si="41"/>
        <v>188440.3437</v>
      </c>
      <c r="AW122" s="291">
        <f t="shared" si="57"/>
        <v>11124188</v>
      </c>
      <c r="AX122" s="291">
        <f t="shared" si="42"/>
        <v>11124188</v>
      </c>
      <c r="AY122" s="358">
        <f t="shared" si="58"/>
        <v>0</v>
      </c>
      <c r="AZ122" s="301"/>
      <c r="BA122" s="301"/>
      <c r="BB122" s="302"/>
      <c r="BC122" s="291"/>
      <c r="BD122" s="298"/>
      <c r="BF122" s="298"/>
      <c r="BG122" s="298"/>
      <c r="BK122" s="298"/>
      <c r="BL122" s="298"/>
      <c r="BM122" s="298"/>
      <c r="BN122" s="298"/>
      <c r="BO122" s="298"/>
    </row>
    <row r="123" spans="1:67" ht="15" x14ac:dyDescent="0.2">
      <c r="A123" s="10" t="s">
        <v>10</v>
      </c>
      <c r="B123" s="10"/>
      <c r="C123" s="276"/>
      <c r="D123" s="276"/>
      <c r="E123" s="276"/>
      <c r="F123" s="8">
        <v>3</v>
      </c>
      <c r="G123" s="355">
        <v>121</v>
      </c>
      <c r="H123" s="10">
        <v>97</v>
      </c>
      <c r="I123" s="7" t="s">
        <v>109</v>
      </c>
      <c r="J123" s="287"/>
      <c r="K123" s="356">
        <v>4034.62</v>
      </c>
      <c r="L123" s="355"/>
      <c r="M123" s="289"/>
      <c r="N123" s="357">
        <v>582</v>
      </c>
      <c r="O123" s="290">
        <f t="shared" si="31"/>
        <v>0.14425150323946245</v>
      </c>
      <c r="P123" s="290">
        <f t="shared" si="43"/>
        <v>0</v>
      </c>
      <c r="Q123" s="291">
        <f t="shared" si="32"/>
        <v>0</v>
      </c>
      <c r="R123" s="291">
        <f t="shared" si="44"/>
        <v>0</v>
      </c>
      <c r="S123" s="357">
        <v>21</v>
      </c>
      <c r="T123" s="292">
        <f t="shared" si="33"/>
        <v>174.6</v>
      </c>
      <c r="U123" s="254">
        <f t="shared" si="45"/>
        <v>4214.47</v>
      </c>
      <c r="V123" s="356">
        <v>4637865782</v>
      </c>
      <c r="W123" s="357">
        <v>27853</v>
      </c>
      <c r="X123" s="264">
        <f t="shared" si="34"/>
        <v>166512.25</v>
      </c>
      <c r="Y123" s="293">
        <f t="shared" si="35"/>
        <v>0.86487800000000004</v>
      </c>
      <c r="Z123" s="357">
        <v>123974</v>
      </c>
      <c r="AA123" s="293">
        <f t="shared" si="36"/>
        <v>1.0288790000000001</v>
      </c>
      <c r="AB123" s="293">
        <f t="shared" si="37"/>
        <v>8.5921999999999998E-2</v>
      </c>
      <c r="AC123" s="294">
        <f t="shared" si="38"/>
        <v>8.5921999999999998E-2</v>
      </c>
      <c r="AD123" s="295">
        <f t="shared" si="46"/>
        <v>0</v>
      </c>
      <c r="AE123" s="296">
        <f t="shared" si="47"/>
        <v>8.5921999999999998E-2</v>
      </c>
      <c r="AF123" s="357">
        <v>0</v>
      </c>
      <c r="AG123" s="357">
        <v>0</v>
      </c>
      <c r="AH123" s="254">
        <f t="shared" si="48"/>
        <v>0</v>
      </c>
      <c r="AI123" s="9">
        <f t="shared" si="39"/>
        <v>0</v>
      </c>
      <c r="AJ123" s="9">
        <v>0</v>
      </c>
      <c r="AK123" s="9">
        <f t="shared" si="49"/>
        <v>0</v>
      </c>
      <c r="AL123" s="9">
        <f t="shared" si="50"/>
        <v>0</v>
      </c>
      <c r="AM123" s="9">
        <f t="shared" si="51"/>
        <v>0</v>
      </c>
      <c r="AN123" s="9">
        <f t="shared" si="52"/>
        <v>0</v>
      </c>
      <c r="AO123" s="9">
        <f t="shared" si="40"/>
        <v>4173383</v>
      </c>
      <c r="AP123" s="9">
        <f t="shared" si="53"/>
        <v>4173383</v>
      </c>
      <c r="AQ123" s="9">
        <f t="shared" si="54"/>
        <v>4173383</v>
      </c>
      <c r="AR123" s="291">
        <v>4893944</v>
      </c>
      <c r="AS123" s="9">
        <f t="shared" si="55"/>
        <v>720561</v>
      </c>
      <c r="AT123" s="297" t="str">
        <f t="shared" si="56"/>
        <v>No</v>
      </c>
      <c r="AU123" s="357">
        <v>4495691</v>
      </c>
      <c r="AV123" s="291">
        <f t="shared" si="41"/>
        <v>60022.731299999999</v>
      </c>
      <c r="AW123" s="291">
        <f t="shared" si="57"/>
        <v>4495691</v>
      </c>
      <c r="AX123" s="291">
        <f t="shared" si="42"/>
        <v>4495691</v>
      </c>
      <c r="AY123" s="358">
        <f t="shared" si="58"/>
        <v>0</v>
      </c>
      <c r="AZ123" s="301"/>
      <c r="BA123" s="301"/>
      <c r="BB123" s="302"/>
      <c r="BC123" s="291"/>
      <c r="BD123" s="298"/>
      <c r="BF123" s="298"/>
      <c r="BG123" s="298"/>
      <c r="BK123" s="298"/>
      <c r="BL123" s="298"/>
      <c r="BM123" s="298"/>
      <c r="BN123" s="298"/>
      <c r="BO123" s="298"/>
    </row>
    <row r="124" spans="1:67" ht="15" x14ac:dyDescent="0.2">
      <c r="A124" s="10" t="s">
        <v>8</v>
      </c>
      <c r="B124" s="10"/>
      <c r="C124" s="276"/>
      <c r="D124" s="276"/>
      <c r="E124" s="276"/>
      <c r="F124" s="8">
        <v>2</v>
      </c>
      <c r="G124" s="355">
        <v>136</v>
      </c>
      <c r="H124" s="10">
        <v>98</v>
      </c>
      <c r="I124" s="7" t="s">
        <v>110</v>
      </c>
      <c r="J124" s="287"/>
      <c r="K124" s="356">
        <v>152.94999999999999</v>
      </c>
      <c r="L124" s="355"/>
      <c r="M124" s="289"/>
      <c r="N124" s="357">
        <v>51</v>
      </c>
      <c r="O124" s="290">
        <f t="shared" si="31"/>
        <v>0.33344230140568815</v>
      </c>
      <c r="P124" s="290">
        <f t="shared" si="43"/>
        <v>0</v>
      </c>
      <c r="Q124" s="291">
        <f t="shared" si="32"/>
        <v>0</v>
      </c>
      <c r="R124" s="291">
        <f t="shared" si="44"/>
        <v>0</v>
      </c>
      <c r="S124" s="357">
        <v>2</v>
      </c>
      <c r="T124" s="292">
        <f t="shared" si="33"/>
        <v>15.3</v>
      </c>
      <c r="U124" s="254">
        <f t="shared" si="45"/>
        <v>168.75</v>
      </c>
      <c r="V124" s="356">
        <v>383304826.67000002</v>
      </c>
      <c r="W124" s="357">
        <v>1503</v>
      </c>
      <c r="X124" s="264">
        <f t="shared" si="34"/>
        <v>255026.5</v>
      </c>
      <c r="Y124" s="293">
        <f t="shared" si="35"/>
        <v>1.3246290000000001</v>
      </c>
      <c r="Z124" s="357">
        <v>75547</v>
      </c>
      <c r="AA124" s="293">
        <f t="shared" si="36"/>
        <v>0.62697599999999998</v>
      </c>
      <c r="AB124" s="293">
        <f t="shared" si="37"/>
        <v>-0.115333</v>
      </c>
      <c r="AC124" s="294">
        <f t="shared" si="38"/>
        <v>0.01</v>
      </c>
      <c r="AD124" s="295">
        <f t="shared" si="46"/>
        <v>0</v>
      </c>
      <c r="AE124" s="296">
        <f t="shared" si="47"/>
        <v>0.01</v>
      </c>
      <c r="AF124" s="357">
        <v>72</v>
      </c>
      <c r="AG124" s="357">
        <v>6</v>
      </c>
      <c r="AH124" s="254">
        <f t="shared" si="48"/>
        <v>600</v>
      </c>
      <c r="AI124" s="9">
        <f t="shared" si="39"/>
        <v>43200</v>
      </c>
      <c r="AJ124" s="9">
        <v>0</v>
      </c>
      <c r="AK124" s="9">
        <f t="shared" si="49"/>
        <v>0</v>
      </c>
      <c r="AL124" s="9">
        <f t="shared" si="50"/>
        <v>0</v>
      </c>
      <c r="AM124" s="9">
        <f t="shared" si="51"/>
        <v>0</v>
      </c>
      <c r="AN124" s="9">
        <f t="shared" si="52"/>
        <v>43200</v>
      </c>
      <c r="AO124" s="9">
        <f t="shared" si="40"/>
        <v>19448</v>
      </c>
      <c r="AP124" s="9">
        <f t="shared" si="53"/>
        <v>62648</v>
      </c>
      <c r="AQ124" s="9">
        <f t="shared" si="54"/>
        <v>62648</v>
      </c>
      <c r="AR124" s="291">
        <v>25815</v>
      </c>
      <c r="AS124" s="9">
        <f t="shared" si="55"/>
        <v>36833</v>
      </c>
      <c r="AT124" s="297" t="str">
        <f t="shared" si="56"/>
        <v>Yes</v>
      </c>
      <c r="AU124" s="357">
        <v>25940</v>
      </c>
      <c r="AV124" s="291">
        <f t="shared" si="41"/>
        <v>3926.3978000000002</v>
      </c>
      <c r="AW124" s="291">
        <f t="shared" si="57"/>
        <v>29866.397799999999</v>
      </c>
      <c r="AX124" s="291">
        <f t="shared" si="42"/>
        <v>29866.397799999999</v>
      </c>
      <c r="AY124" s="358">
        <f t="shared" si="58"/>
        <v>3926.3977999999988</v>
      </c>
      <c r="AZ124" s="301"/>
      <c r="BA124" s="301"/>
      <c r="BB124" s="302"/>
      <c r="BC124" s="291"/>
      <c r="BD124" s="298"/>
      <c r="BF124" s="298"/>
      <c r="BG124" s="298"/>
      <c r="BK124" s="298"/>
      <c r="BL124" s="298"/>
      <c r="BM124" s="298"/>
      <c r="BN124" s="298"/>
      <c r="BO124" s="298"/>
    </row>
    <row r="125" spans="1:67" ht="15" x14ac:dyDescent="0.2">
      <c r="A125" s="10" t="s">
        <v>8</v>
      </c>
      <c r="B125" s="10"/>
      <c r="C125" s="276"/>
      <c r="D125" s="276"/>
      <c r="E125" s="276"/>
      <c r="F125" s="8">
        <v>6</v>
      </c>
      <c r="G125" s="355">
        <v>74</v>
      </c>
      <c r="H125" s="10">
        <v>99</v>
      </c>
      <c r="I125" s="7" t="s">
        <v>111</v>
      </c>
      <c r="J125" s="287"/>
      <c r="K125" s="356">
        <v>1665.65</v>
      </c>
      <c r="L125" s="355"/>
      <c r="M125" s="289"/>
      <c r="N125" s="357">
        <v>392</v>
      </c>
      <c r="O125" s="290">
        <f t="shared" si="31"/>
        <v>0.23534355957133851</v>
      </c>
      <c r="P125" s="290">
        <f t="shared" si="43"/>
        <v>0</v>
      </c>
      <c r="Q125" s="291">
        <f t="shared" si="32"/>
        <v>0</v>
      </c>
      <c r="R125" s="291">
        <f t="shared" si="44"/>
        <v>0</v>
      </c>
      <c r="S125" s="357">
        <v>17</v>
      </c>
      <c r="T125" s="292">
        <f t="shared" si="33"/>
        <v>117.6</v>
      </c>
      <c r="U125" s="254">
        <f t="shared" si="45"/>
        <v>1787.5</v>
      </c>
      <c r="V125" s="356">
        <v>1854366817</v>
      </c>
      <c r="W125" s="357">
        <v>14208</v>
      </c>
      <c r="X125" s="264">
        <f t="shared" si="34"/>
        <v>130515.68</v>
      </c>
      <c r="Y125" s="293">
        <f t="shared" si="35"/>
        <v>0.67790899999999998</v>
      </c>
      <c r="Z125" s="357">
        <v>86087</v>
      </c>
      <c r="AA125" s="293">
        <f t="shared" si="36"/>
        <v>0.714449</v>
      </c>
      <c r="AB125" s="293">
        <f t="shared" si="37"/>
        <v>0.31112899999999999</v>
      </c>
      <c r="AC125" s="294">
        <f t="shared" si="38"/>
        <v>0.31112899999999999</v>
      </c>
      <c r="AD125" s="295">
        <f t="shared" si="46"/>
        <v>0</v>
      </c>
      <c r="AE125" s="296">
        <f t="shared" si="47"/>
        <v>0.31112899999999999</v>
      </c>
      <c r="AF125" s="357">
        <v>0</v>
      </c>
      <c r="AG125" s="357">
        <v>0</v>
      </c>
      <c r="AH125" s="254">
        <f t="shared" si="48"/>
        <v>0</v>
      </c>
      <c r="AI125" s="9">
        <f t="shared" si="39"/>
        <v>0</v>
      </c>
      <c r="AJ125" s="9">
        <v>0</v>
      </c>
      <c r="AK125" s="9">
        <f t="shared" si="49"/>
        <v>0</v>
      </c>
      <c r="AL125" s="9">
        <f t="shared" si="50"/>
        <v>0</v>
      </c>
      <c r="AM125" s="9">
        <f t="shared" si="51"/>
        <v>0</v>
      </c>
      <c r="AN125" s="9">
        <f t="shared" si="52"/>
        <v>0</v>
      </c>
      <c r="AO125" s="9">
        <f t="shared" si="40"/>
        <v>6409549</v>
      </c>
      <c r="AP125" s="9">
        <f t="shared" si="53"/>
        <v>6409549</v>
      </c>
      <c r="AQ125" s="9">
        <f t="shared" si="54"/>
        <v>6409549</v>
      </c>
      <c r="AR125" s="291">
        <v>8076776</v>
      </c>
      <c r="AS125" s="9">
        <f t="shared" si="55"/>
        <v>1667227</v>
      </c>
      <c r="AT125" s="297" t="str">
        <f t="shared" si="56"/>
        <v>No</v>
      </c>
      <c r="AU125" s="357">
        <v>7331325</v>
      </c>
      <c r="AV125" s="291">
        <f t="shared" si="41"/>
        <v>138880.0091</v>
      </c>
      <c r="AW125" s="291">
        <f t="shared" si="57"/>
        <v>7331325</v>
      </c>
      <c r="AX125" s="291">
        <f t="shared" si="42"/>
        <v>7331325</v>
      </c>
      <c r="AY125" s="358">
        <f t="shared" si="58"/>
        <v>0</v>
      </c>
      <c r="AZ125" s="301"/>
      <c r="BA125" s="301"/>
      <c r="BB125" s="302"/>
      <c r="BC125" s="291"/>
      <c r="BD125" s="298"/>
      <c r="BF125" s="298"/>
      <c r="BG125" s="298"/>
      <c r="BK125" s="298"/>
      <c r="BL125" s="298"/>
      <c r="BM125" s="298"/>
      <c r="BN125" s="298"/>
      <c r="BO125" s="298"/>
    </row>
    <row r="126" spans="1:67" ht="15" x14ac:dyDescent="0.2">
      <c r="A126" s="10" t="s">
        <v>32</v>
      </c>
      <c r="B126" s="10"/>
      <c r="C126" s="276"/>
      <c r="D126" s="276"/>
      <c r="E126" s="276"/>
      <c r="F126" s="8">
        <v>8</v>
      </c>
      <c r="G126" s="355">
        <v>67</v>
      </c>
      <c r="H126" s="10">
        <v>100</v>
      </c>
      <c r="I126" s="7" t="s">
        <v>112</v>
      </c>
      <c r="J126" s="287"/>
      <c r="K126" s="356">
        <v>352.41</v>
      </c>
      <c r="L126" s="355"/>
      <c r="M126" s="289"/>
      <c r="N126" s="357">
        <v>176</v>
      </c>
      <c r="O126" s="290">
        <f t="shared" si="31"/>
        <v>0.49941829119491499</v>
      </c>
      <c r="P126" s="290">
        <f t="shared" si="43"/>
        <v>0</v>
      </c>
      <c r="Q126" s="291">
        <f t="shared" si="32"/>
        <v>0</v>
      </c>
      <c r="R126" s="291">
        <f t="shared" si="44"/>
        <v>0</v>
      </c>
      <c r="S126" s="357">
        <v>12</v>
      </c>
      <c r="T126" s="292">
        <f t="shared" si="33"/>
        <v>52.8</v>
      </c>
      <c r="U126" s="254">
        <f t="shared" si="45"/>
        <v>408.21000000000004</v>
      </c>
      <c r="V126" s="356">
        <v>433160796.32999998</v>
      </c>
      <c r="W126" s="357">
        <v>3302</v>
      </c>
      <c r="X126" s="264">
        <f t="shared" si="34"/>
        <v>131181.34</v>
      </c>
      <c r="Y126" s="293">
        <f t="shared" si="35"/>
        <v>0.68136699999999994</v>
      </c>
      <c r="Z126" s="357">
        <v>68438</v>
      </c>
      <c r="AA126" s="293">
        <f t="shared" si="36"/>
        <v>0.56797699999999995</v>
      </c>
      <c r="AB126" s="293">
        <f t="shared" si="37"/>
        <v>0.35265000000000002</v>
      </c>
      <c r="AC126" s="294">
        <f t="shared" si="38"/>
        <v>0.35265000000000002</v>
      </c>
      <c r="AD126" s="295">
        <f t="shared" si="46"/>
        <v>0</v>
      </c>
      <c r="AE126" s="296">
        <f t="shared" si="47"/>
        <v>0.35265000000000002</v>
      </c>
      <c r="AF126" s="357">
        <v>106</v>
      </c>
      <c r="AG126" s="357">
        <v>4</v>
      </c>
      <c r="AH126" s="254">
        <f t="shared" si="48"/>
        <v>400</v>
      </c>
      <c r="AI126" s="9">
        <f t="shared" si="39"/>
        <v>42400</v>
      </c>
      <c r="AJ126" s="9">
        <v>0</v>
      </c>
      <c r="AK126" s="9">
        <f t="shared" si="49"/>
        <v>0</v>
      </c>
      <c r="AL126" s="9">
        <f t="shared" si="50"/>
        <v>0</v>
      </c>
      <c r="AM126" s="9">
        <f t="shared" si="51"/>
        <v>0</v>
      </c>
      <c r="AN126" s="9">
        <f t="shared" si="52"/>
        <v>42400</v>
      </c>
      <c r="AO126" s="9">
        <f t="shared" si="40"/>
        <v>1659084</v>
      </c>
      <c r="AP126" s="9">
        <f t="shared" si="53"/>
        <v>1701484</v>
      </c>
      <c r="AQ126" s="9">
        <f t="shared" si="54"/>
        <v>1701484</v>
      </c>
      <c r="AR126" s="291">
        <v>2044243</v>
      </c>
      <c r="AS126" s="9">
        <f t="shared" si="55"/>
        <v>342759</v>
      </c>
      <c r="AT126" s="297" t="str">
        <f t="shared" si="56"/>
        <v>No</v>
      </c>
      <c r="AU126" s="357">
        <v>1781954</v>
      </c>
      <c r="AV126" s="291">
        <f t="shared" si="41"/>
        <v>28551.824700000001</v>
      </c>
      <c r="AW126" s="291">
        <f t="shared" si="57"/>
        <v>1781954</v>
      </c>
      <c r="AX126" s="291">
        <f t="shared" si="42"/>
        <v>1781954</v>
      </c>
      <c r="AY126" s="358">
        <f t="shared" si="58"/>
        <v>0</v>
      </c>
      <c r="AZ126" s="301"/>
      <c r="BA126" s="301"/>
      <c r="BB126" s="302"/>
      <c r="BC126" s="291"/>
      <c r="BD126" s="298"/>
      <c r="BF126" s="298"/>
      <c r="BG126" s="298"/>
      <c r="BK126" s="298"/>
      <c r="BL126" s="298"/>
      <c r="BM126" s="298"/>
      <c r="BN126" s="298"/>
      <c r="BO126" s="298"/>
    </row>
    <row r="127" spans="1:67" ht="15" x14ac:dyDescent="0.2">
      <c r="A127" s="10" t="s">
        <v>14</v>
      </c>
      <c r="B127" s="10"/>
      <c r="C127" s="276"/>
      <c r="D127" s="276"/>
      <c r="E127" s="276"/>
      <c r="F127" s="8">
        <v>4</v>
      </c>
      <c r="G127" s="355">
        <v>93</v>
      </c>
      <c r="H127" s="10">
        <v>101</v>
      </c>
      <c r="I127" s="7" t="s">
        <v>113</v>
      </c>
      <c r="J127" s="287"/>
      <c r="K127" s="356">
        <v>3126.45</v>
      </c>
      <c r="L127" s="355"/>
      <c r="M127" s="289"/>
      <c r="N127" s="357">
        <v>639</v>
      </c>
      <c r="O127" s="290">
        <f t="shared" si="31"/>
        <v>0.20438516528330855</v>
      </c>
      <c r="P127" s="290">
        <f t="shared" si="43"/>
        <v>0</v>
      </c>
      <c r="Q127" s="291">
        <f t="shared" si="32"/>
        <v>0</v>
      </c>
      <c r="R127" s="291">
        <f t="shared" si="44"/>
        <v>0</v>
      </c>
      <c r="S127" s="357">
        <v>105</v>
      </c>
      <c r="T127" s="292">
        <f t="shared" si="33"/>
        <v>191.7</v>
      </c>
      <c r="U127" s="254">
        <f t="shared" si="45"/>
        <v>3344.3999999999996</v>
      </c>
      <c r="V127" s="356">
        <v>4261260702.6700001</v>
      </c>
      <c r="W127" s="357">
        <v>23786</v>
      </c>
      <c r="X127" s="264">
        <f t="shared" si="34"/>
        <v>179149.95</v>
      </c>
      <c r="Y127" s="293">
        <f t="shared" si="35"/>
        <v>0.93052000000000001</v>
      </c>
      <c r="Z127" s="357">
        <v>99094</v>
      </c>
      <c r="AA127" s="293">
        <f t="shared" si="36"/>
        <v>0.82239600000000002</v>
      </c>
      <c r="AB127" s="293">
        <f t="shared" si="37"/>
        <v>0.10191699999999999</v>
      </c>
      <c r="AC127" s="294">
        <f t="shared" si="38"/>
        <v>0.10191699999999999</v>
      </c>
      <c r="AD127" s="295">
        <f t="shared" si="46"/>
        <v>0</v>
      </c>
      <c r="AE127" s="296">
        <f t="shared" si="47"/>
        <v>0.10191699999999999</v>
      </c>
      <c r="AF127" s="357">
        <v>0</v>
      </c>
      <c r="AG127" s="357">
        <v>0</v>
      </c>
      <c r="AH127" s="254">
        <f t="shared" si="48"/>
        <v>0</v>
      </c>
      <c r="AI127" s="9">
        <f t="shared" si="39"/>
        <v>0</v>
      </c>
      <c r="AJ127" s="9">
        <v>0</v>
      </c>
      <c r="AK127" s="9">
        <f t="shared" si="49"/>
        <v>0</v>
      </c>
      <c r="AL127" s="9">
        <f t="shared" si="50"/>
        <v>0</v>
      </c>
      <c r="AM127" s="9">
        <f t="shared" si="51"/>
        <v>0</v>
      </c>
      <c r="AN127" s="9">
        <f t="shared" si="52"/>
        <v>0</v>
      </c>
      <c r="AO127" s="9">
        <f t="shared" si="40"/>
        <v>3928310</v>
      </c>
      <c r="AP127" s="9">
        <f t="shared" si="53"/>
        <v>3928310</v>
      </c>
      <c r="AQ127" s="9">
        <f t="shared" si="54"/>
        <v>3928310</v>
      </c>
      <c r="AR127" s="291">
        <v>3842088</v>
      </c>
      <c r="AS127" s="9">
        <f t="shared" si="55"/>
        <v>86222</v>
      </c>
      <c r="AT127" s="297" t="str">
        <f t="shared" si="56"/>
        <v>Yes</v>
      </c>
      <c r="AU127" s="357">
        <v>3851360</v>
      </c>
      <c r="AV127" s="291">
        <f t="shared" si="41"/>
        <v>9191.2651999999998</v>
      </c>
      <c r="AW127" s="291">
        <f t="shared" si="57"/>
        <v>3860551.2651999998</v>
      </c>
      <c r="AX127" s="291">
        <f t="shared" si="42"/>
        <v>3860551.2651999998</v>
      </c>
      <c r="AY127" s="358">
        <f t="shared" si="58"/>
        <v>9191.2651999997906</v>
      </c>
      <c r="AZ127" s="301"/>
      <c r="BA127" s="301"/>
      <c r="BB127" s="302"/>
      <c r="BC127" s="291"/>
      <c r="BD127" s="298"/>
      <c r="BF127" s="298"/>
      <c r="BG127" s="298"/>
      <c r="BK127" s="298"/>
      <c r="BL127" s="298"/>
      <c r="BM127" s="298"/>
      <c r="BN127" s="298"/>
      <c r="BO127" s="298"/>
    </row>
    <row r="128" spans="1:67" ht="15" x14ac:dyDescent="0.2">
      <c r="A128" s="10" t="s">
        <v>8</v>
      </c>
      <c r="B128" s="10"/>
      <c r="C128" s="276"/>
      <c r="D128" s="276"/>
      <c r="E128" s="276"/>
      <c r="F128" s="8">
        <v>4</v>
      </c>
      <c r="G128" s="355">
        <v>81</v>
      </c>
      <c r="H128" s="10">
        <v>102</v>
      </c>
      <c r="I128" s="7" t="s">
        <v>114</v>
      </c>
      <c r="J128" s="287"/>
      <c r="K128" s="356">
        <v>709.57</v>
      </c>
      <c r="L128" s="355"/>
      <c r="M128" s="289"/>
      <c r="N128" s="357">
        <v>156</v>
      </c>
      <c r="O128" s="290">
        <f t="shared" si="31"/>
        <v>0.21985145933452652</v>
      </c>
      <c r="P128" s="290">
        <f t="shared" si="43"/>
        <v>0</v>
      </c>
      <c r="Q128" s="291">
        <f t="shared" si="32"/>
        <v>0</v>
      </c>
      <c r="R128" s="291">
        <f t="shared" si="44"/>
        <v>0</v>
      </c>
      <c r="S128" s="357">
        <v>0</v>
      </c>
      <c r="T128" s="292">
        <f t="shared" si="33"/>
        <v>46.8</v>
      </c>
      <c r="U128" s="254">
        <f t="shared" si="45"/>
        <v>756.37</v>
      </c>
      <c r="V128" s="356">
        <v>829466418.33000004</v>
      </c>
      <c r="W128" s="357">
        <v>5242</v>
      </c>
      <c r="X128" s="264">
        <f t="shared" si="34"/>
        <v>158234.72</v>
      </c>
      <c r="Y128" s="293">
        <f t="shared" si="35"/>
        <v>0.82188399999999995</v>
      </c>
      <c r="Z128" s="357">
        <v>76985</v>
      </c>
      <c r="AA128" s="293">
        <f t="shared" si="36"/>
        <v>0.63890999999999998</v>
      </c>
      <c r="AB128" s="293">
        <f t="shared" si="37"/>
        <v>0.23300799999999999</v>
      </c>
      <c r="AC128" s="294">
        <f t="shared" si="38"/>
        <v>0.23300799999999999</v>
      </c>
      <c r="AD128" s="295">
        <f t="shared" si="46"/>
        <v>0</v>
      </c>
      <c r="AE128" s="296">
        <f t="shared" si="47"/>
        <v>0.23300799999999999</v>
      </c>
      <c r="AF128" s="357">
        <v>0</v>
      </c>
      <c r="AG128" s="357">
        <v>0</v>
      </c>
      <c r="AH128" s="254">
        <f t="shared" si="48"/>
        <v>0</v>
      </c>
      <c r="AI128" s="9">
        <f t="shared" si="39"/>
        <v>0</v>
      </c>
      <c r="AJ128" s="9">
        <v>0</v>
      </c>
      <c r="AK128" s="9">
        <f t="shared" si="49"/>
        <v>0</v>
      </c>
      <c r="AL128" s="9">
        <f t="shared" si="50"/>
        <v>0</v>
      </c>
      <c r="AM128" s="9">
        <f t="shared" si="51"/>
        <v>0</v>
      </c>
      <c r="AN128" s="9">
        <f t="shared" si="52"/>
        <v>0</v>
      </c>
      <c r="AO128" s="9">
        <f t="shared" si="40"/>
        <v>2031169</v>
      </c>
      <c r="AP128" s="9">
        <f t="shared" si="53"/>
        <v>2031169</v>
      </c>
      <c r="AQ128" s="9">
        <f t="shared" si="54"/>
        <v>2031169</v>
      </c>
      <c r="AR128" s="291">
        <v>2834470</v>
      </c>
      <c r="AS128" s="9">
        <f t="shared" si="55"/>
        <v>803301</v>
      </c>
      <c r="AT128" s="297" t="str">
        <f t="shared" si="56"/>
        <v>No</v>
      </c>
      <c r="AU128" s="357">
        <v>2584204</v>
      </c>
      <c r="AV128" s="291">
        <f t="shared" si="41"/>
        <v>66914.973299999998</v>
      </c>
      <c r="AW128" s="291">
        <f t="shared" si="57"/>
        <v>2584204</v>
      </c>
      <c r="AX128" s="291">
        <f t="shared" si="42"/>
        <v>2584204</v>
      </c>
      <c r="AY128" s="358">
        <f t="shared" si="58"/>
        <v>0</v>
      </c>
      <c r="AZ128" s="301"/>
      <c r="BA128" s="301"/>
      <c r="BB128" s="302"/>
      <c r="BC128" s="291"/>
      <c r="BD128" s="298"/>
      <c r="BF128" s="298"/>
      <c r="BG128" s="298"/>
      <c r="BK128" s="298"/>
      <c r="BL128" s="298"/>
      <c r="BM128" s="298"/>
      <c r="BN128" s="298"/>
      <c r="BO128" s="298"/>
    </row>
    <row r="129" spans="1:67" ht="15" x14ac:dyDescent="0.2">
      <c r="A129" s="10" t="s">
        <v>6</v>
      </c>
      <c r="B129" s="10">
        <v>1</v>
      </c>
      <c r="C129" s="276">
        <v>1</v>
      </c>
      <c r="D129" s="276">
        <v>1</v>
      </c>
      <c r="E129" s="276"/>
      <c r="F129" s="8">
        <v>3</v>
      </c>
      <c r="G129" s="355">
        <v>96</v>
      </c>
      <c r="H129" s="10">
        <v>103</v>
      </c>
      <c r="I129" s="7" t="s">
        <v>115</v>
      </c>
      <c r="J129" s="287"/>
      <c r="K129" s="356">
        <v>11932.34</v>
      </c>
      <c r="L129" s="355"/>
      <c r="M129" s="289"/>
      <c r="N129" s="357">
        <v>7064</v>
      </c>
      <c r="O129" s="290">
        <f t="shared" si="31"/>
        <v>0.59200458585658811</v>
      </c>
      <c r="P129" s="290">
        <f t="shared" si="43"/>
        <v>0</v>
      </c>
      <c r="Q129" s="291">
        <f t="shared" si="32"/>
        <v>0</v>
      </c>
      <c r="R129" s="291">
        <f t="shared" si="44"/>
        <v>0</v>
      </c>
      <c r="S129" s="357">
        <v>1972</v>
      </c>
      <c r="T129" s="292">
        <f t="shared" si="33"/>
        <v>2119.1999999999998</v>
      </c>
      <c r="U129" s="254">
        <f t="shared" si="45"/>
        <v>14544.54</v>
      </c>
      <c r="V129" s="356">
        <v>19622013158.669998</v>
      </c>
      <c r="W129" s="357">
        <v>88436</v>
      </c>
      <c r="X129" s="264">
        <f t="shared" si="34"/>
        <v>221878.12</v>
      </c>
      <c r="Y129" s="293">
        <f t="shared" si="35"/>
        <v>1.1524529999999999</v>
      </c>
      <c r="Z129" s="357">
        <v>82474</v>
      </c>
      <c r="AA129" s="293">
        <f t="shared" si="36"/>
        <v>0.68446399999999996</v>
      </c>
      <c r="AB129" s="293">
        <f t="shared" si="37"/>
        <v>-1.2056000000000001E-2</v>
      </c>
      <c r="AC129" s="294">
        <f t="shared" si="38"/>
        <v>0.1</v>
      </c>
      <c r="AD129" s="295">
        <f t="shared" si="46"/>
        <v>0</v>
      </c>
      <c r="AE129" s="296">
        <f t="shared" si="47"/>
        <v>0.1</v>
      </c>
      <c r="AF129" s="357">
        <v>0</v>
      </c>
      <c r="AG129" s="357">
        <v>0</v>
      </c>
      <c r="AH129" s="254">
        <f t="shared" si="48"/>
        <v>0</v>
      </c>
      <c r="AI129" s="9">
        <f t="shared" si="39"/>
        <v>0</v>
      </c>
      <c r="AJ129" s="9">
        <v>0</v>
      </c>
      <c r="AK129" s="9">
        <f t="shared" si="49"/>
        <v>0</v>
      </c>
      <c r="AL129" s="9">
        <f t="shared" si="50"/>
        <v>0</v>
      </c>
      <c r="AM129" s="9">
        <f t="shared" si="51"/>
        <v>0</v>
      </c>
      <c r="AN129" s="9">
        <f t="shared" si="52"/>
        <v>0</v>
      </c>
      <c r="AO129" s="9">
        <f t="shared" si="40"/>
        <v>16762582</v>
      </c>
      <c r="AP129" s="9">
        <f t="shared" si="53"/>
        <v>16762582</v>
      </c>
      <c r="AQ129" s="9">
        <f t="shared" si="54"/>
        <v>16762582</v>
      </c>
      <c r="AR129" s="291">
        <v>11243340</v>
      </c>
      <c r="AS129" s="9">
        <f t="shared" si="55"/>
        <v>5519242</v>
      </c>
      <c r="AT129" s="297" t="str">
        <f t="shared" si="56"/>
        <v>Yes</v>
      </c>
      <c r="AU129" s="357">
        <v>12590479</v>
      </c>
      <c r="AV129" s="291">
        <f t="shared" si="41"/>
        <v>588351.19720000005</v>
      </c>
      <c r="AW129" s="291">
        <f t="shared" si="57"/>
        <v>13178830.1972</v>
      </c>
      <c r="AX129" s="291">
        <f t="shared" si="42"/>
        <v>13178830.1972</v>
      </c>
      <c r="AY129" s="358">
        <f t="shared" si="58"/>
        <v>588351.19720000029</v>
      </c>
      <c r="AZ129" s="301"/>
      <c r="BA129" s="301"/>
      <c r="BB129" s="302"/>
      <c r="BC129" s="291"/>
      <c r="BD129" s="298"/>
      <c r="BF129" s="298"/>
      <c r="BG129" s="298"/>
      <c r="BK129" s="298"/>
      <c r="BL129" s="298"/>
      <c r="BM129" s="298"/>
      <c r="BN129" s="298"/>
      <c r="BO129" s="298"/>
    </row>
    <row r="130" spans="1:67" ht="15" x14ac:dyDescent="0.2">
      <c r="A130" s="10" t="s">
        <v>6</v>
      </c>
      <c r="B130" s="10">
        <v>1</v>
      </c>
      <c r="C130" s="276">
        <v>1</v>
      </c>
      <c r="D130" s="276">
        <v>0</v>
      </c>
      <c r="E130" s="276">
        <v>1</v>
      </c>
      <c r="F130" s="8">
        <v>10</v>
      </c>
      <c r="G130" s="359">
        <v>7</v>
      </c>
      <c r="H130" s="10">
        <v>104</v>
      </c>
      <c r="I130" s="7" t="s">
        <v>116</v>
      </c>
      <c r="J130" s="287"/>
      <c r="K130" s="356">
        <v>5078.3100000000004</v>
      </c>
      <c r="L130" s="359"/>
      <c r="M130" s="289"/>
      <c r="N130" s="357">
        <v>3373</v>
      </c>
      <c r="O130" s="290">
        <f t="shared" si="31"/>
        <v>0.664197341241476</v>
      </c>
      <c r="P130" s="290">
        <f t="shared" si="43"/>
        <v>6.4197341241476025E-2</v>
      </c>
      <c r="Q130" s="291">
        <f t="shared" si="32"/>
        <v>326.01400000000012</v>
      </c>
      <c r="R130" s="291">
        <f t="shared" si="44"/>
        <v>48.902100000000019</v>
      </c>
      <c r="S130" s="357">
        <v>815</v>
      </c>
      <c r="T130" s="292">
        <f t="shared" si="33"/>
        <v>1011.9</v>
      </c>
      <c r="U130" s="254">
        <f t="shared" si="45"/>
        <v>6342.8621000000003</v>
      </c>
      <c r="V130" s="356">
        <v>2784442113.6700001</v>
      </c>
      <c r="W130" s="357">
        <v>39567</v>
      </c>
      <c r="X130" s="264">
        <f t="shared" si="34"/>
        <v>70372.84</v>
      </c>
      <c r="Y130" s="293">
        <f t="shared" si="35"/>
        <v>0.36552200000000001</v>
      </c>
      <c r="Z130" s="357">
        <v>55391</v>
      </c>
      <c r="AA130" s="293">
        <f t="shared" si="36"/>
        <v>0.459698</v>
      </c>
      <c r="AB130" s="293">
        <f t="shared" si="37"/>
        <v>0.60622500000000001</v>
      </c>
      <c r="AC130" s="294">
        <f t="shared" si="38"/>
        <v>0.60622500000000001</v>
      </c>
      <c r="AD130" s="295">
        <f t="shared" si="46"/>
        <v>0.05</v>
      </c>
      <c r="AE130" s="296">
        <f t="shared" si="47"/>
        <v>0.65622500000000006</v>
      </c>
      <c r="AF130" s="357">
        <v>0</v>
      </c>
      <c r="AG130" s="357">
        <v>0</v>
      </c>
      <c r="AH130" s="254">
        <f t="shared" si="48"/>
        <v>0</v>
      </c>
      <c r="AI130" s="9">
        <f t="shared" si="39"/>
        <v>0</v>
      </c>
      <c r="AJ130" s="9">
        <v>1462</v>
      </c>
      <c r="AK130" s="9">
        <f t="shared" si="49"/>
        <v>4</v>
      </c>
      <c r="AL130" s="9">
        <f t="shared" si="50"/>
        <v>400</v>
      </c>
      <c r="AM130" s="9">
        <f t="shared" si="51"/>
        <v>584800</v>
      </c>
      <c r="AN130" s="9">
        <f t="shared" si="52"/>
        <v>584800</v>
      </c>
      <c r="AO130" s="9">
        <f t="shared" si="40"/>
        <v>47971022</v>
      </c>
      <c r="AP130" s="9">
        <f t="shared" si="53"/>
        <v>48555822</v>
      </c>
      <c r="AQ130" s="9">
        <f t="shared" si="54"/>
        <v>48555822</v>
      </c>
      <c r="AR130" s="291">
        <v>36209664</v>
      </c>
      <c r="AS130" s="9">
        <f t="shared" si="55"/>
        <v>12346158</v>
      </c>
      <c r="AT130" s="297" t="str">
        <f t="shared" si="56"/>
        <v>Yes</v>
      </c>
      <c r="AU130" s="357">
        <v>39228238</v>
      </c>
      <c r="AV130" s="291">
        <f t="shared" si="41"/>
        <v>1316100.4428000001</v>
      </c>
      <c r="AW130" s="291">
        <f t="shared" si="57"/>
        <v>40544338.4428</v>
      </c>
      <c r="AX130" s="291">
        <f t="shared" si="42"/>
        <v>40544338.4428</v>
      </c>
      <c r="AY130" s="358">
        <f t="shared" si="58"/>
        <v>1316100.4428000003</v>
      </c>
      <c r="AZ130" s="301"/>
      <c r="BA130" s="301"/>
      <c r="BB130" s="302"/>
      <c r="BC130" s="291"/>
      <c r="BD130" s="298"/>
      <c r="BF130" s="298"/>
      <c r="BG130" s="298"/>
      <c r="BK130" s="298"/>
      <c r="BL130" s="298"/>
      <c r="BM130" s="298"/>
      <c r="BN130" s="298"/>
      <c r="BO130" s="298"/>
    </row>
    <row r="131" spans="1:67" ht="15" x14ac:dyDescent="0.2">
      <c r="A131" s="10" t="s">
        <v>4</v>
      </c>
      <c r="B131" s="10"/>
      <c r="C131" s="276"/>
      <c r="D131" s="276"/>
      <c r="E131" s="276"/>
      <c r="F131" s="8">
        <v>2</v>
      </c>
      <c r="G131" s="355">
        <v>144</v>
      </c>
      <c r="H131" s="10">
        <v>105</v>
      </c>
      <c r="I131" s="7" t="s">
        <v>117</v>
      </c>
      <c r="J131" s="287"/>
      <c r="K131" s="356">
        <v>1045.92</v>
      </c>
      <c r="L131" s="355"/>
      <c r="M131" s="289"/>
      <c r="N131" s="357">
        <v>197</v>
      </c>
      <c r="O131" s="290">
        <f t="shared" si="31"/>
        <v>0.18835092550099433</v>
      </c>
      <c r="P131" s="290">
        <f t="shared" si="43"/>
        <v>0</v>
      </c>
      <c r="Q131" s="291">
        <f t="shared" si="32"/>
        <v>0</v>
      </c>
      <c r="R131" s="291">
        <f t="shared" si="44"/>
        <v>0</v>
      </c>
      <c r="S131" s="357">
        <v>24</v>
      </c>
      <c r="T131" s="292">
        <f t="shared" si="33"/>
        <v>59.1</v>
      </c>
      <c r="U131" s="254">
        <f t="shared" si="45"/>
        <v>1111.02</v>
      </c>
      <c r="V131" s="356">
        <v>2305620831.6700001</v>
      </c>
      <c r="W131" s="357">
        <v>7431</v>
      </c>
      <c r="X131" s="264">
        <f t="shared" si="34"/>
        <v>310270.59999999998</v>
      </c>
      <c r="Y131" s="293">
        <f t="shared" si="35"/>
        <v>1.6115710000000001</v>
      </c>
      <c r="Z131" s="357">
        <v>92383</v>
      </c>
      <c r="AA131" s="293">
        <f t="shared" si="36"/>
        <v>0.76670000000000005</v>
      </c>
      <c r="AB131" s="293">
        <f t="shared" si="37"/>
        <v>-0.35810999999999998</v>
      </c>
      <c r="AC131" s="294">
        <f t="shared" si="38"/>
        <v>0.01</v>
      </c>
      <c r="AD131" s="295">
        <f t="shared" si="46"/>
        <v>0</v>
      </c>
      <c r="AE131" s="296">
        <f t="shared" si="47"/>
        <v>0.01</v>
      </c>
      <c r="AF131" s="357">
        <v>1044</v>
      </c>
      <c r="AG131" s="357">
        <v>13</v>
      </c>
      <c r="AH131" s="254">
        <f t="shared" si="48"/>
        <v>1300</v>
      </c>
      <c r="AI131" s="9">
        <f t="shared" si="39"/>
        <v>1357200</v>
      </c>
      <c r="AJ131" s="9">
        <v>0</v>
      </c>
      <c r="AK131" s="9">
        <f t="shared" si="49"/>
        <v>0</v>
      </c>
      <c r="AL131" s="9">
        <f t="shared" si="50"/>
        <v>0</v>
      </c>
      <c r="AM131" s="9">
        <f t="shared" si="51"/>
        <v>0</v>
      </c>
      <c r="AN131" s="9">
        <f t="shared" si="52"/>
        <v>1357200</v>
      </c>
      <c r="AO131" s="9">
        <f t="shared" si="40"/>
        <v>128045</v>
      </c>
      <c r="AP131" s="9">
        <f t="shared" si="53"/>
        <v>1485245</v>
      </c>
      <c r="AQ131" s="9">
        <f t="shared" si="54"/>
        <v>1485245</v>
      </c>
      <c r="AR131" s="291">
        <v>247462</v>
      </c>
      <c r="AS131" s="9">
        <f t="shared" si="55"/>
        <v>1237783</v>
      </c>
      <c r="AT131" s="297" t="str">
        <f t="shared" si="56"/>
        <v>Yes</v>
      </c>
      <c r="AU131" s="357">
        <v>238583</v>
      </c>
      <c r="AV131" s="291">
        <f t="shared" si="41"/>
        <v>131947.6678</v>
      </c>
      <c r="AW131" s="291">
        <f t="shared" si="57"/>
        <v>370530.6678</v>
      </c>
      <c r="AX131" s="291">
        <f t="shared" si="42"/>
        <v>370530.6678</v>
      </c>
      <c r="AY131" s="358">
        <f t="shared" si="58"/>
        <v>131947.6678</v>
      </c>
      <c r="AZ131" s="301"/>
      <c r="BA131" s="301"/>
      <c r="BB131" s="302"/>
      <c r="BC131" s="291"/>
      <c r="BD131" s="298"/>
      <c r="BF131" s="298"/>
      <c r="BG131" s="298"/>
      <c r="BK131" s="298"/>
      <c r="BL131" s="298"/>
      <c r="BM131" s="298"/>
      <c r="BN131" s="298"/>
      <c r="BO131" s="298"/>
    </row>
    <row r="132" spans="1:67" ht="15" x14ac:dyDescent="0.2">
      <c r="A132" s="10" t="s">
        <v>14</v>
      </c>
      <c r="B132" s="10"/>
      <c r="C132" s="276"/>
      <c r="D132" s="276"/>
      <c r="E132" s="276"/>
      <c r="F132" s="8">
        <v>2</v>
      </c>
      <c r="G132" s="355">
        <v>139</v>
      </c>
      <c r="H132" s="10">
        <v>106</v>
      </c>
      <c r="I132" s="7" t="s">
        <v>118</v>
      </c>
      <c r="J132" s="287"/>
      <c r="K132" s="356">
        <v>1052.2</v>
      </c>
      <c r="L132" s="355"/>
      <c r="M132" s="289"/>
      <c r="N132" s="357">
        <v>280</v>
      </c>
      <c r="O132" s="290">
        <f t="shared" si="31"/>
        <v>0.26610910473294047</v>
      </c>
      <c r="P132" s="290">
        <f t="shared" si="43"/>
        <v>0</v>
      </c>
      <c r="Q132" s="291">
        <f t="shared" si="32"/>
        <v>0</v>
      </c>
      <c r="R132" s="291">
        <f t="shared" si="44"/>
        <v>0</v>
      </c>
      <c r="S132" s="357">
        <v>69</v>
      </c>
      <c r="T132" s="292">
        <f t="shared" si="33"/>
        <v>84</v>
      </c>
      <c r="U132" s="254">
        <f t="shared" si="45"/>
        <v>1153.45</v>
      </c>
      <c r="V132" s="356">
        <v>3245522279</v>
      </c>
      <c r="W132" s="357">
        <v>10118</v>
      </c>
      <c r="X132" s="264">
        <f t="shared" si="34"/>
        <v>320767.18</v>
      </c>
      <c r="Y132" s="293">
        <f t="shared" si="35"/>
        <v>1.666091</v>
      </c>
      <c r="Z132" s="357">
        <v>81411</v>
      </c>
      <c r="AA132" s="293">
        <f t="shared" si="36"/>
        <v>0.67564199999999996</v>
      </c>
      <c r="AB132" s="293">
        <f t="shared" si="37"/>
        <v>-0.36895600000000001</v>
      </c>
      <c r="AC132" s="294">
        <f t="shared" si="38"/>
        <v>0.01</v>
      </c>
      <c r="AD132" s="295">
        <f t="shared" si="46"/>
        <v>0</v>
      </c>
      <c r="AE132" s="296">
        <f t="shared" si="47"/>
        <v>0.01</v>
      </c>
      <c r="AF132" s="357">
        <v>0</v>
      </c>
      <c r="AG132" s="357">
        <v>0</v>
      </c>
      <c r="AH132" s="254">
        <f t="shared" si="48"/>
        <v>0</v>
      </c>
      <c r="AI132" s="9">
        <f t="shared" si="39"/>
        <v>0</v>
      </c>
      <c r="AJ132" s="9">
        <v>0</v>
      </c>
      <c r="AK132" s="9">
        <f t="shared" si="49"/>
        <v>0</v>
      </c>
      <c r="AL132" s="9">
        <f t="shared" si="50"/>
        <v>0</v>
      </c>
      <c r="AM132" s="9">
        <f t="shared" si="51"/>
        <v>0</v>
      </c>
      <c r="AN132" s="9">
        <f t="shared" si="52"/>
        <v>0</v>
      </c>
      <c r="AO132" s="9">
        <f t="shared" si="40"/>
        <v>132935</v>
      </c>
      <c r="AP132" s="9">
        <f t="shared" si="53"/>
        <v>132935</v>
      </c>
      <c r="AQ132" s="9">
        <f t="shared" si="54"/>
        <v>132935</v>
      </c>
      <c r="AR132" s="291">
        <v>122907</v>
      </c>
      <c r="AS132" s="9">
        <f t="shared" si="55"/>
        <v>10028</v>
      </c>
      <c r="AT132" s="297" t="str">
        <f t="shared" si="56"/>
        <v>Yes</v>
      </c>
      <c r="AU132" s="357">
        <v>129714</v>
      </c>
      <c r="AV132" s="291">
        <f t="shared" si="41"/>
        <v>1068.9848</v>
      </c>
      <c r="AW132" s="291">
        <f t="shared" si="57"/>
        <v>130782.98480000001</v>
      </c>
      <c r="AX132" s="291">
        <f t="shared" si="42"/>
        <v>130782.98480000001</v>
      </c>
      <c r="AY132" s="358">
        <f t="shared" si="58"/>
        <v>1068.9848000000056</v>
      </c>
      <c r="AZ132" s="301"/>
      <c r="BA132" s="301"/>
      <c r="BB132" s="302"/>
      <c r="BC132" s="291"/>
      <c r="BD132" s="298"/>
      <c r="BF132" s="298"/>
      <c r="BG132" s="298"/>
      <c r="BK132" s="298"/>
      <c r="BL132" s="298"/>
      <c r="BM132" s="298"/>
      <c r="BN132" s="298"/>
      <c r="BO132" s="298"/>
    </row>
    <row r="133" spans="1:67" ht="15" x14ac:dyDescent="0.2">
      <c r="A133" s="10" t="s">
        <v>10</v>
      </c>
      <c r="B133" s="10"/>
      <c r="C133" s="276"/>
      <c r="D133" s="276"/>
      <c r="E133" s="276"/>
      <c r="F133" s="8">
        <v>3</v>
      </c>
      <c r="G133" s="355">
        <v>131</v>
      </c>
      <c r="H133" s="10">
        <v>107</v>
      </c>
      <c r="I133" s="7" t="s">
        <v>119</v>
      </c>
      <c r="J133" s="287"/>
      <c r="K133" s="356">
        <v>2310.44</v>
      </c>
      <c r="L133" s="355"/>
      <c r="M133" s="289"/>
      <c r="N133" s="357">
        <v>316</v>
      </c>
      <c r="O133" s="290">
        <f t="shared" si="31"/>
        <v>0.13677048527553193</v>
      </c>
      <c r="P133" s="290">
        <f t="shared" si="43"/>
        <v>0</v>
      </c>
      <c r="Q133" s="291">
        <f t="shared" si="32"/>
        <v>0</v>
      </c>
      <c r="R133" s="291">
        <f t="shared" si="44"/>
        <v>0</v>
      </c>
      <c r="S133" s="357">
        <v>72</v>
      </c>
      <c r="T133" s="292">
        <f t="shared" si="33"/>
        <v>94.8</v>
      </c>
      <c r="U133" s="254">
        <f t="shared" si="45"/>
        <v>2423.2400000000002</v>
      </c>
      <c r="V133" s="356">
        <v>3050518712</v>
      </c>
      <c r="W133" s="357">
        <v>13937</v>
      </c>
      <c r="X133" s="264">
        <f t="shared" si="34"/>
        <v>218879.15</v>
      </c>
      <c r="Y133" s="293">
        <f t="shared" si="35"/>
        <v>1.136876</v>
      </c>
      <c r="Z133" s="357">
        <v>117215</v>
      </c>
      <c r="AA133" s="293">
        <f t="shared" si="36"/>
        <v>0.97278500000000001</v>
      </c>
      <c r="AB133" s="293">
        <f t="shared" si="37"/>
        <v>-8.7649000000000005E-2</v>
      </c>
      <c r="AC133" s="294">
        <f t="shared" si="38"/>
        <v>0.01</v>
      </c>
      <c r="AD133" s="295">
        <f t="shared" si="46"/>
        <v>0</v>
      </c>
      <c r="AE133" s="296">
        <f t="shared" si="47"/>
        <v>0.01</v>
      </c>
      <c r="AF133" s="357">
        <v>1095</v>
      </c>
      <c r="AG133" s="357">
        <v>6</v>
      </c>
      <c r="AH133" s="254">
        <f t="shared" si="48"/>
        <v>600</v>
      </c>
      <c r="AI133" s="9">
        <f t="shared" si="39"/>
        <v>657000</v>
      </c>
      <c r="AJ133" s="9">
        <v>0</v>
      </c>
      <c r="AK133" s="9">
        <f t="shared" si="49"/>
        <v>0</v>
      </c>
      <c r="AL133" s="9">
        <f t="shared" si="50"/>
        <v>0</v>
      </c>
      <c r="AM133" s="9">
        <f t="shared" si="51"/>
        <v>0</v>
      </c>
      <c r="AN133" s="9">
        <f t="shared" si="52"/>
        <v>657000</v>
      </c>
      <c r="AO133" s="9">
        <f t="shared" si="40"/>
        <v>279278</v>
      </c>
      <c r="AP133" s="9">
        <f t="shared" si="53"/>
        <v>936278</v>
      </c>
      <c r="AQ133" s="9">
        <f t="shared" si="54"/>
        <v>936278</v>
      </c>
      <c r="AR133" s="291">
        <v>1509226</v>
      </c>
      <c r="AS133" s="9">
        <f t="shared" si="55"/>
        <v>572948</v>
      </c>
      <c r="AT133" s="297" t="str">
        <f t="shared" si="56"/>
        <v>No</v>
      </c>
      <c r="AU133" s="357">
        <v>1015498</v>
      </c>
      <c r="AV133" s="291">
        <f t="shared" si="41"/>
        <v>47726.568399999996</v>
      </c>
      <c r="AW133" s="291">
        <f t="shared" si="57"/>
        <v>1015498</v>
      </c>
      <c r="AX133" s="291">
        <f t="shared" si="42"/>
        <v>1015498</v>
      </c>
      <c r="AY133" s="358">
        <f t="shared" si="58"/>
        <v>0</v>
      </c>
      <c r="AZ133" s="301"/>
      <c r="BA133" s="301"/>
      <c r="BB133" s="302"/>
      <c r="BC133" s="291"/>
      <c r="BD133" s="298"/>
      <c r="BF133" s="298"/>
      <c r="BG133" s="298"/>
      <c r="BK133" s="298"/>
      <c r="BL133" s="298"/>
      <c r="BM133" s="298"/>
      <c r="BN133" s="298"/>
      <c r="BO133" s="298"/>
    </row>
    <row r="134" spans="1:67" ht="15" x14ac:dyDescent="0.2">
      <c r="A134" s="10" t="s">
        <v>4</v>
      </c>
      <c r="B134" s="10"/>
      <c r="C134" s="276"/>
      <c r="D134" s="276"/>
      <c r="E134" s="276"/>
      <c r="F134" s="8">
        <v>3</v>
      </c>
      <c r="G134" s="355">
        <v>126</v>
      </c>
      <c r="H134" s="10">
        <v>108</v>
      </c>
      <c r="I134" s="7" t="s">
        <v>120</v>
      </c>
      <c r="J134" s="287"/>
      <c r="K134" s="356">
        <v>1681.03</v>
      </c>
      <c r="L134" s="355"/>
      <c r="M134" s="289"/>
      <c r="N134" s="357">
        <v>224</v>
      </c>
      <c r="O134" s="290">
        <f t="shared" si="31"/>
        <v>0.13325163738898177</v>
      </c>
      <c r="P134" s="290">
        <f t="shared" si="43"/>
        <v>0</v>
      </c>
      <c r="Q134" s="291">
        <f t="shared" si="32"/>
        <v>0</v>
      </c>
      <c r="R134" s="291">
        <f t="shared" si="44"/>
        <v>0</v>
      </c>
      <c r="S134" s="357">
        <v>39</v>
      </c>
      <c r="T134" s="292">
        <f t="shared" si="33"/>
        <v>67.2</v>
      </c>
      <c r="U134" s="254">
        <f t="shared" si="45"/>
        <v>1757.98</v>
      </c>
      <c r="V134" s="356">
        <v>2275743653.6700001</v>
      </c>
      <c r="W134" s="357">
        <v>13022</v>
      </c>
      <c r="X134" s="264">
        <f t="shared" si="34"/>
        <v>174761.45</v>
      </c>
      <c r="Y134" s="293">
        <f t="shared" si="35"/>
        <v>0.907725</v>
      </c>
      <c r="Z134" s="357">
        <v>106047</v>
      </c>
      <c r="AA134" s="293">
        <f t="shared" si="36"/>
        <v>0.88009999999999999</v>
      </c>
      <c r="AB134" s="293">
        <f t="shared" si="37"/>
        <v>0.100563</v>
      </c>
      <c r="AC134" s="294">
        <f t="shared" si="38"/>
        <v>0.100563</v>
      </c>
      <c r="AD134" s="295">
        <f t="shared" si="46"/>
        <v>0</v>
      </c>
      <c r="AE134" s="296">
        <f t="shared" si="47"/>
        <v>0.100563</v>
      </c>
      <c r="AF134" s="357">
        <v>0</v>
      </c>
      <c r="AG134" s="357">
        <v>0</v>
      </c>
      <c r="AH134" s="254">
        <f t="shared" si="48"/>
        <v>0</v>
      </c>
      <c r="AI134" s="9">
        <f t="shared" si="39"/>
        <v>0</v>
      </c>
      <c r="AJ134" s="9">
        <v>0</v>
      </c>
      <c r="AK134" s="9">
        <f t="shared" si="49"/>
        <v>0</v>
      </c>
      <c r="AL134" s="9">
        <f t="shared" si="50"/>
        <v>0</v>
      </c>
      <c r="AM134" s="9">
        <f t="shared" si="51"/>
        <v>0</v>
      </c>
      <c r="AN134" s="9">
        <f t="shared" si="52"/>
        <v>0</v>
      </c>
      <c r="AO134" s="9">
        <f t="shared" si="40"/>
        <v>2037479</v>
      </c>
      <c r="AP134" s="9">
        <f t="shared" si="53"/>
        <v>2037479</v>
      </c>
      <c r="AQ134" s="9">
        <f t="shared" si="54"/>
        <v>2037479</v>
      </c>
      <c r="AR134" s="291">
        <v>4528763</v>
      </c>
      <c r="AS134" s="9">
        <f t="shared" si="55"/>
        <v>2491284</v>
      </c>
      <c r="AT134" s="297" t="str">
        <f t="shared" si="56"/>
        <v>No</v>
      </c>
      <c r="AU134" s="357">
        <v>3677011</v>
      </c>
      <c r="AV134" s="291">
        <f t="shared" si="41"/>
        <v>207523.9572</v>
      </c>
      <c r="AW134" s="291">
        <f t="shared" si="57"/>
        <v>3677011</v>
      </c>
      <c r="AX134" s="291">
        <f t="shared" si="42"/>
        <v>3677011</v>
      </c>
      <c r="AY134" s="358">
        <f t="shared" si="58"/>
        <v>0</v>
      </c>
      <c r="AZ134" s="301"/>
      <c r="BA134" s="301"/>
      <c r="BB134" s="302"/>
      <c r="BC134" s="291"/>
      <c r="BD134" s="298"/>
      <c r="BF134" s="298"/>
      <c r="BG134" s="298"/>
      <c r="BK134" s="298"/>
      <c r="BL134" s="298"/>
      <c r="BM134" s="298"/>
      <c r="BN134" s="298"/>
      <c r="BO134" s="298"/>
    </row>
    <row r="135" spans="1:67" ht="15" x14ac:dyDescent="0.2">
      <c r="A135" s="10" t="s">
        <v>19</v>
      </c>
      <c r="B135" s="10"/>
      <c r="C135" s="276"/>
      <c r="D135" s="276"/>
      <c r="E135" s="276"/>
      <c r="F135" s="8">
        <v>9</v>
      </c>
      <c r="G135" s="359">
        <v>23</v>
      </c>
      <c r="H135" s="10">
        <v>109</v>
      </c>
      <c r="I135" s="7" t="s">
        <v>121</v>
      </c>
      <c r="J135" s="287"/>
      <c r="K135" s="356">
        <v>2006</v>
      </c>
      <c r="L135" s="359"/>
      <c r="M135" s="289"/>
      <c r="N135" s="357">
        <v>1148</v>
      </c>
      <c r="O135" s="290">
        <f t="shared" si="31"/>
        <v>0.57228315054835488</v>
      </c>
      <c r="P135" s="290">
        <f t="shared" si="43"/>
        <v>0</v>
      </c>
      <c r="Q135" s="291">
        <f t="shared" si="32"/>
        <v>0</v>
      </c>
      <c r="R135" s="291">
        <f t="shared" si="44"/>
        <v>0</v>
      </c>
      <c r="S135" s="357">
        <v>37</v>
      </c>
      <c r="T135" s="292">
        <f t="shared" si="33"/>
        <v>344.4</v>
      </c>
      <c r="U135" s="254">
        <f t="shared" si="45"/>
        <v>2359.65</v>
      </c>
      <c r="V135" s="356">
        <v>1489193576.3299999</v>
      </c>
      <c r="W135" s="357">
        <v>15114</v>
      </c>
      <c r="X135" s="264">
        <f t="shared" si="34"/>
        <v>98530.74</v>
      </c>
      <c r="Y135" s="293">
        <f t="shared" si="35"/>
        <v>0.51177700000000004</v>
      </c>
      <c r="Z135" s="357">
        <v>67551</v>
      </c>
      <c r="AA135" s="293">
        <f t="shared" si="36"/>
        <v>0.560616</v>
      </c>
      <c r="AB135" s="293">
        <f t="shared" si="37"/>
        <v>0.47357100000000002</v>
      </c>
      <c r="AC135" s="294">
        <f t="shared" si="38"/>
        <v>0.47357100000000002</v>
      </c>
      <c r="AD135" s="295">
        <f t="shared" si="46"/>
        <v>0</v>
      </c>
      <c r="AE135" s="296">
        <f t="shared" si="47"/>
        <v>0.47357100000000002</v>
      </c>
      <c r="AF135" s="357">
        <v>0</v>
      </c>
      <c r="AG135" s="357">
        <v>0</v>
      </c>
      <c r="AH135" s="254">
        <f t="shared" si="48"/>
        <v>0</v>
      </c>
      <c r="AI135" s="9">
        <f t="shared" si="39"/>
        <v>0</v>
      </c>
      <c r="AJ135" s="9">
        <v>0</v>
      </c>
      <c r="AK135" s="9">
        <f t="shared" si="49"/>
        <v>0</v>
      </c>
      <c r="AL135" s="9">
        <f t="shared" si="50"/>
        <v>0</v>
      </c>
      <c r="AM135" s="9">
        <f t="shared" si="51"/>
        <v>0</v>
      </c>
      <c r="AN135" s="9">
        <f t="shared" si="52"/>
        <v>0</v>
      </c>
      <c r="AO135" s="9">
        <f t="shared" si="40"/>
        <v>12878747</v>
      </c>
      <c r="AP135" s="9">
        <f t="shared" si="53"/>
        <v>12878747</v>
      </c>
      <c r="AQ135" s="9">
        <f t="shared" si="54"/>
        <v>12878747</v>
      </c>
      <c r="AR135" s="291">
        <v>15364444</v>
      </c>
      <c r="AS135" s="9">
        <f t="shared" si="55"/>
        <v>2485697</v>
      </c>
      <c r="AT135" s="297" t="str">
        <f t="shared" si="56"/>
        <v>No</v>
      </c>
      <c r="AU135" s="357">
        <v>14990047</v>
      </c>
      <c r="AV135" s="291">
        <f t="shared" si="41"/>
        <v>207058.5601</v>
      </c>
      <c r="AW135" s="291">
        <f t="shared" si="57"/>
        <v>14990047</v>
      </c>
      <c r="AX135" s="291">
        <f t="shared" si="42"/>
        <v>14990047</v>
      </c>
      <c r="AY135" s="358">
        <f t="shared" si="58"/>
        <v>0</v>
      </c>
      <c r="AZ135" s="301"/>
      <c r="BA135" s="301"/>
      <c r="BB135" s="302"/>
      <c r="BC135" s="291"/>
      <c r="BD135" s="298"/>
      <c r="BF135" s="298"/>
      <c r="BG135" s="298"/>
      <c r="BK135" s="298"/>
      <c r="BL135" s="298"/>
      <c r="BM135" s="298"/>
      <c r="BN135" s="298"/>
      <c r="BO135" s="298"/>
    </row>
    <row r="136" spans="1:67" ht="15" x14ac:dyDescent="0.2">
      <c r="A136" s="10" t="s">
        <v>32</v>
      </c>
      <c r="B136" s="10"/>
      <c r="C136" s="276"/>
      <c r="D136" s="276"/>
      <c r="E136" s="276"/>
      <c r="F136" s="8">
        <v>8</v>
      </c>
      <c r="G136" s="359">
        <v>40</v>
      </c>
      <c r="H136" s="10">
        <v>110</v>
      </c>
      <c r="I136" s="7" t="s">
        <v>122</v>
      </c>
      <c r="J136" s="287"/>
      <c r="K136" s="356">
        <v>2217.0300000000002</v>
      </c>
      <c r="L136" s="359"/>
      <c r="M136" s="289"/>
      <c r="N136" s="357">
        <v>854</v>
      </c>
      <c r="O136" s="290">
        <f t="shared" si="31"/>
        <v>0.38520001984637103</v>
      </c>
      <c r="P136" s="290">
        <f t="shared" si="43"/>
        <v>0</v>
      </c>
      <c r="Q136" s="291">
        <f t="shared" si="32"/>
        <v>0</v>
      </c>
      <c r="R136" s="291">
        <f t="shared" si="44"/>
        <v>0</v>
      </c>
      <c r="S136" s="357">
        <v>162</v>
      </c>
      <c r="T136" s="292">
        <f t="shared" si="33"/>
        <v>256.2</v>
      </c>
      <c r="U136" s="254">
        <f t="shared" si="45"/>
        <v>2513.73</v>
      </c>
      <c r="V136" s="356">
        <v>2046165809.3299999</v>
      </c>
      <c r="W136" s="357">
        <v>17720</v>
      </c>
      <c r="X136" s="264">
        <f t="shared" si="34"/>
        <v>115472.11</v>
      </c>
      <c r="Y136" s="293">
        <f t="shared" si="35"/>
        <v>0.59977199999999997</v>
      </c>
      <c r="Z136" s="357">
        <v>65553</v>
      </c>
      <c r="AA136" s="293">
        <f t="shared" si="36"/>
        <v>0.54403400000000002</v>
      </c>
      <c r="AB136" s="293">
        <f t="shared" si="37"/>
        <v>0.41694900000000001</v>
      </c>
      <c r="AC136" s="294">
        <f t="shared" si="38"/>
        <v>0.41694900000000001</v>
      </c>
      <c r="AD136" s="295">
        <f t="shared" si="46"/>
        <v>0</v>
      </c>
      <c r="AE136" s="296">
        <f t="shared" si="47"/>
        <v>0.41694900000000001</v>
      </c>
      <c r="AF136" s="357">
        <v>0</v>
      </c>
      <c r="AG136" s="357">
        <v>0</v>
      </c>
      <c r="AH136" s="254">
        <f t="shared" si="48"/>
        <v>0</v>
      </c>
      <c r="AI136" s="9">
        <f t="shared" si="39"/>
        <v>0</v>
      </c>
      <c r="AJ136" s="9">
        <v>0</v>
      </c>
      <c r="AK136" s="9">
        <f t="shared" si="49"/>
        <v>0</v>
      </c>
      <c r="AL136" s="9">
        <f t="shared" si="50"/>
        <v>0</v>
      </c>
      <c r="AM136" s="9">
        <f t="shared" si="51"/>
        <v>0</v>
      </c>
      <c r="AN136" s="9">
        <f t="shared" si="52"/>
        <v>0</v>
      </c>
      <c r="AO136" s="9">
        <f t="shared" si="40"/>
        <v>12079320</v>
      </c>
      <c r="AP136" s="9">
        <f t="shared" si="53"/>
        <v>12079320</v>
      </c>
      <c r="AQ136" s="9">
        <f t="shared" si="54"/>
        <v>12079320</v>
      </c>
      <c r="AR136" s="291">
        <v>10272197</v>
      </c>
      <c r="AS136" s="9">
        <f t="shared" si="55"/>
        <v>1807123</v>
      </c>
      <c r="AT136" s="297" t="str">
        <f t="shared" si="56"/>
        <v>Yes</v>
      </c>
      <c r="AU136" s="357">
        <v>10812066</v>
      </c>
      <c r="AV136" s="291">
        <f t="shared" si="41"/>
        <v>192639.3118</v>
      </c>
      <c r="AW136" s="291">
        <f t="shared" si="57"/>
        <v>11004705.311799999</v>
      </c>
      <c r="AX136" s="291">
        <f t="shared" si="42"/>
        <v>11004705.311799999</v>
      </c>
      <c r="AY136" s="358">
        <f t="shared" si="58"/>
        <v>192639.31179999933</v>
      </c>
      <c r="AZ136" s="301"/>
      <c r="BA136" s="301"/>
      <c r="BB136" s="302"/>
      <c r="BC136" s="291"/>
      <c r="BD136" s="298"/>
      <c r="BF136" s="298"/>
      <c r="BG136" s="298"/>
      <c r="BK136" s="298"/>
      <c r="BL136" s="298"/>
      <c r="BM136" s="298"/>
      <c r="BN136" s="298"/>
      <c r="BO136" s="298"/>
    </row>
    <row r="137" spans="1:67" ht="15" x14ac:dyDescent="0.2">
      <c r="A137" s="10" t="s">
        <v>32</v>
      </c>
      <c r="B137" s="10"/>
      <c r="C137" s="276"/>
      <c r="D137" s="276"/>
      <c r="E137" s="276"/>
      <c r="F137" s="8">
        <v>8</v>
      </c>
      <c r="G137" s="359">
        <v>17</v>
      </c>
      <c r="H137" s="10">
        <v>111</v>
      </c>
      <c r="I137" s="7" t="s">
        <v>123</v>
      </c>
      <c r="J137" s="287"/>
      <c r="K137" s="356">
        <v>1424.63</v>
      </c>
      <c r="L137" s="359"/>
      <c r="M137" s="289"/>
      <c r="N137" s="357">
        <v>637</v>
      </c>
      <c r="O137" s="290">
        <f t="shared" si="31"/>
        <v>0.44713364171749853</v>
      </c>
      <c r="P137" s="290">
        <f t="shared" si="43"/>
        <v>0</v>
      </c>
      <c r="Q137" s="291">
        <f t="shared" si="32"/>
        <v>0</v>
      </c>
      <c r="R137" s="291">
        <f t="shared" si="44"/>
        <v>0</v>
      </c>
      <c r="S137" s="357">
        <v>26</v>
      </c>
      <c r="T137" s="292">
        <f t="shared" si="33"/>
        <v>191.1</v>
      </c>
      <c r="U137" s="254">
        <f t="shared" si="45"/>
        <v>1622.23</v>
      </c>
      <c r="V137" s="356">
        <v>1120792865</v>
      </c>
      <c r="W137" s="357">
        <v>11782</v>
      </c>
      <c r="X137" s="264">
        <f t="shared" si="34"/>
        <v>95127.56</v>
      </c>
      <c r="Y137" s="293">
        <f t="shared" si="35"/>
        <v>0.49409999999999998</v>
      </c>
      <c r="Z137" s="357">
        <v>80750</v>
      </c>
      <c r="AA137" s="293">
        <f t="shared" si="36"/>
        <v>0.67015599999999997</v>
      </c>
      <c r="AB137" s="293">
        <f t="shared" si="37"/>
        <v>0.45308300000000001</v>
      </c>
      <c r="AC137" s="294">
        <f t="shared" si="38"/>
        <v>0.45308300000000001</v>
      </c>
      <c r="AD137" s="295">
        <f t="shared" si="46"/>
        <v>0.03</v>
      </c>
      <c r="AE137" s="296">
        <f t="shared" si="47"/>
        <v>0.48308300000000004</v>
      </c>
      <c r="AF137" s="357">
        <v>0</v>
      </c>
      <c r="AG137" s="357">
        <v>0</v>
      </c>
      <c r="AH137" s="254">
        <f t="shared" si="48"/>
        <v>0</v>
      </c>
      <c r="AI137" s="9">
        <f t="shared" si="39"/>
        <v>0</v>
      </c>
      <c r="AJ137" s="9">
        <v>0</v>
      </c>
      <c r="AK137" s="9">
        <f t="shared" si="49"/>
        <v>0</v>
      </c>
      <c r="AL137" s="9">
        <f t="shared" si="50"/>
        <v>0</v>
      </c>
      <c r="AM137" s="9">
        <f t="shared" si="51"/>
        <v>0</v>
      </c>
      <c r="AN137" s="9">
        <f t="shared" si="52"/>
        <v>0</v>
      </c>
      <c r="AO137" s="9">
        <f t="shared" si="40"/>
        <v>9031817</v>
      </c>
      <c r="AP137" s="9">
        <f t="shared" si="53"/>
        <v>9031817</v>
      </c>
      <c r="AQ137" s="9">
        <f t="shared" si="54"/>
        <v>9031817</v>
      </c>
      <c r="AR137" s="291">
        <v>9761632</v>
      </c>
      <c r="AS137" s="9">
        <f t="shared" si="55"/>
        <v>729815</v>
      </c>
      <c r="AT137" s="297" t="str">
        <f t="shared" si="56"/>
        <v>No</v>
      </c>
      <c r="AU137" s="357">
        <v>9802121</v>
      </c>
      <c r="AV137" s="291">
        <f t="shared" si="41"/>
        <v>60793.589500000002</v>
      </c>
      <c r="AW137" s="291">
        <f t="shared" si="57"/>
        <v>9802121</v>
      </c>
      <c r="AX137" s="291">
        <f t="shared" si="42"/>
        <v>9802121</v>
      </c>
      <c r="AY137" s="358">
        <f t="shared" si="58"/>
        <v>0</v>
      </c>
      <c r="AZ137" s="301"/>
      <c r="BA137" s="301"/>
      <c r="BB137" s="302"/>
      <c r="BC137" s="291"/>
      <c r="BD137" s="298"/>
      <c r="BF137" s="298"/>
      <c r="BG137" s="298"/>
      <c r="BK137" s="298"/>
      <c r="BL137" s="298"/>
      <c r="BM137" s="298"/>
      <c r="BN137" s="298"/>
      <c r="BO137" s="298"/>
    </row>
    <row r="138" spans="1:67" ht="15" x14ac:dyDescent="0.2">
      <c r="A138" s="10" t="s">
        <v>4</v>
      </c>
      <c r="B138" s="10"/>
      <c r="C138" s="276"/>
      <c r="D138" s="276"/>
      <c r="E138" s="276"/>
      <c r="F138" s="8">
        <v>8</v>
      </c>
      <c r="G138" s="355">
        <v>134</v>
      </c>
      <c r="H138" s="10">
        <v>112</v>
      </c>
      <c r="I138" s="7" t="s">
        <v>124</v>
      </c>
      <c r="J138" s="287"/>
      <c r="K138" s="356">
        <v>521</v>
      </c>
      <c r="L138" s="355"/>
      <c r="M138" s="289"/>
      <c r="N138" s="357">
        <v>92</v>
      </c>
      <c r="O138" s="290">
        <f t="shared" si="31"/>
        <v>0.1765834932821497</v>
      </c>
      <c r="P138" s="290">
        <f t="shared" si="43"/>
        <v>0</v>
      </c>
      <c r="Q138" s="291">
        <f t="shared" si="32"/>
        <v>0</v>
      </c>
      <c r="R138" s="291">
        <f t="shared" si="44"/>
        <v>0</v>
      </c>
      <c r="S138" s="357">
        <v>0</v>
      </c>
      <c r="T138" s="292">
        <f t="shared" si="33"/>
        <v>27.6</v>
      </c>
      <c r="U138" s="254">
        <f t="shared" si="45"/>
        <v>548.6</v>
      </c>
      <c r="V138" s="356">
        <v>553530573.33000004</v>
      </c>
      <c r="W138" s="357">
        <v>4173</v>
      </c>
      <c r="X138" s="264">
        <f t="shared" si="34"/>
        <v>132645.72</v>
      </c>
      <c r="Y138" s="293">
        <f t="shared" si="35"/>
        <v>0.68897299999999995</v>
      </c>
      <c r="Z138" s="357">
        <v>78958</v>
      </c>
      <c r="AA138" s="293">
        <f t="shared" si="36"/>
        <v>0.65528399999999998</v>
      </c>
      <c r="AB138" s="293">
        <f t="shared" si="37"/>
        <v>0.32113399999999998</v>
      </c>
      <c r="AC138" s="294">
        <f t="shared" si="38"/>
        <v>0.32113399999999998</v>
      </c>
      <c r="AD138" s="295">
        <f t="shared" si="46"/>
        <v>0</v>
      </c>
      <c r="AE138" s="296">
        <f t="shared" si="47"/>
        <v>0.32113399999999998</v>
      </c>
      <c r="AF138" s="357">
        <v>0</v>
      </c>
      <c r="AG138" s="357">
        <v>0</v>
      </c>
      <c r="AH138" s="254">
        <f t="shared" si="48"/>
        <v>0</v>
      </c>
      <c r="AI138" s="9">
        <f t="shared" si="39"/>
        <v>0</v>
      </c>
      <c r="AJ138" s="9">
        <v>157</v>
      </c>
      <c r="AK138" s="9">
        <f t="shared" si="49"/>
        <v>4</v>
      </c>
      <c r="AL138" s="9">
        <f t="shared" si="50"/>
        <v>400</v>
      </c>
      <c r="AM138" s="9">
        <f t="shared" si="51"/>
        <v>62800</v>
      </c>
      <c r="AN138" s="9">
        <f t="shared" si="52"/>
        <v>62800</v>
      </c>
      <c r="AO138" s="9">
        <f t="shared" si="40"/>
        <v>2030407</v>
      </c>
      <c r="AP138" s="9">
        <f t="shared" si="53"/>
        <v>2093207</v>
      </c>
      <c r="AQ138" s="9">
        <f t="shared" si="54"/>
        <v>2093207</v>
      </c>
      <c r="AR138" s="291">
        <v>3073015</v>
      </c>
      <c r="AS138" s="9">
        <f t="shared" si="55"/>
        <v>979808</v>
      </c>
      <c r="AT138" s="297" t="str">
        <f t="shared" si="56"/>
        <v>No</v>
      </c>
      <c r="AU138" s="357">
        <v>2670987</v>
      </c>
      <c r="AV138" s="291">
        <f t="shared" si="41"/>
        <v>81618.006399999998</v>
      </c>
      <c r="AW138" s="291">
        <f t="shared" si="57"/>
        <v>2670987</v>
      </c>
      <c r="AX138" s="291">
        <f t="shared" si="42"/>
        <v>2670987</v>
      </c>
      <c r="AY138" s="358">
        <f t="shared" si="58"/>
        <v>0</v>
      </c>
      <c r="AZ138" s="301"/>
      <c r="BA138" s="301"/>
      <c r="BB138" s="302"/>
      <c r="BC138" s="291"/>
      <c r="BD138" s="298"/>
      <c r="BF138" s="298"/>
      <c r="BG138" s="298"/>
      <c r="BK138" s="298"/>
      <c r="BL138" s="298"/>
      <c r="BM138" s="298"/>
      <c r="BN138" s="298"/>
      <c r="BO138" s="298"/>
    </row>
    <row r="139" spans="1:67" ht="15" x14ac:dyDescent="0.2">
      <c r="A139" s="10" t="s">
        <v>8</v>
      </c>
      <c r="B139" s="10"/>
      <c r="C139" s="276"/>
      <c r="D139" s="276"/>
      <c r="E139" s="276"/>
      <c r="F139" s="8">
        <v>6</v>
      </c>
      <c r="G139" s="355">
        <v>69</v>
      </c>
      <c r="H139" s="10">
        <v>113</v>
      </c>
      <c r="I139" s="7" t="s">
        <v>125</v>
      </c>
      <c r="J139" s="287"/>
      <c r="K139" s="356">
        <v>1288.2</v>
      </c>
      <c r="L139" s="355"/>
      <c r="M139" s="289"/>
      <c r="N139" s="357">
        <v>336</v>
      </c>
      <c r="O139" s="290">
        <f t="shared" si="31"/>
        <v>0.2608290638099674</v>
      </c>
      <c r="P139" s="290">
        <f t="shared" si="43"/>
        <v>0</v>
      </c>
      <c r="Q139" s="291">
        <f t="shared" si="32"/>
        <v>0</v>
      </c>
      <c r="R139" s="291">
        <f t="shared" si="44"/>
        <v>0</v>
      </c>
      <c r="S139" s="357">
        <v>34</v>
      </c>
      <c r="T139" s="292">
        <f t="shared" si="33"/>
        <v>100.8</v>
      </c>
      <c r="U139" s="254">
        <f t="shared" si="45"/>
        <v>1397.5</v>
      </c>
      <c r="V139" s="356">
        <v>1215427411.3299999</v>
      </c>
      <c r="W139" s="357">
        <v>9362</v>
      </c>
      <c r="X139" s="264">
        <f t="shared" si="34"/>
        <v>129825.62</v>
      </c>
      <c r="Y139" s="293">
        <f t="shared" si="35"/>
        <v>0.67432499999999995</v>
      </c>
      <c r="Z139" s="357">
        <v>91295</v>
      </c>
      <c r="AA139" s="293">
        <f t="shared" si="36"/>
        <v>0.75767099999999998</v>
      </c>
      <c r="AB139" s="293">
        <f t="shared" si="37"/>
        <v>0.30067100000000002</v>
      </c>
      <c r="AC139" s="294">
        <f t="shared" si="38"/>
        <v>0.30067100000000002</v>
      </c>
      <c r="AD139" s="295">
        <f t="shared" si="46"/>
        <v>0</v>
      </c>
      <c r="AE139" s="296">
        <f t="shared" si="47"/>
        <v>0.30067100000000002</v>
      </c>
      <c r="AF139" s="357">
        <v>0</v>
      </c>
      <c r="AG139" s="357">
        <v>0</v>
      </c>
      <c r="AH139" s="254">
        <f t="shared" si="48"/>
        <v>0</v>
      </c>
      <c r="AI139" s="9">
        <f t="shared" si="39"/>
        <v>0</v>
      </c>
      <c r="AJ139" s="9">
        <v>0</v>
      </c>
      <c r="AK139" s="9">
        <f t="shared" si="49"/>
        <v>0</v>
      </c>
      <c r="AL139" s="9">
        <f t="shared" si="50"/>
        <v>0</v>
      </c>
      <c r="AM139" s="9">
        <f t="shared" si="51"/>
        <v>0</v>
      </c>
      <c r="AN139" s="9">
        <f t="shared" si="52"/>
        <v>0</v>
      </c>
      <c r="AO139" s="9">
        <f t="shared" si="40"/>
        <v>4842664</v>
      </c>
      <c r="AP139" s="9">
        <f t="shared" si="53"/>
        <v>4842664</v>
      </c>
      <c r="AQ139" s="9">
        <f t="shared" si="54"/>
        <v>4842664</v>
      </c>
      <c r="AR139" s="291">
        <v>4363751</v>
      </c>
      <c r="AS139" s="9">
        <f t="shared" si="55"/>
        <v>478913</v>
      </c>
      <c r="AT139" s="297" t="str">
        <f t="shared" si="56"/>
        <v>Yes</v>
      </c>
      <c r="AU139" s="357">
        <v>4493305</v>
      </c>
      <c r="AV139" s="291">
        <f t="shared" si="41"/>
        <v>51052.125800000002</v>
      </c>
      <c r="AW139" s="291">
        <f t="shared" si="57"/>
        <v>4544357.1257999996</v>
      </c>
      <c r="AX139" s="291">
        <f t="shared" si="42"/>
        <v>4544357.1257999996</v>
      </c>
      <c r="AY139" s="358">
        <f t="shared" si="58"/>
        <v>51052.125799999572</v>
      </c>
      <c r="AZ139" s="301"/>
      <c r="BA139" s="301"/>
      <c r="BB139" s="302"/>
      <c r="BC139" s="291"/>
      <c r="BD139" s="298"/>
      <c r="BF139" s="298"/>
      <c r="BG139" s="298"/>
      <c r="BK139" s="298"/>
      <c r="BL139" s="298"/>
      <c r="BM139" s="298"/>
      <c r="BN139" s="298"/>
      <c r="BO139" s="298"/>
    </row>
    <row r="140" spans="1:67" ht="15" x14ac:dyDescent="0.2">
      <c r="A140" s="10" t="s">
        <v>8</v>
      </c>
      <c r="B140" s="10"/>
      <c r="C140" s="276"/>
      <c r="D140" s="276"/>
      <c r="E140" s="276"/>
      <c r="F140" s="8">
        <v>7</v>
      </c>
      <c r="G140" s="359">
        <v>41</v>
      </c>
      <c r="H140" s="10">
        <v>114</v>
      </c>
      <c r="I140" s="7" t="s">
        <v>126</v>
      </c>
      <c r="J140" s="287"/>
      <c r="K140" s="356">
        <v>588.26</v>
      </c>
      <c r="L140" s="359"/>
      <c r="M140" s="289"/>
      <c r="N140" s="357">
        <v>156</v>
      </c>
      <c r="O140" s="290">
        <f t="shared" si="31"/>
        <v>0.26518886206779313</v>
      </c>
      <c r="P140" s="290">
        <f t="shared" si="43"/>
        <v>0</v>
      </c>
      <c r="Q140" s="291">
        <f t="shared" si="32"/>
        <v>0</v>
      </c>
      <c r="R140" s="291">
        <f t="shared" si="44"/>
        <v>0</v>
      </c>
      <c r="S140" s="357">
        <v>8</v>
      </c>
      <c r="T140" s="292">
        <f t="shared" si="33"/>
        <v>46.8</v>
      </c>
      <c r="U140" s="254">
        <f t="shared" si="45"/>
        <v>637.05999999999995</v>
      </c>
      <c r="V140" s="356">
        <v>652410182.66999996</v>
      </c>
      <c r="W140" s="357">
        <v>4666</v>
      </c>
      <c r="X140" s="264">
        <f t="shared" si="34"/>
        <v>139822.16</v>
      </c>
      <c r="Y140" s="293">
        <f t="shared" si="35"/>
        <v>0.726248</v>
      </c>
      <c r="Z140" s="357">
        <v>75568</v>
      </c>
      <c r="AA140" s="293">
        <f t="shared" si="36"/>
        <v>0.62714999999999999</v>
      </c>
      <c r="AB140" s="293">
        <f t="shared" si="37"/>
        <v>0.303481</v>
      </c>
      <c r="AC140" s="294">
        <f t="shared" si="38"/>
        <v>0.303481</v>
      </c>
      <c r="AD140" s="295">
        <f t="shared" si="46"/>
        <v>0</v>
      </c>
      <c r="AE140" s="296">
        <f t="shared" si="47"/>
        <v>0.303481</v>
      </c>
      <c r="AF140" s="357">
        <v>0</v>
      </c>
      <c r="AG140" s="357">
        <v>0</v>
      </c>
      <c r="AH140" s="254">
        <f t="shared" si="48"/>
        <v>0</v>
      </c>
      <c r="AI140" s="9">
        <f t="shared" si="39"/>
        <v>0</v>
      </c>
      <c r="AJ140" s="9">
        <v>158</v>
      </c>
      <c r="AK140" s="9">
        <f t="shared" si="49"/>
        <v>4</v>
      </c>
      <c r="AL140" s="9">
        <f t="shared" si="50"/>
        <v>400</v>
      </c>
      <c r="AM140" s="9">
        <f t="shared" si="51"/>
        <v>63200</v>
      </c>
      <c r="AN140" s="9">
        <f t="shared" si="52"/>
        <v>63200</v>
      </c>
      <c r="AO140" s="9">
        <f t="shared" si="40"/>
        <v>2228193</v>
      </c>
      <c r="AP140" s="9">
        <f t="shared" si="53"/>
        <v>2291393</v>
      </c>
      <c r="AQ140" s="9">
        <f t="shared" si="54"/>
        <v>2291393</v>
      </c>
      <c r="AR140" s="291">
        <v>3012017</v>
      </c>
      <c r="AS140" s="9">
        <f t="shared" si="55"/>
        <v>720624</v>
      </c>
      <c r="AT140" s="297" t="str">
        <f t="shared" si="56"/>
        <v>No</v>
      </c>
      <c r="AU140" s="357">
        <v>2952496</v>
      </c>
      <c r="AV140" s="291">
        <f t="shared" si="41"/>
        <v>60027.979200000002</v>
      </c>
      <c r="AW140" s="291">
        <f t="shared" si="57"/>
        <v>2952496</v>
      </c>
      <c r="AX140" s="291">
        <f t="shared" si="42"/>
        <v>2952496</v>
      </c>
      <c r="AY140" s="358">
        <f t="shared" si="58"/>
        <v>0</v>
      </c>
      <c r="AZ140" s="301"/>
      <c r="BA140" s="301"/>
      <c r="BB140" s="302"/>
      <c r="BC140" s="291"/>
      <c r="BD140" s="298"/>
      <c r="BF140" s="298"/>
      <c r="BG140" s="298"/>
      <c r="BK140" s="298"/>
      <c r="BL140" s="298"/>
      <c r="BM140" s="298"/>
      <c r="BN140" s="298"/>
      <c r="BO140" s="298"/>
    </row>
    <row r="141" spans="1:67" ht="15" x14ac:dyDescent="0.2">
      <c r="A141" s="10" t="s">
        <v>8</v>
      </c>
      <c r="B141" s="10"/>
      <c r="C141" s="276"/>
      <c r="D141" s="276"/>
      <c r="E141" s="276"/>
      <c r="F141" s="8">
        <v>6</v>
      </c>
      <c r="G141" s="355">
        <v>70</v>
      </c>
      <c r="H141" s="10">
        <v>115</v>
      </c>
      <c r="I141" s="7" t="s">
        <v>127</v>
      </c>
      <c r="J141" s="287"/>
      <c r="K141" s="356">
        <v>1311.37</v>
      </c>
      <c r="L141" s="355"/>
      <c r="M141" s="289"/>
      <c r="N141" s="357">
        <v>267</v>
      </c>
      <c r="O141" s="290">
        <f t="shared" si="31"/>
        <v>0.20360386466062211</v>
      </c>
      <c r="P141" s="290">
        <f t="shared" si="43"/>
        <v>0</v>
      </c>
      <c r="Q141" s="291">
        <f t="shared" si="32"/>
        <v>0</v>
      </c>
      <c r="R141" s="291">
        <f t="shared" si="44"/>
        <v>0</v>
      </c>
      <c r="S141" s="357">
        <v>28</v>
      </c>
      <c r="T141" s="292">
        <f t="shared" si="33"/>
        <v>80.099999999999994</v>
      </c>
      <c r="U141" s="254">
        <f t="shared" si="45"/>
        <v>1398.4699999999998</v>
      </c>
      <c r="V141" s="356">
        <v>1272039799.3299999</v>
      </c>
      <c r="W141" s="357">
        <v>9736</v>
      </c>
      <c r="X141" s="264">
        <f t="shared" si="34"/>
        <v>130653.23</v>
      </c>
      <c r="Y141" s="293">
        <f t="shared" si="35"/>
        <v>0.678624</v>
      </c>
      <c r="Z141" s="357">
        <v>100524</v>
      </c>
      <c r="AA141" s="293">
        <f t="shared" si="36"/>
        <v>0.83426400000000001</v>
      </c>
      <c r="AB141" s="293">
        <f t="shared" si="37"/>
        <v>0.27468399999999998</v>
      </c>
      <c r="AC141" s="294">
        <f t="shared" si="38"/>
        <v>0.27468399999999998</v>
      </c>
      <c r="AD141" s="295">
        <f t="shared" si="46"/>
        <v>0</v>
      </c>
      <c r="AE141" s="296">
        <f t="shared" si="47"/>
        <v>0.27468399999999998</v>
      </c>
      <c r="AF141" s="357">
        <v>1312</v>
      </c>
      <c r="AG141" s="357">
        <v>13</v>
      </c>
      <c r="AH141" s="254">
        <f t="shared" si="48"/>
        <v>1300</v>
      </c>
      <c r="AI141" s="9">
        <f t="shared" si="39"/>
        <v>1705600</v>
      </c>
      <c r="AJ141" s="9">
        <v>0</v>
      </c>
      <c r="AK141" s="9">
        <f t="shared" si="49"/>
        <v>0</v>
      </c>
      <c r="AL141" s="9">
        <f t="shared" si="50"/>
        <v>0</v>
      </c>
      <c r="AM141" s="9">
        <f t="shared" si="51"/>
        <v>0</v>
      </c>
      <c r="AN141" s="9">
        <f t="shared" si="52"/>
        <v>1705600</v>
      </c>
      <c r="AO141" s="9">
        <f t="shared" si="40"/>
        <v>4427183</v>
      </c>
      <c r="AP141" s="9">
        <f t="shared" si="53"/>
        <v>6132783</v>
      </c>
      <c r="AQ141" s="9">
        <f t="shared" si="54"/>
        <v>6132783</v>
      </c>
      <c r="AR141" s="291">
        <v>5297609</v>
      </c>
      <c r="AS141" s="9">
        <f t="shared" si="55"/>
        <v>835174</v>
      </c>
      <c r="AT141" s="297" t="str">
        <f t="shared" si="56"/>
        <v>Yes</v>
      </c>
      <c r="AU141" s="357">
        <v>4862123</v>
      </c>
      <c r="AV141" s="291">
        <f t="shared" si="41"/>
        <v>89029.5484</v>
      </c>
      <c r="AW141" s="291">
        <f t="shared" si="57"/>
        <v>4951152.5483999997</v>
      </c>
      <c r="AX141" s="291">
        <f t="shared" si="42"/>
        <v>4951152.5483999997</v>
      </c>
      <c r="AY141" s="358">
        <f t="shared" si="58"/>
        <v>89029.548399999738</v>
      </c>
      <c r="AZ141" s="301"/>
      <c r="BA141" s="301"/>
      <c r="BB141" s="302"/>
      <c r="BC141" s="291"/>
      <c r="BD141" s="298"/>
      <c r="BF141" s="298"/>
      <c r="BG141" s="298"/>
      <c r="BK141" s="298"/>
      <c r="BL141" s="298"/>
      <c r="BM141" s="298"/>
      <c r="BN141" s="298"/>
      <c r="BO141" s="298"/>
    </row>
    <row r="142" spans="1:67" ht="15" x14ac:dyDescent="0.2">
      <c r="A142" s="10" t="s">
        <v>19</v>
      </c>
      <c r="B142" s="299"/>
      <c r="C142" s="276">
        <v>1</v>
      </c>
      <c r="D142" s="276">
        <v>1</v>
      </c>
      <c r="E142" s="276"/>
      <c r="F142" s="8">
        <v>10</v>
      </c>
      <c r="G142" s="359">
        <v>33</v>
      </c>
      <c r="H142" s="10">
        <v>116</v>
      </c>
      <c r="I142" s="7" t="s">
        <v>128</v>
      </c>
      <c r="J142" s="287"/>
      <c r="K142" s="356">
        <v>1059.3499999999999</v>
      </c>
      <c r="L142" s="359"/>
      <c r="M142" s="289"/>
      <c r="N142" s="357">
        <v>689</v>
      </c>
      <c r="O142" s="290">
        <f t="shared" si="31"/>
        <v>0.650398829470902</v>
      </c>
      <c r="P142" s="290">
        <f t="shared" si="43"/>
        <v>5.0398829470902018E-2</v>
      </c>
      <c r="Q142" s="291">
        <f t="shared" si="32"/>
        <v>53.39000000000005</v>
      </c>
      <c r="R142" s="291">
        <f t="shared" si="44"/>
        <v>8.0085000000000068</v>
      </c>
      <c r="S142" s="357">
        <v>40</v>
      </c>
      <c r="T142" s="292">
        <f t="shared" si="33"/>
        <v>206.7</v>
      </c>
      <c r="U142" s="254">
        <f t="shared" si="45"/>
        <v>1284.0584999999999</v>
      </c>
      <c r="V142" s="356">
        <v>1007105663.33</v>
      </c>
      <c r="W142" s="357">
        <v>9360</v>
      </c>
      <c r="X142" s="264">
        <f t="shared" si="34"/>
        <v>107596.76</v>
      </c>
      <c r="Y142" s="293">
        <f t="shared" si="35"/>
        <v>0.55886599999999997</v>
      </c>
      <c r="Z142" s="357">
        <v>59753</v>
      </c>
      <c r="AA142" s="293">
        <f t="shared" si="36"/>
        <v>0.49589899999999998</v>
      </c>
      <c r="AB142" s="293">
        <f t="shared" si="37"/>
        <v>0.46002399999999999</v>
      </c>
      <c r="AC142" s="294">
        <f t="shared" si="38"/>
        <v>0.46002399999999999</v>
      </c>
      <c r="AD142" s="295">
        <f t="shared" si="46"/>
        <v>0</v>
      </c>
      <c r="AE142" s="296">
        <f t="shared" si="47"/>
        <v>0.46002399999999999</v>
      </c>
      <c r="AF142" s="357">
        <v>0</v>
      </c>
      <c r="AG142" s="357">
        <v>0</v>
      </c>
      <c r="AH142" s="254">
        <f t="shared" si="48"/>
        <v>0</v>
      </c>
      <c r="AI142" s="9">
        <f t="shared" si="39"/>
        <v>0</v>
      </c>
      <c r="AJ142" s="9">
        <v>0</v>
      </c>
      <c r="AK142" s="9">
        <f t="shared" si="49"/>
        <v>0</v>
      </c>
      <c r="AL142" s="9">
        <f t="shared" si="50"/>
        <v>0</v>
      </c>
      <c r="AM142" s="9">
        <f t="shared" si="51"/>
        <v>0</v>
      </c>
      <c r="AN142" s="9">
        <f t="shared" si="52"/>
        <v>0</v>
      </c>
      <c r="AO142" s="9">
        <f t="shared" si="40"/>
        <v>6807791</v>
      </c>
      <c r="AP142" s="9">
        <f t="shared" si="53"/>
        <v>6807791</v>
      </c>
      <c r="AQ142" s="9">
        <f t="shared" si="54"/>
        <v>8340282</v>
      </c>
      <c r="AR142" s="291">
        <v>8340282</v>
      </c>
      <c r="AS142" s="9">
        <f t="shared" si="55"/>
        <v>1532491</v>
      </c>
      <c r="AT142" s="297" t="str">
        <f t="shared" si="56"/>
        <v>No</v>
      </c>
      <c r="AU142" s="357">
        <v>8340282</v>
      </c>
      <c r="AV142" s="291">
        <f t="shared" si="41"/>
        <v>127656.5003</v>
      </c>
      <c r="AW142" s="291">
        <f t="shared" si="57"/>
        <v>8340282</v>
      </c>
      <c r="AX142" s="291">
        <f t="shared" si="42"/>
        <v>8340282</v>
      </c>
      <c r="AY142" s="358">
        <f t="shared" si="58"/>
        <v>0</v>
      </c>
      <c r="AZ142" s="301"/>
      <c r="BA142" s="301"/>
      <c r="BB142" s="302"/>
      <c r="BC142" s="291"/>
      <c r="BD142" s="298"/>
      <c r="BF142" s="298"/>
      <c r="BG142" s="298"/>
      <c r="BK142" s="298"/>
      <c r="BL142" s="298"/>
      <c r="BM142" s="298"/>
      <c r="BN142" s="298"/>
      <c r="BO142" s="298"/>
    </row>
    <row r="143" spans="1:67" ht="15" x14ac:dyDescent="0.2">
      <c r="A143" s="10" t="s">
        <v>46</v>
      </c>
      <c r="B143" s="10"/>
      <c r="C143" s="276"/>
      <c r="D143" s="276"/>
      <c r="E143" s="276"/>
      <c r="F143" s="8">
        <v>1</v>
      </c>
      <c r="G143" s="355">
        <v>151</v>
      </c>
      <c r="H143" s="10">
        <v>117</v>
      </c>
      <c r="I143" s="7" t="s">
        <v>129</v>
      </c>
      <c r="J143" s="287"/>
      <c r="K143" s="356">
        <v>1228.08</v>
      </c>
      <c r="L143" s="355"/>
      <c r="M143" s="289"/>
      <c r="N143" s="357">
        <v>123</v>
      </c>
      <c r="O143" s="290">
        <f t="shared" si="31"/>
        <v>0.10015634160641002</v>
      </c>
      <c r="P143" s="290">
        <f t="shared" si="43"/>
        <v>0</v>
      </c>
      <c r="Q143" s="291">
        <f t="shared" si="32"/>
        <v>0</v>
      </c>
      <c r="R143" s="291">
        <f t="shared" si="44"/>
        <v>0</v>
      </c>
      <c r="S143" s="357">
        <v>12</v>
      </c>
      <c r="T143" s="292">
        <f t="shared" si="33"/>
        <v>36.9</v>
      </c>
      <c r="U143" s="254">
        <f t="shared" si="45"/>
        <v>1267.98</v>
      </c>
      <c r="V143" s="356">
        <v>2278467170.6700001</v>
      </c>
      <c r="W143" s="357">
        <v>9209</v>
      </c>
      <c r="X143" s="264">
        <f t="shared" si="34"/>
        <v>247417.44</v>
      </c>
      <c r="Y143" s="293">
        <f t="shared" si="35"/>
        <v>1.285107</v>
      </c>
      <c r="Z143" s="357">
        <v>128047</v>
      </c>
      <c r="AA143" s="293">
        <f t="shared" si="36"/>
        <v>1.062681</v>
      </c>
      <c r="AB143" s="293">
        <f t="shared" si="37"/>
        <v>-0.21837899999999999</v>
      </c>
      <c r="AC143" s="294">
        <f t="shared" si="38"/>
        <v>0.01</v>
      </c>
      <c r="AD143" s="295">
        <f t="shared" si="46"/>
        <v>0</v>
      </c>
      <c r="AE143" s="296">
        <f t="shared" si="47"/>
        <v>0.01</v>
      </c>
      <c r="AF143" s="357">
        <v>434</v>
      </c>
      <c r="AG143" s="357">
        <v>4</v>
      </c>
      <c r="AH143" s="254">
        <f t="shared" si="48"/>
        <v>400</v>
      </c>
      <c r="AI143" s="9">
        <f t="shared" si="39"/>
        <v>173600</v>
      </c>
      <c r="AJ143" s="9">
        <v>0</v>
      </c>
      <c r="AK143" s="9">
        <f t="shared" si="49"/>
        <v>0</v>
      </c>
      <c r="AL143" s="9">
        <f t="shared" si="50"/>
        <v>0</v>
      </c>
      <c r="AM143" s="9">
        <f t="shared" si="51"/>
        <v>0</v>
      </c>
      <c r="AN143" s="9">
        <f t="shared" si="52"/>
        <v>173600</v>
      </c>
      <c r="AO143" s="9">
        <f t="shared" si="40"/>
        <v>146135</v>
      </c>
      <c r="AP143" s="9">
        <f t="shared" si="53"/>
        <v>319735</v>
      </c>
      <c r="AQ143" s="9">
        <f t="shared" si="54"/>
        <v>319735</v>
      </c>
      <c r="AR143" s="291">
        <v>180135</v>
      </c>
      <c r="AS143" s="9">
        <f t="shared" si="55"/>
        <v>139600</v>
      </c>
      <c r="AT143" s="297" t="str">
        <f t="shared" si="56"/>
        <v>Yes</v>
      </c>
      <c r="AU143" s="357">
        <v>178040</v>
      </c>
      <c r="AV143" s="291">
        <f t="shared" si="41"/>
        <v>14881.36</v>
      </c>
      <c r="AW143" s="291">
        <f t="shared" si="57"/>
        <v>192921.36</v>
      </c>
      <c r="AX143" s="291">
        <f t="shared" si="42"/>
        <v>192921.36</v>
      </c>
      <c r="AY143" s="358">
        <f t="shared" si="58"/>
        <v>14881.359999999986</v>
      </c>
      <c r="AZ143" s="301"/>
      <c r="BA143" s="301"/>
      <c r="BB143" s="302"/>
      <c r="BC143" s="291"/>
      <c r="BD143" s="298"/>
      <c r="BF143" s="298"/>
      <c r="BG143" s="298"/>
      <c r="BK143" s="298"/>
      <c r="BL143" s="298"/>
      <c r="BM143" s="298"/>
      <c r="BN143" s="298"/>
      <c r="BO143" s="298"/>
    </row>
    <row r="144" spans="1:67" ht="15" x14ac:dyDescent="0.2">
      <c r="A144" s="10" t="s">
        <v>46</v>
      </c>
      <c r="B144" s="10"/>
      <c r="C144" s="276"/>
      <c r="D144" s="276"/>
      <c r="E144" s="276"/>
      <c r="F144" s="8">
        <v>1</v>
      </c>
      <c r="G144" s="355">
        <v>158</v>
      </c>
      <c r="H144" s="10">
        <v>118</v>
      </c>
      <c r="I144" s="7" t="s">
        <v>130</v>
      </c>
      <c r="J144" s="287"/>
      <c r="K144" s="356">
        <v>4545.18</v>
      </c>
      <c r="L144" s="355"/>
      <c r="M144" s="289"/>
      <c r="N144" s="357">
        <v>250</v>
      </c>
      <c r="O144" s="290">
        <f t="shared" si="31"/>
        <v>5.5003322200660919E-2</v>
      </c>
      <c r="P144" s="290">
        <f t="shared" si="43"/>
        <v>0</v>
      </c>
      <c r="Q144" s="291">
        <f t="shared" si="32"/>
        <v>0</v>
      </c>
      <c r="R144" s="291">
        <f t="shared" si="44"/>
        <v>0</v>
      </c>
      <c r="S144" s="357">
        <v>50</v>
      </c>
      <c r="T144" s="292">
        <f t="shared" si="33"/>
        <v>75</v>
      </c>
      <c r="U144" s="254">
        <f t="shared" si="45"/>
        <v>4632.68</v>
      </c>
      <c r="V144" s="356">
        <v>7091462587</v>
      </c>
      <c r="W144" s="357">
        <v>25070</v>
      </c>
      <c r="X144" s="264">
        <f t="shared" si="34"/>
        <v>282866.48</v>
      </c>
      <c r="Y144" s="293">
        <f t="shared" si="35"/>
        <v>1.4692320000000001</v>
      </c>
      <c r="Z144" s="357">
        <v>158518</v>
      </c>
      <c r="AA144" s="293">
        <f t="shared" si="36"/>
        <v>1.3155650000000001</v>
      </c>
      <c r="AB144" s="293">
        <f t="shared" si="37"/>
        <v>-0.42313200000000001</v>
      </c>
      <c r="AC144" s="294">
        <f t="shared" si="38"/>
        <v>0.01</v>
      </c>
      <c r="AD144" s="295">
        <f t="shared" si="46"/>
        <v>0</v>
      </c>
      <c r="AE144" s="296">
        <f t="shared" si="47"/>
        <v>0.01</v>
      </c>
      <c r="AF144" s="357">
        <v>0</v>
      </c>
      <c r="AG144" s="357">
        <v>0</v>
      </c>
      <c r="AH144" s="254">
        <f t="shared" si="48"/>
        <v>0</v>
      </c>
      <c r="AI144" s="9">
        <f t="shared" si="39"/>
        <v>0</v>
      </c>
      <c r="AJ144" s="9">
        <v>0</v>
      </c>
      <c r="AK144" s="9">
        <f t="shared" si="49"/>
        <v>0</v>
      </c>
      <c r="AL144" s="9">
        <f t="shared" si="50"/>
        <v>0</v>
      </c>
      <c r="AM144" s="9">
        <f t="shared" si="51"/>
        <v>0</v>
      </c>
      <c r="AN144" s="9">
        <f t="shared" si="52"/>
        <v>0</v>
      </c>
      <c r="AO144" s="9">
        <f t="shared" si="40"/>
        <v>533916</v>
      </c>
      <c r="AP144" s="9">
        <f t="shared" si="53"/>
        <v>533916</v>
      </c>
      <c r="AQ144" s="9">
        <f t="shared" si="54"/>
        <v>533916</v>
      </c>
      <c r="AR144" s="291">
        <v>571648</v>
      </c>
      <c r="AS144" s="9">
        <f t="shared" si="55"/>
        <v>37732</v>
      </c>
      <c r="AT144" s="297" t="str">
        <f t="shared" si="56"/>
        <v>No</v>
      </c>
      <c r="AU144" s="357">
        <v>568700</v>
      </c>
      <c r="AV144" s="291">
        <f t="shared" si="41"/>
        <v>3143.0756000000001</v>
      </c>
      <c r="AW144" s="291">
        <f t="shared" si="57"/>
        <v>568700</v>
      </c>
      <c r="AX144" s="291">
        <f t="shared" si="42"/>
        <v>568700</v>
      </c>
      <c r="AY144" s="358">
        <f t="shared" si="58"/>
        <v>0</v>
      </c>
      <c r="AZ144" s="301"/>
      <c r="BA144" s="301"/>
      <c r="BB144" s="302"/>
      <c r="BC144" s="291"/>
      <c r="BD144" s="298"/>
      <c r="BF144" s="298"/>
      <c r="BG144" s="298"/>
      <c r="BK144" s="298"/>
      <c r="BL144" s="298"/>
      <c r="BM144" s="298"/>
      <c r="BN144" s="298"/>
      <c r="BO144" s="298"/>
    </row>
    <row r="145" spans="1:67" ht="15" x14ac:dyDescent="0.2">
      <c r="A145" s="10" t="s">
        <v>14</v>
      </c>
      <c r="B145" s="10"/>
      <c r="C145" s="276"/>
      <c r="D145" s="276"/>
      <c r="E145" s="276"/>
      <c r="F145" s="8">
        <v>6</v>
      </c>
      <c r="G145" s="355">
        <v>110</v>
      </c>
      <c r="H145" s="10">
        <v>119</v>
      </c>
      <c r="I145" s="7" t="s">
        <v>131</v>
      </c>
      <c r="J145" s="287"/>
      <c r="K145" s="356">
        <v>2774.17</v>
      </c>
      <c r="L145" s="355"/>
      <c r="M145" s="289"/>
      <c r="N145" s="357">
        <v>506</v>
      </c>
      <c r="O145" s="290">
        <f t="shared" si="31"/>
        <v>0.18239689708994042</v>
      </c>
      <c r="P145" s="290">
        <f t="shared" si="43"/>
        <v>0</v>
      </c>
      <c r="Q145" s="291">
        <f t="shared" si="32"/>
        <v>0</v>
      </c>
      <c r="R145" s="291">
        <f t="shared" si="44"/>
        <v>0</v>
      </c>
      <c r="S145" s="357">
        <v>215</v>
      </c>
      <c r="T145" s="292">
        <f t="shared" si="33"/>
        <v>151.80000000000001</v>
      </c>
      <c r="U145" s="254">
        <f t="shared" si="45"/>
        <v>2979.7200000000003</v>
      </c>
      <c r="V145" s="356">
        <v>3097362568</v>
      </c>
      <c r="W145" s="357">
        <v>20137</v>
      </c>
      <c r="X145" s="264">
        <f t="shared" si="34"/>
        <v>153814.5</v>
      </c>
      <c r="Y145" s="293">
        <f t="shared" si="35"/>
        <v>0.798925</v>
      </c>
      <c r="Z145" s="357">
        <v>83100</v>
      </c>
      <c r="AA145" s="293">
        <f t="shared" si="36"/>
        <v>0.68965900000000002</v>
      </c>
      <c r="AB145" s="293">
        <f t="shared" si="37"/>
        <v>0.23385500000000001</v>
      </c>
      <c r="AC145" s="294">
        <f t="shared" si="38"/>
        <v>0.23385500000000001</v>
      </c>
      <c r="AD145" s="295">
        <f t="shared" si="46"/>
        <v>0</v>
      </c>
      <c r="AE145" s="296">
        <f t="shared" si="47"/>
        <v>0.23385500000000001</v>
      </c>
      <c r="AF145" s="357">
        <v>0</v>
      </c>
      <c r="AG145" s="357">
        <v>0</v>
      </c>
      <c r="AH145" s="254">
        <f t="shared" si="48"/>
        <v>0</v>
      </c>
      <c r="AI145" s="9">
        <f t="shared" si="39"/>
        <v>0</v>
      </c>
      <c r="AJ145" s="9">
        <v>0</v>
      </c>
      <c r="AK145" s="9">
        <f t="shared" si="49"/>
        <v>0</v>
      </c>
      <c r="AL145" s="9">
        <f t="shared" si="50"/>
        <v>0</v>
      </c>
      <c r="AM145" s="9">
        <f t="shared" si="51"/>
        <v>0</v>
      </c>
      <c r="AN145" s="9">
        <f t="shared" si="52"/>
        <v>0</v>
      </c>
      <c r="AO145" s="9">
        <f t="shared" si="40"/>
        <v>8030878</v>
      </c>
      <c r="AP145" s="9">
        <f t="shared" si="53"/>
        <v>8030878</v>
      </c>
      <c r="AQ145" s="9">
        <f t="shared" si="54"/>
        <v>8030878</v>
      </c>
      <c r="AR145" s="291">
        <v>4250230</v>
      </c>
      <c r="AS145" s="9">
        <f t="shared" si="55"/>
        <v>3780648</v>
      </c>
      <c r="AT145" s="297" t="str">
        <f t="shared" si="56"/>
        <v>Yes</v>
      </c>
      <c r="AU145" s="357">
        <v>5010814</v>
      </c>
      <c r="AV145" s="291">
        <f t="shared" si="41"/>
        <v>403017.07679999998</v>
      </c>
      <c r="AW145" s="291">
        <f t="shared" si="57"/>
        <v>5413831.0767999999</v>
      </c>
      <c r="AX145" s="291">
        <f t="shared" si="42"/>
        <v>5413831.0767999999</v>
      </c>
      <c r="AY145" s="358">
        <f t="shared" si="58"/>
        <v>403017.07679999992</v>
      </c>
      <c r="AZ145" s="301"/>
      <c r="BA145" s="301"/>
      <c r="BB145" s="302"/>
      <c r="BC145" s="291"/>
      <c r="BD145" s="298"/>
      <c r="BF145" s="298"/>
      <c r="BG145" s="298"/>
      <c r="BK145" s="298"/>
      <c r="BL145" s="298"/>
      <c r="BM145" s="298"/>
      <c r="BN145" s="298"/>
      <c r="BO145" s="298"/>
    </row>
    <row r="146" spans="1:67" ht="15" x14ac:dyDescent="0.2">
      <c r="A146" s="10" t="s">
        <v>4</v>
      </c>
      <c r="B146" s="10"/>
      <c r="C146" s="276"/>
      <c r="D146" s="276"/>
      <c r="E146" s="276"/>
      <c r="F146" s="8">
        <v>1</v>
      </c>
      <c r="G146" s="355">
        <v>165</v>
      </c>
      <c r="H146" s="10">
        <v>120</v>
      </c>
      <c r="I146" s="7" t="s">
        <v>132</v>
      </c>
      <c r="J146" s="287"/>
      <c r="K146" s="356">
        <v>192.02</v>
      </c>
      <c r="L146" s="355"/>
      <c r="M146" s="289"/>
      <c r="N146" s="357">
        <v>43</v>
      </c>
      <c r="O146" s="290">
        <f t="shared" si="31"/>
        <v>0.22393500677012809</v>
      </c>
      <c r="P146" s="290">
        <f t="shared" si="43"/>
        <v>0</v>
      </c>
      <c r="Q146" s="291">
        <f t="shared" si="32"/>
        <v>0</v>
      </c>
      <c r="R146" s="291">
        <f t="shared" si="44"/>
        <v>0</v>
      </c>
      <c r="S146" s="357">
        <v>2</v>
      </c>
      <c r="T146" s="292">
        <f t="shared" si="33"/>
        <v>12.9</v>
      </c>
      <c r="U146" s="254">
        <f t="shared" si="45"/>
        <v>205.42000000000002</v>
      </c>
      <c r="V146" s="356">
        <v>923272151.66999996</v>
      </c>
      <c r="W146" s="357">
        <v>2103</v>
      </c>
      <c r="X146" s="264">
        <f t="shared" si="34"/>
        <v>439026.23</v>
      </c>
      <c r="Y146" s="293">
        <f t="shared" si="35"/>
        <v>2.280338</v>
      </c>
      <c r="Z146" s="357">
        <v>137656</v>
      </c>
      <c r="AA146" s="293">
        <f t="shared" si="36"/>
        <v>1.142428</v>
      </c>
      <c r="AB146" s="293">
        <f t="shared" si="37"/>
        <v>-0.93896500000000005</v>
      </c>
      <c r="AC146" s="294">
        <f t="shared" si="38"/>
        <v>0.01</v>
      </c>
      <c r="AD146" s="295">
        <f t="shared" si="46"/>
        <v>0</v>
      </c>
      <c r="AE146" s="296">
        <f t="shared" si="47"/>
        <v>0.01</v>
      </c>
      <c r="AF146" s="357">
        <v>192</v>
      </c>
      <c r="AG146" s="357">
        <v>13</v>
      </c>
      <c r="AH146" s="254">
        <f t="shared" si="48"/>
        <v>1300</v>
      </c>
      <c r="AI146" s="9">
        <f t="shared" si="39"/>
        <v>249600</v>
      </c>
      <c r="AJ146" s="9">
        <v>0</v>
      </c>
      <c r="AK146" s="9">
        <f t="shared" si="49"/>
        <v>0</v>
      </c>
      <c r="AL146" s="9">
        <f t="shared" si="50"/>
        <v>0</v>
      </c>
      <c r="AM146" s="9">
        <f t="shared" si="51"/>
        <v>0</v>
      </c>
      <c r="AN146" s="9">
        <f t="shared" si="52"/>
        <v>249600</v>
      </c>
      <c r="AO146" s="9">
        <f t="shared" si="40"/>
        <v>23675</v>
      </c>
      <c r="AP146" s="9">
        <f t="shared" si="53"/>
        <v>273275</v>
      </c>
      <c r="AQ146" s="9">
        <f t="shared" si="54"/>
        <v>273275</v>
      </c>
      <c r="AR146" s="291">
        <v>33612</v>
      </c>
      <c r="AS146" s="9">
        <f t="shared" si="55"/>
        <v>239663</v>
      </c>
      <c r="AT146" s="297" t="str">
        <f t="shared" si="56"/>
        <v>Yes</v>
      </c>
      <c r="AU146" s="357">
        <v>36047</v>
      </c>
      <c r="AV146" s="291">
        <f t="shared" si="41"/>
        <v>25548.075799999999</v>
      </c>
      <c r="AW146" s="291">
        <f t="shared" si="57"/>
        <v>61595.075799999999</v>
      </c>
      <c r="AX146" s="291">
        <f t="shared" si="42"/>
        <v>61595.075799999999</v>
      </c>
      <c r="AY146" s="358">
        <f t="shared" si="58"/>
        <v>25548.075799999999</v>
      </c>
      <c r="AZ146" s="301"/>
      <c r="BA146" s="301"/>
      <c r="BB146" s="302"/>
      <c r="BC146" s="291"/>
      <c r="BD146" s="298"/>
      <c r="BF146" s="298"/>
      <c r="BG146" s="298"/>
      <c r="BK146" s="298"/>
      <c r="BL146" s="298"/>
      <c r="BM146" s="298"/>
      <c r="BN146" s="298"/>
      <c r="BO146" s="298"/>
    </row>
    <row r="147" spans="1:67" ht="15" x14ac:dyDescent="0.2">
      <c r="A147" s="10" t="s">
        <v>4</v>
      </c>
      <c r="B147" s="10"/>
      <c r="C147" s="276"/>
      <c r="D147" s="276"/>
      <c r="E147" s="276"/>
      <c r="F147" s="8">
        <v>5</v>
      </c>
      <c r="G147" s="355">
        <v>66</v>
      </c>
      <c r="H147" s="10">
        <v>121</v>
      </c>
      <c r="I147" s="7" t="s">
        <v>133</v>
      </c>
      <c r="J147" s="287"/>
      <c r="K147" s="356">
        <v>592.69000000000005</v>
      </c>
      <c r="L147" s="355"/>
      <c r="M147" s="289"/>
      <c r="N147" s="357">
        <v>134</v>
      </c>
      <c r="O147" s="290">
        <f t="shared" si="31"/>
        <v>0.22608783681182404</v>
      </c>
      <c r="P147" s="290">
        <f t="shared" si="43"/>
        <v>0</v>
      </c>
      <c r="Q147" s="291">
        <f t="shared" si="32"/>
        <v>0</v>
      </c>
      <c r="R147" s="291">
        <f t="shared" si="44"/>
        <v>0</v>
      </c>
      <c r="S147" s="357">
        <v>3</v>
      </c>
      <c r="T147" s="292">
        <f t="shared" si="33"/>
        <v>40.200000000000003</v>
      </c>
      <c r="U147" s="254">
        <f t="shared" si="45"/>
        <v>633.6400000000001</v>
      </c>
      <c r="V147" s="356">
        <v>551143124</v>
      </c>
      <c r="W147" s="357">
        <v>4126</v>
      </c>
      <c r="X147" s="264">
        <f t="shared" si="34"/>
        <v>133578.07</v>
      </c>
      <c r="Y147" s="293">
        <f t="shared" si="35"/>
        <v>0.69381499999999996</v>
      </c>
      <c r="Z147" s="357">
        <v>113000</v>
      </c>
      <c r="AA147" s="293">
        <f t="shared" si="36"/>
        <v>0.93780399999999997</v>
      </c>
      <c r="AB147" s="293">
        <f t="shared" si="37"/>
        <v>0.232988</v>
      </c>
      <c r="AC147" s="294">
        <f t="shared" si="38"/>
        <v>0.232988</v>
      </c>
      <c r="AD147" s="295">
        <f t="shared" si="46"/>
        <v>0</v>
      </c>
      <c r="AE147" s="296">
        <f t="shared" si="47"/>
        <v>0.232988</v>
      </c>
      <c r="AF147" s="357">
        <v>0</v>
      </c>
      <c r="AG147" s="357">
        <v>0</v>
      </c>
      <c r="AH147" s="254">
        <f t="shared" si="48"/>
        <v>0</v>
      </c>
      <c r="AI147" s="9">
        <f t="shared" si="39"/>
        <v>0</v>
      </c>
      <c r="AJ147" s="9">
        <v>0</v>
      </c>
      <c r="AK147" s="9">
        <f t="shared" si="49"/>
        <v>0</v>
      </c>
      <c r="AL147" s="9">
        <f t="shared" si="50"/>
        <v>0</v>
      </c>
      <c r="AM147" s="9">
        <f t="shared" si="51"/>
        <v>0</v>
      </c>
      <c r="AN147" s="9">
        <f t="shared" si="52"/>
        <v>0</v>
      </c>
      <c r="AO147" s="9">
        <f t="shared" si="40"/>
        <v>1701442</v>
      </c>
      <c r="AP147" s="9">
        <f t="shared" si="53"/>
        <v>1701442</v>
      </c>
      <c r="AQ147" s="9">
        <f t="shared" si="54"/>
        <v>1701442</v>
      </c>
      <c r="AR147" s="291">
        <v>3049314</v>
      </c>
      <c r="AS147" s="9">
        <f t="shared" si="55"/>
        <v>1347872</v>
      </c>
      <c r="AT147" s="297" t="str">
        <f t="shared" si="56"/>
        <v>No</v>
      </c>
      <c r="AU147" s="357">
        <v>2525078</v>
      </c>
      <c r="AV147" s="291">
        <f t="shared" si="41"/>
        <v>112277.73759999999</v>
      </c>
      <c r="AW147" s="291">
        <f t="shared" si="57"/>
        <v>2525078</v>
      </c>
      <c r="AX147" s="291">
        <f t="shared" si="42"/>
        <v>2525078</v>
      </c>
      <c r="AY147" s="358">
        <f t="shared" si="58"/>
        <v>0</v>
      </c>
      <c r="AZ147" s="301"/>
      <c r="BA147" s="301"/>
      <c r="BB147" s="302"/>
      <c r="BC147" s="291"/>
      <c r="BD147" s="298"/>
      <c r="BF147" s="298"/>
      <c r="BG147" s="298"/>
      <c r="BK147" s="298"/>
      <c r="BL147" s="298"/>
      <c r="BM147" s="298"/>
      <c r="BN147" s="298"/>
      <c r="BO147" s="298"/>
    </row>
    <row r="148" spans="1:67" ht="15" x14ac:dyDescent="0.2">
      <c r="A148" s="10" t="s">
        <v>8</v>
      </c>
      <c r="B148" s="10"/>
      <c r="C148" s="276"/>
      <c r="D148" s="276"/>
      <c r="E148" s="276"/>
      <c r="F148" s="8">
        <v>1</v>
      </c>
      <c r="G148" s="355">
        <v>162</v>
      </c>
      <c r="H148" s="10">
        <v>122</v>
      </c>
      <c r="I148" s="7" t="s">
        <v>134</v>
      </c>
      <c r="J148" s="287"/>
      <c r="K148" s="356">
        <v>350.29</v>
      </c>
      <c r="L148" s="355"/>
      <c r="M148" s="289"/>
      <c r="N148" s="357">
        <v>78</v>
      </c>
      <c r="O148" s="290">
        <f t="shared" si="31"/>
        <v>0.22267264266750406</v>
      </c>
      <c r="P148" s="290">
        <f t="shared" si="43"/>
        <v>0</v>
      </c>
      <c r="Q148" s="291">
        <f t="shared" si="32"/>
        <v>0</v>
      </c>
      <c r="R148" s="291">
        <f t="shared" si="44"/>
        <v>0</v>
      </c>
      <c r="S148" s="357">
        <v>8</v>
      </c>
      <c r="T148" s="292">
        <f t="shared" si="33"/>
        <v>23.4</v>
      </c>
      <c r="U148" s="254">
        <f t="shared" si="45"/>
        <v>375.69</v>
      </c>
      <c r="V148" s="356">
        <v>1788111355</v>
      </c>
      <c r="W148" s="357">
        <v>3631</v>
      </c>
      <c r="X148" s="264">
        <f t="shared" si="34"/>
        <v>492457</v>
      </c>
      <c r="Y148" s="293">
        <f t="shared" si="35"/>
        <v>2.5578620000000001</v>
      </c>
      <c r="Z148" s="357">
        <v>83698</v>
      </c>
      <c r="AA148" s="293">
        <f t="shared" si="36"/>
        <v>0.69462199999999996</v>
      </c>
      <c r="AB148" s="293">
        <f t="shared" si="37"/>
        <v>-0.99888999999999994</v>
      </c>
      <c r="AC148" s="294">
        <f t="shared" si="38"/>
        <v>0.01</v>
      </c>
      <c r="AD148" s="295">
        <f t="shared" si="46"/>
        <v>0</v>
      </c>
      <c r="AE148" s="296">
        <f t="shared" si="47"/>
        <v>0.01</v>
      </c>
      <c r="AF148" s="357">
        <v>59</v>
      </c>
      <c r="AG148" s="357">
        <v>4</v>
      </c>
      <c r="AH148" s="254">
        <f t="shared" si="48"/>
        <v>400</v>
      </c>
      <c r="AI148" s="9">
        <f t="shared" si="39"/>
        <v>23600</v>
      </c>
      <c r="AJ148" s="9">
        <v>0</v>
      </c>
      <c r="AK148" s="9">
        <f t="shared" si="49"/>
        <v>0</v>
      </c>
      <c r="AL148" s="9">
        <f t="shared" si="50"/>
        <v>0</v>
      </c>
      <c r="AM148" s="9">
        <f t="shared" si="51"/>
        <v>0</v>
      </c>
      <c r="AN148" s="9">
        <f t="shared" si="52"/>
        <v>23600</v>
      </c>
      <c r="AO148" s="9">
        <f t="shared" si="40"/>
        <v>43298</v>
      </c>
      <c r="AP148" s="9">
        <f t="shared" si="53"/>
        <v>66898</v>
      </c>
      <c r="AQ148" s="9">
        <f t="shared" si="54"/>
        <v>66898</v>
      </c>
      <c r="AR148" s="291">
        <v>10871</v>
      </c>
      <c r="AS148" s="9">
        <f t="shared" si="55"/>
        <v>56027</v>
      </c>
      <c r="AT148" s="297" t="str">
        <f t="shared" si="56"/>
        <v>Yes</v>
      </c>
      <c r="AU148" s="357">
        <v>19530</v>
      </c>
      <c r="AV148" s="291">
        <f t="shared" si="41"/>
        <v>5972.4782000000005</v>
      </c>
      <c r="AW148" s="291">
        <f t="shared" si="57"/>
        <v>25502.478200000001</v>
      </c>
      <c r="AX148" s="291">
        <f t="shared" si="42"/>
        <v>25502.478200000001</v>
      </c>
      <c r="AY148" s="358">
        <f t="shared" si="58"/>
        <v>5972.4782000000014</v>
      </c>
      <c r="AZ148" s="301"/>
      <c r="BA148" s="301"/>
      <c r="BB148" s="302"/>
      <c r="BC148" s="291"/>
      <c r="BD148" s="298"/>
      <c r="BF148" s="298"/>
      <c r="BG148" s="298"/>
      <c r="BK148" s="298"/>
      <c r="BL148" s="298"/>
      <c r="BM148" s="298"/>
      <c r="BN148" s="298"/>
      <c r="BO148" s="298"/>
    </row>
    <row r="149" spans="1:67" ht="15" x14ac:dyDescent="0.2">
      <c r="A149" s="10" t="s">
        <v>8</v>
      </c>
      <c r="B149" s="10"/>
      <c r="C149" s="276"/>
      <c r="D149" s="276"/>
      <c r="E149" s="276"/>
      <c r="F149" s="8">
        <v>8</v>
      </c>
      <c r="G149" s="359">
        <v>39</v>
      </c>
      <c r="H149" s="10">
        <v>123</v>
      </c>
      <c r="I149" s="7" t="s">
        <v>135</v>
      </c>
      <c r="J149" s="287"/>
      <c r="K149" s="356">
        <v>168.08</v>
      </c>
      <c r="L149" s="359"/>
      <c r="M149" s="289"/>
      <c r="N149" s="357">
        <v>60</v>
      </c>
      <c r="O149" s="290">
        <f t="shared" si="31"/>
        <v>0.35697287006187528</v>
      </c>
      <c r="P149" s="290">
        <f t="shared" si="43"/>
        <v>0</v>
      </c>
      <c r="Q149" s="291">
        <f t="shared" si="32"/>
        <v>0</v>
      </c>
      <c r="R149" s="291">
        <f t="shared" si="44"/>
        <v>0</v>
      </c>
      <c r="S149" s="357">
        <v>1</v>
      </c>
      <c r="T149" s="292">
        <f t="shared" si="33"/>
        <v>18</v>
      </c>
      <c r="U149" s="254">
        <f t="shared" si="45"/>
        <v>186.33</v>
      </c>
      <c r="V149" s="356">
        <v>166228460.33000001</v>
      </c>
      <c r="W149" s="357">
        <v>1653</v>
      </c>
      <c r="X149" s="264">
        <f t="shared" si="34"/>
        <v>100561.68</v>
      </c>
      <c r="Y149" s="293">
        <f t="shared" si="35"/>
        <v>0.52232599999999996</v>
      </c>
      <c r="Z149" s="357">
        <v>89000</v>
      </c>
      <c r="AA149" s="293">
        <f t="shared" si="36"/>
        <v>0.73862399999999995</v>
      </c>
      <c r="AB149" s="293">
        <f t="shared" si="37"/>
        <v>0.41278500000000001</v>
      </c>
      <c r="AC149" s="294">
        <f t="shared" si="38"/>
        <v>0.41278500000000001</v>
      </c>
      <c r="AD149" s="295">
        <f t="shared" si="46"/>
        <v>0</v>
      </c>
      <c r="AE149" s="296">
        <f t="shared" si="47"/>
        <v>0.41278500000000001</v>
      </c>
      <c r="AF149" s="357">
        <v>81</v>
      </c>
      <c r="AG149" s="357">
        <v>6</v>
      </c>
      <c r="AH149" s="254">
        <f t="shared" si="48"/>
        <v>600</v>
      </c>
      <c r="AI149" s="9">
        <f t="shared" si="39"/>
        <v>48600</v>
      </c>
      <c r="AJ149" s="9">
        <v>0</v>
      </c>
      <c r="AK149" s="9">
        <f t="shared" si="49"/>
        <v>0</v>
      </c>
      <c r="AL149" s="9">
        <f t="shared" si="50"/>
        <v>0</v>
      </c>
      <c r="AM149" s="9">
        <f t="shared" si="51"/>
        <v>0</v>
      </c>
      <c r="AN149" s="9">
        <f t="shared" si="52"/>
        <v>48600</v>
      </c>
      <c r="AO149" s="9">
        <f t="shared" si="40"/>
        <v>886436</v>
      </c>
      <c r="AP149" s="9">
        <f t="shared" si="53"/>
        <v>935036</v>
      </c>
      <c r="AQ149" s="9">
        <f t="shared" si="54"/>
        <v>935036</v>
      </c>
      <c r="AR149" s="291">
        <v>1423001</v>
      </c>
      <c r="AS149" s="9">
        <f t="shared" si="55"/>
        <v>487965</v>
      </c>
      <c r="AT149" s="297" t="str">
        <f t="shared" si="56"/>
        <v>No</v>
      </c>
      <c r="AU149" s="357">
        <v>1274671</v>
      </c>
      <c r="AV149" s="291">
        <f t="shared" si="41"/>
        <v>40647.484499999999</v>
      </c>
      <c r="AW149" s="291">
        <f t="shared" si="57"/>
        <v>1274671</v>
      </c>
      <c r="AX149" s="291">
        <f t="shared" si="42"/>
        <v>1274671</v>
      </c>
      <c r="AY149" s="358">
        <f t="shared" si="58"/>
        <v>0</v>
      </c>
      <c r="AZ149" s="301"/>
      <c r="BA149" s="301"/>
      <c r="BB149" s="302"/>
      <c r="BC149" s="291"/>
      <c r="BD149" s="298"/>
      <c r="BF149" s="298"/>
      <c r="BG149" s="298"/>
      <c r="BK149" s="298"/>
      <c r="BL149" s="298"/>
      <c r="BM149" s="298"/>
      <c r="BN149" s="298"/>
      <c r="BO149" s="298"/>
    </row>
    <row r="150" spans="1:67" ht="15" x14ac:dyDescent="0.2">
      <c r="A150" s="10" t="s">
        <v>32</v>
      </c>
      <c r="B150" s="10"/>
      <c r="C150" s="276"/>
      <c r="D150" s="276"/>
      <c r="E150" s="276"/>
      <c r="F150" s="8">
        <v>8</v>
      </c>
      <c r="G150" s="359">
        <v>30</v>
      </c>
      <c r="H150" s="10">
        <v>124</v>
      </c>
      <c r="I150" s="7" t="s">
        <v>136</v>
      </c>
      <c r="J150" s="287"/>
      <c r="K150" s="356">
        <v>2185.5700000000002</v>
      </c>
      <c r="L150" s="359"/>
      <c r="M150" s="289"/>
      <c r="N150" s="357">
        <v>869</v>
      </c>
      <c r="O150" s="290">
        <f t="shared" si="31"/>
        <v>0.39760794666837479</v>
      </c>
      <c r="P150" s="290">
        <f t="shared" si="43"/>
        <v>0</v>
      </c>
      <c r="Q150" s="291">
        <f t="shared" si="32"/>
        <v>0</v>
      </c>
      <c r="R150" s="291">
        <f t="shared" si="44"/>
        <v>0</v>
      </c>
      <c r="S150" s="357">
        <v>88</v>
      </c>
      <c r="T150" s="292">
        <f t="shared" si="33"/>
        <v>260.7</v>
      </c>
      <c r="U150" s="254">
        <f t="shared" si="45"/>
        <v>2468.27</v>
      </c>
      <c r="V150" s="356">
        <v>1817138285</v>
      </c>
      <c r="W150" s="357">
        <v>16522</v>
      </c>
      <c r="X150" s="264">
        <f t="shared" si="34"/>
        <v>109982.95</v>
      </c>
      <c r="Y150" s="293">
        <f t="shared" si="35"/>
        <v>0.57125999999999999</v>
      </c>
      <c r="Z150" s="357">
        <v>70941</v>
      </c>
      <c r="AA150" s="293">
        <f t="shared" si="36"/>
        <v>0.58875</v>
      </c>
      <c r="AB150" s="293">
        <f t="shared" si="37"/>
        <v>0.42349300000000001</v>
      </c>
      <c r="AC150" s="294">
        <f t="shared" si="38"/>
        <v>0.42349300000000001</v>
      </c>
      <c r="AD150" s="295">
        <f t="shared" si="46"/>
        <v>0</v>
      </c>
      <c r="AE150" s="296">
        <f t="shared" si="47"/>
        <v>0.42349300000000001</v>
      </c>
      <c r="AF150" s="357">
        <v>0</v>
      </c>
      <c r="AG150" s="357">
        <v>0</v>
      </c>
      <c r="AH150" s="254">
        <f t="shared" si="48"/>
        <v>0</v>
      </c>
      <c r="AI150" s="9">
        <f t="shared" si="39"/>
        <v>0</v>
      </c>
      <c r="AJ150" s="9">
        <v>0</v>
      </c>
      <c r="AK150" s="9">
        <f t="shared" si="49"/>
        <v>0</v>
      </c>
      <c r="AL150" s="9">
        <f t="shared" si="50"/>
        <v>0</v>
      </c>
      <c r="AM150" s="9">
        <f t="shared" si="51"/>
        <v>0</v>
      </c>
      <c r="AN150" s="9">
        <f t="shared" si="52"/>
        <v>0</v>
      </c>
      <c r="AO150" s="9">
        <f t="shared" si="40"/>
        <v>12047026</v>
      </c>
      <c r="AP150" s="9">
        <f t="shared" si="53"/>
        <v>12047026</v>
      </c>
      <c r="AQ150" s="9">
        <f t="shared" si="54"/>
        <v>12047026</v>
      </c>
      <c r="AR150" s="291">
        <v>10040987</v>
      </c>
      <c r="AS150" s="9">
        <f t="shared" si="55"/>
        <v>2006039</v>
      </c>
      <c r="AT150" s="297" t="str">
        <f t="shared" si="56"/>
        <v>Yes</v>
      </c>
      <c r="AU150" s="357">
        <v>10423086</v>
      </c>
      <c r="AV150" s="291">
        <f t="shared" si="41"/>
        <v>213843.7574</v>
      </c>
      <c r="AW150" s="291">
        <f t="shared" si="57"/>
        <v>10636929.7574</v>
      </c>
      <c r="AX150" s="291">
        <f t="shared" si="42"/>
        <v>10636929.7574</v>
      </c>
      <c r="AY150" s="358">
        <f t="shared" si="58"/>
        <v>213843.75740000047</v>
      </c>
      <c r="AZ150" s="301"/>
      <c r="BA150" s="301"/>
      <c r="BB150" s="302"/>
      <c r="BC150" s="291"/>
      <c r="BD150" s="298"/>
      <c r="BF150" s="298"/>
      <c r="BG150" s="298"/>
      <c r="BK150" s="298"/>
      <c r="BL150" s="298"/>
      <c r="BM150" s="298"/>
      <c r="BN150" s="298"/>
      <c r="BO150" s="298"/>
    </row>
    <row r="151" spans="1:67" ht="15" x14ac:dyDescent="0.2">
      <c r="A151" s="10" t="s">
        <v>8</v>
      </c>
      <c r="B151" s="10"/>
      <c r="C151" s="276"/>
      <c r="D151" s="276"/>
      <c r="E151" s="276"/>
      <c r="F151" s="8">
        <v>1</v>
      </c>
      <c r="G151" s="355">
        <v>163</v>
      </c>
      <c r="H151" s="10">
        <v>125</v>
      </c>
      <c r="I151" s="7" t="s">
        <v>137</v>
      </c>
      <c r="J151" s="287"/>
      <c r="K151" s="356">
        <v>147.22</v>
      </c>
      <c r="L151" s="355"/>
      <c r="M151" s="289"/>
      <c r="N151" s="357">
        <v>50</v>
      </c>
      <c r="O151" s="290">
        <f t="shared" si="31"/>
        <v>0.33962776796630895</v>
      </c>
      <c r="P151" s="290">
        <f t="shared" si="43"/>
        <v>0</v>
      </c>
      <c r="Q151" s="291">
        <f t="shared" si="32"/>
        <v>0</v>
      </c>
      <c r="R151" s="291">
        <f t="shared" si="44"/>
        <v>0</v>
      </c>
      <c r="S151" s="357">
        <v>6</v>
      </c>
      <c r="T151" s="292">
        <f t="shared" si="33"/>
        <v>15</v>
      </c>
      <c r="U151" s="254">
        <f t="shared" si="45"/>
        <v>163.72</v>
      </c>
      <c r="V151" s="356">
        <v>1023813904.33</v>
      </c>
      <c r="W151" s="357">
        <v>2721</v>
      </c>
      <c r="X151" s="264">
        <f t="shared" si="34"/>
        <v>376263.84</v>
      </c>
      <c r="Y151" s="293">
        <f t="shared" si="35"/>
        <v>1.954345</v>
      </c>
      <c r="Z151" s="357">
        <v>78403</v>
      </c>
      <c r="AA151" s="293">
        <f t="shared" si="36"/>
        <v>0.65067799999999998</v>
      </c>
      <c r="AB151" s="293">
        <f t="shared" si="37"/>
        <v>-0.563245</v>
      </c>
      <c r="AC151" s="294">
        <f t="shared" si="38"/>
        <v>0.01</v>
      </c>
      <c r="AD151" s="295">
        <f t="shared" si="46"/>
        <v>0</v>
      </c>
      <c r="AE151" s="296">
        <f t="shared" si="47"/>
        <v>0.01</v>
      </c>
      <c r="AF151" s="357">
        <v>43</v>
      </c>
      <c r="AG151" s="357">
        <v>4</v>
      </c>
      <c r="AH151" s="254">
        <f t="shared" si="48"/>
        <v>400</v>
      </c>
      <c r="AI151" s="9">
        <f t="shared" si="39"/>
        <v>17200</v>
      </c>
      <c r="AJ151" s="9">
        <v>0</v>
      </c>
      <c r="AK151" s="9">
        <f t="shared" si="49"/>
        <v>0</v>
      </c>
      <c r="AL151" s="9">
        <f t="shared" si="50"/>
        <v>0</v>
      </c>
      <c r="AM151" s="9">
        <f t="shared" si="51"/>
        <v>0</v>
      </c>
      <c r="AN151" s="9">
        <f t="shared" si="52"/>
        <v>17200</v>
      </c>
      <c r="AO151" s="9">
        <f t="shared" si="40"/>
        <v>18869</v>
      </c>
      <c r="AP151" s="9">
        <f t="shared" si="53"/>
        <v>36069</v>
      </c>
      <c r="AQ151" s="9">
        <f t="shared" si="54"/>
        <v>36069</v>
      </c>
      <c r="AR151" s="291">
        <v>9960</v>
      </c>
      <c r="AS151" s="9">
        <f t="shared" si="55"/>
        <v>26109</v>
      </c>
      <c r="AT151" s="297" t="str">
        <f t="shared" si="56"/>
        <v>Yes</v>
      </c>
      <c r="AU151" s="357">
        <v>13437</v>
      </c>
      <c r="AV151" s="291">
        <f t="shared" si="41"/>
        <v>2783.2194</v>
      </c>
      <c r="AW151" s="291">
        <f t="shared" si="57"/>
        <v>16220.2194</v>
      </c>
      <c r="AX151" s="291">
        <f t="shared" si="42"/>
        <v>16220.2194</v>
      </c>
      <c r="AY151" s="358">
        <f t="shared" si="58"/>
        <v>2783.2194</v>
      </c>
      <c r="AZ151" s="301"/>
      <c r="BA151" s="301"/>
      <c r="BB151" s="302"/>
      <c r="BC151" s="291"/>
      <c r="BD151" s="298"/>
      <c r="BF151" s="298"/>
      <c r="BG151" s="298"/>
      <c r="BK151" s="298"/>
      <c r="BL151" s="298"/>
      <c r="BM151" s="298"/>
      <c r="BN151" s="298"/>
      <c r="BO151" s="298"/>
    </row>
    <row r="152" spans="1:67" ht="15" x14ac:dyDescent="0.2">
      <c r="A152" s="10" t="s">
        <v>14</v>
      </c>
      <c r="B152" s="10"/>
      <c r="C152" s="276"/>
      <c r="D152" s="276"/>
      <c r="E152" s="276"/>
      <c r="F152" s="8">
        <v>4</v>
      </c>
      <c r="G152" s="355">
        <v>90</v>
      </c>
      <c r="H152" s="10">
        <v>126</v>
      </c>
      <c r="I152" s="7" t="s">
        <v>138</v>
      </c>
      <c r="J152" s="287"/>
      <c r="K152" s="356">
        <v>4571.28</v>
      </c>
      <c r="L152" s="355"/>
      <c r="M152" s="289"/>
      <c r="N152" s="357">
        <v>1443</v>
      </c>
      <c r="O152" s="290">
        <f t="shared" si="31"/>
        <v>0.31566650916154776</v>
      </c>
      <c r="P152" s="290">
        <f t="shared" si="43"/>
        <v>0</v>
      </c>
      <c r="Q152" s="291">
        <f t="shared" si="32"/>
        <v>0</v>
      </c>
      <c r="R152" s="291">
        <f t="shared" si="44"/>
        <v>0</v>
      </c>
      <c r="S152" s="357">
        <v>269</v>
      </c>
      <c r="T152" s="292">
        <f t="shared" si="33"/>
        <v>432.9</v>
      </c>
      <c r="U152" s="254">
        <f t="shared" si="45"/>
        <v>5071.4299999999994</v>
      </c>
      <c r="V152" s="356">
        <v>7135462918</v>
      </c>
      <c r="W152" s="357">
        <v>41155</v>
      </c>
      <c r="X152" s="264">
        <f t="shared" si="34"/>
        <v>173380.22</v>
      </c>
      <c r="Y152" s="293">
        <f t="shared" si="35"/>
        <v>0.90055099999999999</v>
      </c>
      <c r="Z152" s="357">
        <v>94446</v>
      </c>
      <c r="AA152" s="293">
        <f t="shared" si="36"/>
        <v>0.78382200000000002</v>
      </c>
      <c r="AB152" s="293">
        <f t="shared" si="37"/>
        <v>0.134468</v>
      </c>
      <c r="AC152" s="294">
        <f t="shared" si="38"/>
        <v>0.134468</v>
      </c>
      <c r="AD152" s="295">
        <f t="shared" si="46"/>
        <v>0</v>
      </c>
      <c r="AE152" s="296">
        <f t="shared" si="47"/>
        <v>0.134468</v>
      </c>
      <c r="AF152" s="357">
        <v>0</v>
      </c>
      <c r="AG152" s="357">
        <v>0</v>
      </c>
      <c r="AH152" s="254">
        <f t="shared" si="48"/>
        <v>0</v>
      </c>
      <c r="AI152" s="9">
        <f t="shared" si="39"/>
        <v>0</v>
      </c>
      <c r="AJ152" s="9">
        <v>0</v>
      </c>
      <c r="AK152" s="9">
        <f t="shared" si="49"/>
        <v>0</v>
      </c>
      <c r="AL152" s="9">
        <f t="shared" si="50"/>
        <v>0</v>
      </c>
      <c r="AM152" s="9">
        <f t="shared" si="51"/>
        <v>0</v>
      </c>
      <c r="AN152" s="9">
        <f t="shared" si="52"/>
        <v>0</v>
      </c>
      <c r="AO152" s="9">
        <f t="shared" si="40"/>
        <v>7859417</v>
      </c>
      <c r="AP152" s="9">
        <f t="shared" si="53"/>
        <v>7859417</v>
      </c>
      <c r="AQ152" s="9">
        <f t="shared" si="54"/>
        <v>7859417</v>
      </c>
      <c r="AR152" s="291">
        <v>5893771</v>
      </c>
      <c r="AS152" s="9">
        <f t="shared" si="55"/>
        <v>1965646</v>
      </c>
      <c r="AT152" s="297" t="str">
        <f t="shared" si="56"/>
        <v>Yes</v>
      </c>
      <c r="AU152" s="357">
        <v>6641832</v>
      </c>
      <c r="AV152" s="291">
        <f t="shared" si="41"/>
        <v>209537.86360000001</v>
      </c>
      <c r="AW152" s="291">
        <f t="shared" si="57"/>
        <v>6851369.8635999998</v>
      </c>
      <c r="AX152" s="291">
        <f t="shared" si="42"/>
        <v>6851369.8635999998</v>
      </c>
      <c r="AY152" s="358">
        <f t="shared" si="58"/>
        <v>209537.86359999981</v>
      </c>
      <c r="AZ152" s="301"/>
      <c r="BA152" s="301"/>
      <c r="BB152" s="302"/>
      <c r="BC152" s="291"/>
      <c r="BD152" s="298"/>
      <c r="BF152" s="298"/>
      <c r="BG152" s="298"/>
      <c r="BK152" s="298"/>
      <c r="BL152" s="298"/>
      <c r="BM152" s="298"/>
      <c r="BN152" s="298"/>
      <c r="BO152" s="298"/>
    </row>
    <row r="153" spans="1:67" ht="15" x14ac:dyDescent="0.2">
      <c r="A153" s="10" t="s">
        <v>4</v>
      </c>
      <c r="B153" s="10"/>
      <c r="C153" s="276"/>
      <c r="D153" s="276"/>
      <c r="E153" s="276"/>
      <c r="F153" s="8">
        <v>2</v>
      </c>
      <c r="G153" s="355">
        <v>156</v>
      </c>
      <c r="H153" s="10">
        <v>127</v>
      </c>
      <c r="I153" s="7" t="s">
        <v>139</v>
      </c>
      <c r="J153" s="287"/>
      <c r="K153" s="356">
        <v>367.86</v>
      </c>
      <c r="L153" s="355"/>
      <c r="M153" s="289"/>
      <c r="N153" s="357">
        <v>24</v>
      </c>
      <c r="O153" s="290">
        <f t="shared" si="31"/>
        <v>6.5242211710976994E-2</v>
      </c>
      <c r="P153" s="290">
        <f t="shared" si="43"/>
        <v>0</v>
      </c>
      <c r="Q153" s="291">
        <f t="shared" si="32"/>
        <v>0</v>
      </c>
      <c r="R153" s="291">
        <f t="shared" si="44"/>
        <v>0</v>
      </c>
      <c r="S153" s="357">
        <v>1</v>
      </c>
      <c r="T153" s="292">
        <f t="shared" si="33"/>
        <v>7.2</v>
      </c>
      <c r="U153" s="254">
        <f t="shared" si="45"/>
        <v>375.31</v>
      </c>
      <c r="V153" s="356">
        <v>1006490231.67</v>
      </c>
      <c r="W153" s="357">
        <v>3641</v>
      </c>
      <c r="X153" s="264">
        <f t="shared" si="34"/>
        <v>276432.36</v>
      </c>
      <c r="Y153" s="293">
        <f t="shared" si="35"/>
        <v>1.4358120000000001</v>
      </c>
      <c r="Z153" s="357">
        <v>113506</v>
      </c>
      <c r="AA153" s="293">
        <f t="shared" si="36"/>
        <v>0.94200300000000003</v>
      </c>
      <c r="AB153" s="293">
        <f t="shared" si="37"/>
        <v>-0.28766900000000001</v>
      </c>
      <c r="AC153" s="294">
        <f t="shared" si="38"/>
        <v>0.01</v>
      </c>
      <c r="AD153" s="295">
        <f t="shared" si="46"/>
        <v>0</v>
      </c>
      <c r="AE153" s="296">
        <f t="shared" si="47"/>
        <v>0.01</v>
      </c>
      <c r="AF153" s="357">
        <v>0</v>
      </c>
      <c r="AG153" s="357">
        <v>0</v>
      </c>
      <c r="AH153" s="254">
        <f t="shared" si="48"/>
        <v>0</v>
      </c>
      <c r="AI153" s="9">
        <f t="shared" si="39"/>
        <v>0</v>
      </c>
      <c r="AJ153" s="9">
        <v>0</v>
      </c>
      <c r="AK153" s="9">
        <f t="shared" si="49"/>
        <v>0</v>
      </c>
      <c r="AL153" s="9">
        <f t="shared" si="50"/>
        <v>0</v>
      </c>
      <c r="AM153" s="9">
        <f t="shared" si="51"/>
        <v>0</v>
      </c>
      <c r="AN153" s="9">
        <f t="shared" si="52"/>
        <v>0</v>
      </c>
      <c r="AO153" s="9">
        <f t="shared" si="40"/>
        <v>43254</v>
      </c>
      <c r="AP153" s="9">
        <f t="shared" si="53"/>
        <v>43254</v>
      </c>
      <c r="AQ153" s="9">
        <f t="shared" si="54"/>
        <v>43254</v>
      </c>
      <c r="AR153" s="291">
        <v>46611</v>
      </c>
      <c r="AS153" s="9">
        <f t="shared" si="55"/>
        <v>3357</v>
      </c>
      <c r="AT153" s="297" t="str">
        <f t="shared" si="56"/>
        <v>No</v>
      </c>
      <c r="AU153" s="357">
        <v>46995</v>
      </c>
      <c r="AV153" s="291">
        <f t="shared" si="41"/>
        <v>279.63810000000001</v>
      </c>
      <c r="AW153" s="291">
        <f t="shared" si="57"/>
        <v>46995</v>
      </c>
      <c r="AX153" s="291">
        <f t="shared" si="42"/>
        <v>46995</v>
      </c>
      <c r="AY153" s="358">
        <f t="shared" si="58"/>
        <v>0</v>
      </c>
      <c r="AZ153" s="301"/>
      <c r="BA153" s="301"/>
      <c r="BB153" s="302"/>
      <c r="BC153" s="291"/>
      <c r="BD153" s="298"/>
      <c r="BF153" s="298"/>
      <c r="BG153" s="298"/>
      <c r="BK153" s="298"/>
      <c r="BL153" s="298"/>
      <c r="BM153" s="298"/>
      <c r="BN153" s="298"/>
      <c r="BO153" s="298"/>
    </row>
    <row r="154" spans="1:67" ht="15" x14ac:dyDescent="0.2">
      <c r="A154" s="10" t="s">
        <v>10</v>
      </c>
      <c r="B154" s="10"/>
      <c r="C154" s="276"/>
      <c r="D154" s="276"/>
      <c r="E154" s="276"/>
      <c r="F154" s="8">
        <v>3</v>
      </c>
      <c r="G154" s="355">
        <v>137</v>
      </c>
      <c r="H154" s="10">
        <v>128</v>
      </c>
      <c r="I154" s="7" t="s">
        <v>140</v>
      </c>
      <c r="J154" s="287"/>
      <c r="K154" s="356">
        <v>4021.22</v>
      </c>
      <c r="L154" s="355"/>
      <c r="M154" s="289"/>
      <c r="N154" s="357">
        <v>526</v>
      </c>
      <c r="O154" s="290">
        <f t="shared" si="31"/>
        <v>0.13080607377860451</v>
      </c>
      <c r="P154" s="290">
        <f t="shared" si="43"/>
        <v>0</v>
      </c>
      <c r="Q154" s="291">
        <f t="shared" si="32"/>
        <v>0</v>
      </c>
      <c r="R154" s="291">
        <f t="shared" si="44"/>
        <v>0</v>
      </c>
      <c r="S154" s="357">
        <v>63</v>
      </c>
      <c r="T154" s="292">
        <f t="shared" si="33"/>
        <v>157.80000000000001</v>
      </c>
      <c r="U154" s="254">
        <f t="shared" si="45"/>
        <v>4194.7699999999995</v>
      </c>
      <c r="V154" s="356">
        <v>3607618431.6700001</v>
      </c>
      <c r="W154" s="357">
        <v>24519</v>
      </c>
      <c r="X154" s="264">
        <f t="shared" si="34"/>
        <v>147135.63</v>
      </c>
      <c r="Y154" s="293">
        <f t="shared" si="35"/>
        <v>0.764235</v>
      </c>
      <c r="Z154" s="357">
        <v>119588</v>
      </c>
      <c r="AA154" s="293">
        <f t="shared" si="36"/>
        <v>0.992479</v>
      </c>
      <c r="AB154" s="293">
        <f t="shared" si="37"/>
        <v>0.167292</v>
      </c>
      <c r="AC154" s="294">
        <f t="shared" si="38"/>
        <v>0.167292</v>
      </c>
      <c r="AD154" s="295">
        <f t="shared" si="46"/>
        <v>0</v>
      </c>
      <c r="AE154" s="296">
        <f t="shared" si="47"/>
        <v>0.167292</v>
      </c>
      <c r="AF154" s="357">
        <v>0</v>
      </c>
      <c r="AG154" s="357">
        <v>0</v>
      </c>
      <c r="AH154" s="254">
        <f t="shared" si="48"/>
        <v>0</v>
      </c>
      <c r="AI154" s="9">
        <f t="shared" si="39"/>
        <v>0</v>
      </c>
      <c r="AJ154" s="9">
        <v>0</v>
      </c>
      <c r="AK154" s="9">
        <f t="shared" si="49"/>
        <v>0</v>
      </c>
      <c r="AL154" s="9">
        <f t="shared" si="50"/>
        <v>0</v>
      </c>
      <c r="AM154" s="9">
        <f t="shared" si="51"/>
        <v>0</v>
      </c>
      <c r="AN154" s="9">
        <f t="shared" si="52"/>
        <v>0</v>
      </c>
      <c r="AO154" s="9">
        <f t="shared" si="40"/>
        <v>8087686</v>
      </c>
      <c r="AP154" s="9">
        <f t="shared" si="53"/>
        <v>8087686</v>
      </c>
      <c r="AQ154" s="9">
        <f t="shared" si="54"/>
        <v>8087686</v>
      </c>
      <c r="AR154" s="291">
        <v>6087799</v>
      </c>
      <c r="AS154" s="9">
        <f t="shared" si="55"/>
        <v>1999887</v>
      </c>
      <c r="AT154" s="297" t="str">
        <f t="shared" si="56"/>
        <v>Yes</v>
      </c>
      <c r="AU154" s="357">
        <v>6317010</v>
      </c>
      <c r="AV154" s="291">
        <f t="shared" si="41"/>
        <v>213187.95420000001</v>
      </c>
      <c r="AW154" s="291">
        <f t="shared" si="57"/>
        <v>6530197.9541999996</v>
      </c>
      <c r="AX154" s="291">
        <f t="shared" si="42"/>
        <v>6530197.9541999996</v>
      </c>
      <c r="AY154" s="358">
        <f t="shared" si="58"/>
        <v>213187.95419999957</v>
      </c>
      <c r="AZ154" s="301"/>
      <c r="BA154" s="301"/>
      <c r="BB154" s="302"/>
      <c r="BC154" s="291"/>
      <c r="BD154" s="298"/>
      <c r="BF154" s="298"/>
      <c r="BG154" s="298"/>
      <c r="BK154" s="298"/>
      <c r="BL154" s="298"/>
      <c r="BM154" s="298"/>
      <c r="BN154" s="298"/>
      <c r="BO154" s="298"/>
    </row>
    <row r="155" spans="1:67" ht="15" x14ac:dyDescent="0.2">
      <c r="A155" s="10" t="s">
        <v>4</v>
      </c>
      <c r="B155" s="10"/>
      <c r="C155" s="276"/>
      <c r="D155" s="276"/>
      <c r="E155" s="276"/>
      <c r="F155" s="8">
        <v>6</v>
      </c>
      <c r="G155" s="355">
        <v>85</v>
      </c>
      <c r="H155" s="10">
        <v>129</v>
      </c>
      <c r="I155" s="7" t="s">
        <v>141</v>
      </c>
      <c r="J155" s="287"/>
      <c r="K155" s="356">
        <v>1309.1300000000001</v>
      </c>
      <c r="L155" s="355"/>
      <c r="M155" s="289"/>
      <c r="N155" s="357">
        <v>61</v>
      </c>
      <c r="O155" s="290">
        <f t="shared" ref="O155:O195" si="59">N155/K155</f>
        <v>4.6595830818940823E-2</v>
      </c>
      <c r="P155" s="290">
        <f t="shared" si="43"/>
        <v>0</v>
      </c>
      <c r="Q155" s="291">
        <f t="shared" ref="Q155:Q195" si="60">P155*K155</f>
        <v>0</v>
      </c>
      <c r="R155" s="291">
        <f t="shared" si="44"/>
        <v>0</v>
      </c>
      <c r="S155" s="357">
        <v>5</v>
      </c>
      <c r="T155" s="292">
        <f t="shared" ref="T155:T195" si="61">ROUND(N155*$T$2,2)</f>
        <v>18.3</v>
      </c>
      <c r="U155" s="254">
        <f t="shared" si="45"/>
        <v>1328.68</v>
      </c>
      <c r="V155" s="356">
        <v>1303644831.6700001</v>
      </c>
      <c r="W155" s="357">
        <v>11137</v>
      </c>
      <c r="X155" s="264">
        <f t="shared" ref="X155:X195" si="62">ROUND(V155/W155,2)</f>
        <v>117055.3</v>
      </c>
      <c r="Y155" s="293">
        <f t="shared" ref="Y155:Y195" si="63">(ROUND(X155/$Y$21,6))</f>
        <v>0.60799499999999995</v>
      </c>
      <c r="Z155" s="357">
        <v>105164</v>
      </c>
      <c r="AA155" s="293">
        <f t="shared" ref="AA155:AA195" si="64">(ROUND(Z155/$AA$21,6))</f>
        <v>0.87277199999999999</v>
      </c>
      <c r="AB155" s="293">
        <f t="shared" ref="AB155:AB195" si="65">ROUND(1-((Y155*$T$4)+(AA155*$T$5)),6)</f>
        <v>0.31257200000000002</v>
      </c>
      <c r="AC155" s="294">
        <f t="shared" ref="AC155:AC195" si="66">IF(C155=1,MAX($T$7,AB155),MAX($T$6,AB155))</f>
        <v>0.31257200000000002</v>
      </c>
      <c r="AD155" s="295">
        <f t="shared" si="46"/>
        <v>0</v>
      </c>
      <c r="AE155" s="296">
        <f t="shared" si="47"/>
        <v>0.31257200000000002</v>
      </c>
      <c r="AF155" s="357">
        <v>0</v>
      </c>
      <c r="AG155" s="357">
        <v>0</v>
      </c>
      <c r="AH155" s="254">
        <f t="shared" si="48"/>
        <v>0</v>
      </c>
      <c r="AI155" s="9">
        <f t="shared" ref="AI155:AI195" si="67">ROUND(AF155*AH155,0)</f>
        <v>0</v>
      </c>
      <c r="AJ155" s="9">
        <v>0</v>
      </c>
      <c r="AK155" s="9">
        <f t="shared" si="49"/>
        <v>0</v>
      </c>
      <c r="AL155" s="9">
        <f t="shared" si="50"/>
        <v>0</v>
      </c>
      <c r="AM155" s="9">
        <f t="shared" si="51"/>
        <v>0</v>
      </c>
      <c r="AN155" s="9">
        <f t="shared" si="52"/>
        <v>0</v>
      </c>
      <c r="AO155" s="9">
        <f t="shared" ref="AO155:AO195" si="68">ROUND(U155*AE155*$AO$21,0)</f>
        <v>4786427</v>
      </c>
      <c r="AP155" s="9">
        <f t="shared" si="53"/>
        <v>4786427</v>
      </c>
      <c r="AQ155" s="9">
        <f t="shared" si="54"/>
        <v>4786427</v>
      </c>
      <c r="AR155" s="291">
        <v>5929453</v>
      </c>
      <c r="AS155" s="9">
        <f t="shared" si="55"/>
        <v>1143026</v>
      </c>
      <c r="AT155" s="297" t="str">
        <f t="shared" si="56"/>
        <v>No</v>
      </c>
      <c r="AU155" s="357">
        <v>5692630</v>
      </c>
      <c r="AV155" s="291">
        <f t="shared" ref="AV155:AV195" si="69">IF(AT155="Yes",+AS155*$L$9,+AS155*$L$10)</f>
        <v>95214.065799999997</v>
      </c>
      <c r="AW155" s="291">
        <f t="shared" si="57"/>
        <v>5692630</v>
      </c>
      <c r="AX155" s="291">
        <f t="shared" ref="AX155:AX195" si="70">IF(C155=1,MAX(AW155,AR155),AW155)</f>
        <v>5692630</v>
      </c>
      <c r="AY155" s="358">
        <f t="shared" si="58"/>
        <v>0</v>
      </c>
      <c r="AZ155" s="301"/>
      <c r="BA155" s="301"/>
      <c r="BB155" s="302"/>
      <c r="BC155" s="291"/>
      <c r="BD155" s="298"/>
      <c r="BF155" s="298"/>
      <c r="BG155" s="298"/>
      <c r="BK155" s="298"/>
      <c r="BL155" s="298"/>
      <c r="BM155" s="298"/>
      <c r="BN155" s="298"/>
      <c r="BO155" s="298"/>
    </row>
    <row r="156" spans="1:67" ht="15" x14ac:dyDescent="0.2">
      <c r="A156" s="10" t="s">
        <v>10</v>
      </c>
      <c r="B156" s="10"/>
      <c r="C156" s="276"/>
      <c r="D156" s="276"/>
      <c r="E156" s="276"/>
      <c r="F156" s="8">
        <v>5</v>
      </c>
      <c r="G156" s="355">
        <v>98</v>
      </c>
      <c r="H156" s="10">
        <v>130</v>
      </c>
      <c r="I156" s="7" t="s">
        <v>142</v>
      </c>
      <c r="J156" s="287"/>
      <c r="K156" s="356">
        <v>2344.64</v>
      </c>
      <c r="L156" s="355"/>
      <c r="M156" s="289"/>
      <c r="N156" s="357">
        <v>290</v>
      </c>
      <c r="O156" s="290">
        <f t="shared" si="59"/>
        <v>0.1236863654974751</v>
      </c>
      <c r="P156" s="290">
        <f t="shared" ref="P156:P195" si="71">IF(O156&gt;0.6,+O156-0.6,0)</f>
        <v>0</v>
      </c>
      <c r="Q156" s="291">
        <f t="shared" si="60"/>
        <v>0</v>
      </c>
      <c r="R156" s="291">
        <f t="shared" ref="R156:R195" si="72">Q156*0.15</f>
        <v>0</v>
      </c>
      <c r="S156" s="357">
        <v>20</v>
      </c>
      <c r="T156" s="292">
        <f t="shared" si="61"/>
        <v>87</v>
      </c>
      <c r="U156" s="254">
        <f t="shared" ref="U156:U195" si="73">K156+T156+0.25*S156+0.15*Q156</f>
        <v>2436.64</v>
      </c>
      <c r="V156" s="356">
        <v>3166366217</v>
      </c>
      <c r="W156" s="357">
        <v>19754</v>
      </c>
      <c r="X156" s="264">
        <f t="shared" si="62"/>
        <v>160289.88</v>
      </c>
      <c r="Y156" s="293">
        <f t="shared" si="63"/>
        <v>0.83255900000000005</v>
      </c>
      <c r="Z156" s="357">
        <v>94176</v>
      </c>
      <c r="AA156" s="293">
        <f t="shared" si="64"/>
        <v>0.78158099999999997</v>
      </c>
      <c r="AB156" s="293">
        <f t="shared" si="65"/>
        <v>0.18273400000000001</v>
      </c>
      <c r="AC156" s="294">
        <f t="shared" si="66"/>
        <v>0.18273400000000001</v>
      </c>
      <c r="AD156" s="295">
        <f t="shared" ref="AD156:AD195" si="74">IF(G156&gt;=1,IF(G156&lt;=5,0.06,IF(G156&lt;=10,0.05,IF(G156&lt;=15,0.04,IF(G156&lt;=19,0.03,0)))),0)</f>
        <v>0</v>
      </c>
      <c r="AE156" s="296">
        <f t="shared" ref="AE156:AE195" si="75">+AD156+AC156</f>
        <v>0.18273400000000001</v>
      </c>
      <c r="AF156" s="357">
        <v>2359</v>
      </c>
      <c r="AG156" s="357">
        <v>13</v>
      </c>
      <c r="AH156" s="254">
        <f t="shared" ref="AH156:AH195" si="76">ROUND(AG156*100,2)</f>
        <v>1300</v>
      </c>
      <c r="AI156" s="9">
        <f t="shared" si="67"/>
        <v>3066700</v>
      </c>
      <c r="AJ156" s="9">
        <v>0</v>
      </c>
      <c r="AK156" s="9">
        <f t="shared" ref="AK156:AK195" si="77">IF(AJ156&gt;0,4,0)</f>
        <v>0</v>
      </c>
      <c r="AL156" s="9">
        <f t="shared" ref="AL156:AL195" si="78">ROUND(AK156*100,2)</f>
        <v>0</v>
      </c>
      <c r="AM156" s="9">
        <f t="shared" ref="AM156:AM195" si="79">ROUND(AJ156*AL156,0)</f>
        <v>0</v>
      </c>
      <c r="AN156" s="9">
        <f t="shared" ref="AN156:AN195" si="80">AI156+AM156</f>
        <v>3066700</v>
      </c>
      <c r="AO156" s="9">
        <f t="shared" si="68"/>
        <v>5131587</v>
      </c>
      <c r="AP156" s="9">
        <f t="shared" ref="AP156:AP195" si="81">IF(AO156=0, 0,AN156+AO156)</f>
        <v>8198287</v>
      </c>
      <c r="AQ156" s="9">
        <f t="shared" ref="AQ156:AQ195" si="82">IF(AND(C156=1,AP156&lt;AR156),AR156,AP156)</f>
        <v>8198287</v>
      </c>
      <c r="AR156" s="291">
        <v>3458266</v>
      </c>
      <c r="AS156" s="9">
        <f t="shared" ref="AS156:AS195" si="83">ABS(SUM(AR156,-AP156))</f>
        <v>4740021</v>
      </c>
      <c r="AT156" s="297" t="str">
        <f t="shared" ref="AT156:AT195" si="84">IF(AP156&gt;AR156,"Yes","No")</f>
        <v>Yes</v>
      </c>
      <c r="AU156" s="357">
        <v>3785641</v>
      </c>
      <c r="AV156" s="291">
        <f t="shared" si="69"/>
        <v>505286.23859999998</v>
      </c>
      <c r="AW156" s="291">
        <f t="shared" ref="AW156:AW195" si="85">IF(AT156="Yes",+AU156+AV156,+AU156)</f>
        <v>4290927.2385999998</v>
      </c>
      <c r="AX156" s="291">
        <f t="shared" si="70"/>
        <v>4290927.2385999998</v>
      </c>
      <c r="AY156" s="358">
        <f t="shared" ref="AY156:AY195" si="86">AX156-AU156</f>
        <v>505286.23859999981</v>
      </c>
      <c r="AZ156" s="301"/>
      <c r="BA156" s="301"/>
      <c r="BB156" s="302"/>
      <c r="BC156" s="291"/>
      <c r="BD156" s="298"/>
      <c r="BF156" s="298"/>
      <c r="BG156" s="298"/>
      <c r="BK156" s="298"/>
      <c r="BL156" s="298"/>
      <c r="BM156" s="298"/>
      <c r="BN156" s="298"/>
      <c r="BO156" s="298"/>
    </row>
    <row r="157" spans="1:67" ht="15" x14ac:dyDescent="0.2">
      <c r="A157" s="10" t="s">
        <v>14</v>
      </c>
      <c r="B157" s="10"/>
      <c r="C157" s="276"/>
      <c r="D157" s="276"/>
      <c r="E157" s="276"/>
      <c r="F157" s="8">
        <v>6</v>
      </c>
      <c r="G157" s="355">
        <v>83</v>
      </c>
      <c r="H157" s="10">
        <v>131</v>
      </c>
      <c r="I157" s="7" t="s">
        <v>143</v>
      </c>
      <c r="J157" s="287"/>
      <c r="K157" s="356">
        <v>6124.37</v>
      </c>
      <c r="L157" s="355"/>
      <c r="M157" s="289"/>
      <c r="N157" s="357">
        <v>1415</v>
      </c>
      <c r="O157" s="290">
        <f t="shared" si="59"/>
        <v>0.23104417270674371</v>
      </c>
      <c r="P157" s="290">
        <f t="shared" si="71"/>
        <v>0</v>
      </c>
      <c r="Q157" s="291">
        <f t="shared" si="60"/>
        <v>0</v>
      </c>
      <c r="R157" s="291">
        <f t="shared" si="72"/>
        <v>0</v>
      </c>
      <c r="S157" s="357">
        <v>139</v>
      </c>
      <c r="T157" s="292">
        <f t="shared" si="61"/>
        <v>424.5</v>
      </c>
      <c r="U157" s="254">
        <f t="shared" si="73"/>
        <v>6583.62</v>
      </c>
      <c r="V157" s="356">
        <v>6066041105</v>
      </c>
      <c r="W157" s="357">
        <v>43763</v>
      </c>
      <c r="X157" s="264">
        <f t="shared" si="62"/>
        <v>138611.18</v>
      </c>
      <c r="Y157" s="293">
        <f t="shared" si="63"/>
        <v>0.71995799999999999</v>
      </c>
      <c r="Z157" s="357">
        <v>92220</v>
      </c>
      <c r="AA157" s="293">
        <f t="shared" si="64"/>
        <v>0.76534800000000003</v>
      </c>
      <c r="AB157" s="293">
        <f t="shared" si="65"/>
        <v>0.26642500000000002</v>
      </c>
      <c r="AC157" s="294">
        <f t="shared" si="66"/>
        <v>0.26642500000000002</v>
      </c>
      <c r="AD157" s="295">
        <f t="shared" si="74"/>
        <v>0</v>
      </c>
      <c r="AE157" s="296">
        <f t="shared" si="75"/>
        <v>0.26642500000000002</v>
      </c>
      <c r="AF157" s="357">
        <v>0</v>
      </c>
      <c r="AG157" s="357">
        <v>0</v>
      </c>
      <c r="AH157" s="254">
        <f t="shared" si="76"/>
        <v>0</v>
      </c>
      <c r="AI157" s="9">
        <f t="shared" si="67"/>
        <v>0</v>
      </c>
      <c r="AJ157" s="9">
        <v>0</v>
      </c>
      <c r="AK157" s="9">
        <f t="shared" si="77"/>
        <v>0</v>
      </c>
      <c r="AL157" s="9">
        <f t="shared" si="78"/>
        <v>0</v>
      </c>
      <c r="AM157" s="9">
        <f t="shared" si="79"/>
        <v>0</v>
      </c>
      <c r="AN157" s="9">
        <f t="shared" si="80"/>
        <v>0</v>
      </c>
      <c r="AO157" s="9">
        <f t="shared" si="68"/>
        <v>20215322</v>
      </c>
      <c r="AP157" s="9">
        <f t="shared" si="81"/>
        <v>20215322</v>
      </c>
      <c r="AQ157" s="9">
        <f t="shared" si="82"/>
        <v>20215322</v>
      </c>
      <c r="AR157" s="291">
        <v>20268059</v>
      </c>
      <c r="AS157" s="9">
        <f t="shared" si="83"/>
        <v>52737</v>
      </c>
      <c r="AT157" s="297" t="str">
        <f t="shared" si="84"/>
        <v>No</v>
      </c>
      <c r="AU157" s="357">
        <v>20466417</v>
      </c>
      <c r="AV157" s="291">
        <f t="shared" si="69"/>
        <v>4392.9921000000004</v>
      </c>
      <c r="AW157" s="291">
        <f t="shared" si="85"/>
        <v>20466417</v>
      </c>
      <c r="AX157" s="291">
        <f t="shared" si="70"/>
        <v>20466417</v>
      </c>
      <c r="AY157" s="358">
        <f t="shared" si="86"/>
        <v>0</v>
      </c>
      <c r="AZ157" s="301"/>
      <c r="BA157" s="301"/>
      <c r="BB157" s="302"/>
      <c r="BC157" s="291"/>
      <c r="BD157" s="298"/>
      <c r="BF157" s="298"/>
      <c r="BG157" s="298"/>
      <c r="BK157" s="298"/>
      <c r="BL157" s="298"/>
      <c r="BM157" s="298"/>
      <c r="BN157" s="298"/>
      <c r="BO157" s="298"/>
    </row>
    <row r="158" spans="1:67" ht="15" x14ac:dyDescent="0.2">
      <c r="A158" s="10" t="s">
        <v>10</v>
      </c>
      <c r="B158" s="10"/>
      <c r="C158" s="276"/>
      <c r="D158" s="276"/>
      <c r="E158" s="276"/>
      <c r="F158" s="8">
        <v>5</v>
      </c>
      <c r="G158" s="355">
        <v>78</v>
      </c>
      <c r="H158" s="10">
        <v>132</v>
      </c>
      <c r="I158" s="7" t="s">
        <v>144</v>
      </c>
      <c r="J158" s="287"/>
      <c r="K158" s="356">
        <v>4678.49</v>
      </c>
      <c r="L158" s="355"/>
      <c r="M158" s="289"/>
      <c r="N158" s="357">
        <v>757</v>
      </c>
      <c r="O158" s="290">
        <f t="shared" si="59"/>
        <v>0.16180434285421152</v>
      </c>
      <c r="P158" s="290">
        <f t="shared" si="71"/>
        <v>0</v>
      </c>
      <c r="Q158" s="291">
        <f t="shared" si="60"/>
        <v>0</v>
      </c>
      <c r="R158" s="291">
        <f t="shared" si="72"/>
        <v>0</v>
      </c>
      <c r="S158" s="357">
        <v>329</v>
      </c>
      <c r="T158" s="292">
        <f t="shared" si="61"/>
        <v>227.1</v>
      </c>
      <c r="U158" s="254">
        <f t="shared" si="73"/>
        <v>4987.84</v>
      </c>
      <c r="V158" s="356">
        <v>4036297127.6700001</v>
      </c>
      <c r="W158" s="357">
        <v>25823</v>
      </c>
      <c r="X158" s="264">
        <f t="shared" si="62"/>
        <v>156306.28</v>
      </c>
      <c r="Y158" s="293">
        <f t="shared" si="63"/>
        <v>0.81186800000000003</v>
      </c>
      <c r="Z158" s="357">
        <v>107088</v>
      </c>
      <c r="AA158" s="293">
        <f t="shared" si="64"/>
        <v>0.88873999999999997</v>
      </c>
      <c r="AB158" s="293">
        <f t="shared" si="65"/>
        <v>0.16506999999999999</v>
      </c>
      <c r="AC158" s="294">
        <f t="shared" si="66"/>
        <v>0.16506999999999999</v>
      </c>
      <c r="AD158" s="295">
        <f t="shared" si="74"/>
        <v>0</v>
      </c>
      <c r="AE158" s="296">
        <f t="shared" si="75"/>
        <v>0.16506999999999999</v>
      </c>
      <c r="AF158" s="357">
        <v>0</v>
      </c>
      <c r="AG158" s="357">
        <v>0</v>
      </c>
      <c r="AH158" s="254">
        <f t="shared" si="76"/>
        <v>0</v>
      </c>
      <c r="AI158" s="9">
        <f t="shared" si="67"/>
        <v>0</v>
      </c>
      <c r="AJ158" s="9">
        <v>0</v>
      </c>
      <c r="AK158" s="9">
        <f t="shared" si="77"/>
        <v>0</v>
      </c>
      <c r="AL158" s="9">
        <f t="shared" si="78"/>
        <v>0</v>
      </c>
      <c r="AM158" s="9">
        <f t="shared" si="79"/>
        <v>0</v>
      </c>
      <c r="AN158" s="9">
        <f t="shared" si="80"/>
        <v>0</v>
      </c>
      <c r="AO158" s="9">
        <f t="shared" si="68"/>
        <v>9489025</v>
      </c>
      <c r="AP158" s="9">
        <f t="shared" si="81"/>
        <v>9489025</v>
      </c>
      <c r="AQ158" s="9">
        <f t="shared" si="82"/>
        <v>9489025</v>
      </c>
      <c r="AR158" s="291">
        <v>12826469</v>
      </c>
      <c r="AS158" s="9">
        <f t="shared" si="83"/>
        <v>3337444</v>
      </c>
      <c r="AT158" s="297" t="str">
        <f t="shared" si="84"/>
        <v>No</v>
      </c>
      <c r="AU158" s="357">
        <v>11408078</v>
      </c>
      <c r="AV158" s="291">
        <f t="shared" si="69"/>
        <v>278009.08519999997</v>
      </c>
      <c r="AW158" s="291">
        <f t="shared" si="85"/>
        <v>11408078</v>
      </c>
      <c r="AX158" s="291">
        <f t="shared" si="70"/>
        <v>11408078</v>
      </c>
      <c r="AY158" s="358">
        <f t="shared" si="86"/>
        <v>0</v>
      </c>
      <c r="AZ158" s="301"/>
      <c r="BA158" s="301"/>
      <c r="BB158" s="302"/>
      <c r="BC158" s="291"/>
      <c r="BD158" s="298"/>
      <c r="BF158" s="298"/>
      <c r="BG158" s="298"/>
      <c r="BK158" s="298"/>
      <c r="BL158" s="298"/>
      <c r="BM158" s="298"/>
      <c r="BN158" s="298"/>
      <c r="BO158" s="298"/>
    </row>
    <row r="159" spans="1:67" ht="15" x14ac:dyDescent="0.2">
      <c r="A159" s="10" t="s">
        <v>32</v>
      </c>
      <c r="B159" s="10"/>
      <c r="C159" s="276"/>
      <c r="D159" s="276"/>
      <c r="E159" s="276"/>
      <c r="F159" s="8">
        <v>9</v>
      </c>
      <c r="G159" s="359">
        <v>15</v>
      </c>
      <c r="H159" s="10">
        <v>133</v>
      </c>
      <c r="I159" s="7" t="s">
        <v>145</v>
      </c>
      <c r="J159" s="287"/>
      <c r="K159" s="356">
        <v>348</v>
      </c>
      <c r="L159" s="359"/>
      <c r="M159" s="289"/>
      <c r="N159" s="357">
        <v>207</v>
      </c>
      <c r="O159" s="290">
        <f t="shared" si="59"/>
        <v>0.59482758620689657</v>
      </c>
      <c r="P159" s="290">
        <f t="shared" si="71"/>
        <v>0</v>
      </c>
      <c r="Q159" s="291">
        <f t="shared" si="60"/>
        <v>0</v>
      </c>
      <c r="R159" s="291">
        <f t="shared" si="72"/>
        <v>0</v>
      </c>
      <c r="S159" s="357">
        <v>11</v>
      </c>
      <c r="T159" s="292">
        <f t="shared" si="61"/>
        <v>62.1</v>
      </c>
      <c r="U159" s="254">
        <f t="shared" si="73"/>
        <v>412.85</v>
      </c>
      <c r="V159" s="356">
        <v>257741030.66999999</v>
      </c>
      <c r="W159" s="357">
        <v>2929</v>
      </c>
      <c r="X159" s="264">
        <f t="shared" si="62"/>
        <v>87996.25</v>
      </c>
      <c r="Y159" s="293">
        <f t="shared" si="63"/>
        <v>0.45706000000000002</v>
      </c>
      <c r="Z159" s="357">
        <v>65688</v>
      </c>
      <c r="AA159" s="293">
        <f t="shared" si="64"/>
        <v>0.54515499999999995</v>
      </c>
      <c r="AB159" s="293">
        <f t="shared" si="65"/>
        <v>0.51651199999999997</v>
      </c>
      <c r="AC159" s="294">
        <f t="shared" si="66"/>
        <v>0.51651199999999997</v>
      </c>
      <c r="AD159" s="295">
        <f t="shared" si="74"/>
        <v>0.04</v>
      </c>
      <c r="AE159" s="296">
        <f t="shared" si="75"/>
        <v>0.55651200000000001</v>
      </c>
      <c r="AF159" s="357">
        <v>0</v>
      </c>
      <c r="AG159" s="357">
        <v>0</v>
      </c>
      <c r="AH159" s="254">
        <f t="shared" si="76"/>
        <v>0</v>
      </c>
      <c r="AI159" s="9">
        <f t="shared" si="67"/>
        <v>0</v>
      </c>
      <c r="AJ159" s="9">
        <v>79</v>
      </c>
      <c r="AK159" s="9">
        <f t="shared" si="77"/>
        <v>4</v>
      </c>
      <c r="AL159" s="9">
        <f t="shared" si="78"/>
        <v>400</v>
      </c>
      <c r="AM159" s="9">
        <f t="shared" si="79"/>
        <v>31600</v>
      </c>
      <c r="AN159" s="9">
        <f t="shared" si="80"/>
        <v>31600</v>
      </c>
      <c r="AO159" s="9">
        <f t="shared" si="68"/>
        <v>2647938</v>
      </c>
      <c r="AP159" s="9">
        <f t="shared" si="81"/>
        <v>2679538</v>
      </c>
      <c r="AQ159" s="9">
        <f t="shared" si="82"/>
        <v>2679538</v>
      </c>
      <c r="AR159" s="291">
        <v>2612273</v>
      </c>
      <c r="AS159" s="9">
        <f t="shared" si="83"/>
        <v>67265</v>
      </c>
      <c r="AT159" s="297" t="str">
        <f t="shared" si="84"/>
        <v>Yes</v>
      </c>
      <c r="AU159" s="357">
        <v>2668094</v>
      </c>
      <c r="AV159" s="291">
        <f t="shared" si="69"/>
        <v>7170.4489999999996</v>
      </c>
      <c r="AW159" s="291">
        <f t="shared" si="85"/>
        <v>2675264.449</v>
      </c>
      <c r="AX159" s="291">
        <f t="shared" si="70"/>
        <v>2675264.449</v>
      </c>
      <c r="AY159" s="358">
        <f t="shared" si="86"/>
        <v>7170.4490000000224</v>
      </c>
      <c r="AZ159" s="301"/>
      <c r="BA159" s="301"/>
      <c r="BB159" s="302"/>
      <c r="BC159" s="291"/>
      <c r="BD159" s="298"/>
      <c r="BF159" s="298"/>
      <c r="BG159" s="298"/>
      <c r="BK159" s="298"/>
      <c r="BL159" s="298"/>
      <c r="BM159" s="298"/>
      <c r="BN159" s="298"/>
      <c r="BO159" s="298"/>
    </row>
    <row r="160" spans="1:67" ht="15" x14ac:dyDescent="0.2">
      <c r="A160" s="10" t="s">
        <v>32</v>
      </c>
      <c r="B160" s="10"/>
      <c r="C160" s="276"/>
      <c r="D160" s="276"/>
      <c r="E160" s="276"/>
      <c r="F160" s="8">
        <v>9</v>
      </c>
      <c r="G160" s="359">
        <v>42</v>
      </c>
      <c r="H160" s="10">
        <v>134</v>
      </c>
      <c r="I160" s="7" t="s">
        <v>146</v>
      </c>
      <c r="J160" s="287"/>
      <c r="K160" s="356">
        <v>1365.61</v>
      </c>
      <c r="L160" s="359"/>
      <c r="M160" s="289"/>
      <c r="N160" s="357">
        <v>563</v>
      </c>
      <c r="O160" s="290">
        <f t="shared" si="59"/>
        <v>0.41226997459010994</v>
      </c>
      <c r="P160" s="290">
        <f t="shared" si="71"/>
        <v>0</v>
      </c>
      <c r="Q160" s="291">
        <f t="shared" si="60"/>
        <v>0</v>
      </c>
      <c r="R160" s="291">
        <f t="shared" si="72"/>
        <v>0</v>
      </c>
      <c r="S160" s="357">
        <v>6</v>
      </c>
      <c r="T160" s="292">
        <f t="shared" si="61"/>
        <v>168.9</v>
      </c>
      <c r="U160" s="254">
        <f t="shared" si="73"/>
        <v>1536.01</v>
      </c>
      <c r="V160" s="356">
        <v>1165297456.6700001</v>
      </c>
      <c r="W160" s="357">
        <v>11890</v>
      </c>
      <c r="X160" s="264">
        <f t="shared" si="62"/>
        <v>98006.51</v>
      </c>
      <c r="Y160" s="293">
        <f t="shared" si="63"/>
        <v>0.50905400000000001</v>
      </c>
      <c r="Z160" s="357">
        <v>72806</v>
      </c>
      <c r="AA160" s="293">
        <f t="shared" si="64"/>
        <v>0.60422799999999999</v>
      </c>
      <c r="AB160" s="293">
        <f t="shared" si="65"/>
        <v>0.46239400000000003</v>
      </c>
      <c r="AC160" s="294">
        <f t="shared" si="66"/>
        <v>0.46239400000000003</v>
      </c>
      <c r="AD160" s="295">
        <f t="shared" si="74"/>
        <v>0</v>
      </c>
      <c r="AE160" s="296">
        <f t="shared" si="75"/>
        <v>0.46239400000000003</v>
      </c>
      <c r="AF160" s="357">
        <v>0</v>
      </c>
      <c r="AG160" s="357">
        <v>0</v>
      </c>
      <c r="AH160" s="254">
        <f t="shared" si="76"/>
        <v>0</v>
      </c>
      <c r="AI160" s="9">
        <f t="shared" si="67"/>
        <v>0</v>
      </c>
      <c r="AJ160" s="9">
        <v>0</v>
      </c>
      <c r="AK160" s="9">
        <f t="shared" si="77"/>
        <v>0</v>
      </c>
      <c r="AL160" s="9">
        <f t="shared" si="78"/>
        <v>0</v>
      </c>
      <c r="AM160" s="9">
        <f t="shared" si="79"/>
        <v>0</v>
      </c>
      <c r="AN160" s="9">
        <f t="shared" si="80"/>
        <v>0</v>
      </c>
      <c r="AO160" s="9">
        <f t="shared" si="68"/>
        <v>8185537</v>
      </c>
      <c r="AP160" s="9">
        <f t="shared" si="81"/>
        <v>8185537</v>
      </c>
      <c r="AQ160" s="9">
        <f t="shared" si="82"/>
        <v>8185537</v>
      </c>
      <c r="AR160" s="291">
        <v>9790490</v>
      </c>
      <c r="AS160" s="9">
        <f t="shared" si="83"/>
        <v>1604953</v>
      </c>
      <c r="AT160" s="297" t="str">
        <f t="shared" si="84"/>
        <v>No</v>
      </c>
      <c r="AU160" s="357">
        <v>9551487</v>
      </c>
      <c r="AV160" s="291">
        <f t="shared" si="69"/>
        <v>133692.58489999999</v>
      </c>
      <c r="AW160" s="291">
        <f t="shared" si="85"/>
        <v>9551487</v>
      </c>
      <c r="AX160" s="291">
        <f t="shared" si="70"/>
        <v>9551487</v>
      </c>
      <c r="AY160" s="358">
        <f t="shared" si="86"/>
        <v>0</v>
      </c>
      <c r="AZ160" s="301"/>
      <c r="BA160" s="301"/>
      <c r="BB160" s="302"/>
      <c r="BC160" s="291"/>
      <c r="BD160" s="298"/>
      <c r="BF160" s="298"/>
      <c r="BG160" s="298"/>
      <c r="BK160" s="298"/>
      <c r="BL160" s="298"/>
      <c r="BM160" s="298"/>
      <c r="BN160" s="298"/>
      <c r="BO160" s="298"/>
    </row>
    <row r="161" spans="1:67" ht="15" x14ac:dyDescent="0.2">
      <c r="A161" s="10" t="s">
        <v>6</v>
      </c>
      <c r="B161" s="10">
        <v>1</v>
      </c>
      <c r="C161" s="276">
        <v>1</v>
      </c>
      <c r="D161" s="276">
        <v>1</v>
      </c>
      <c r="E161" s="276"/>
      <c r="F161" s="8">
        <v>2</v>
      </c>
      <c r="G161" s="355">
        <v>117</v>
      </c>
      <c r="H161" s="10">
        <v>135</v>
      </c>
      <c r="I161" s="7" t="s">
        <v>147</v>
      </c>
      <c r="J161" s="287"/>
      <c r="K161" s="356">
        <v>15732.61</v>
      </c>
      <c r="L161" s="355"/>
      <c r="M161" s="289"/>
      <c r="N161" s="357">
        <v>9272</v>
      </c>
      <c r="O161" s="290">
        <f t="shared" si="59"/>
        <v>0.58934912897478542</v>
      </c>
      <c r="P161" s="290">
        <f t="shared" si="71"/>
        <v>0</v>
      </c>
      <c r="Q161" s="291">
        <f t="shared" si="60"/>
        <v>0</v>
      </c>
      <c r="R161" s="291">
        <f t="shared" si="72"/>
        <v>0</v>
      </c>
      <c r="S161" s="357">
        <v>2168</v>
      </c>
      <c r="T161" s="292">
        <f t="shared" si="61"/>
        <v>2781.6</v>
      </c>
      <c r="U161" s="254">
        <f t="shared" si="73"/>
        <v>19056.21</v>
      </c>
      <c r="V161" s="356">
        <v>32280069005.330002</v>
      </c>
      <c r="W161" s="357">
        <v>129026</v>
      </c>
      <c r="X161" s="264">
        <f t="shared" si="62"/>
        <v>250182.67</v>
      </c>
      <c r="Y161" s="293">
        <f t="shared" si="63"/>
        <v>1.299469</v>
      </c>
      <c r="Z161" s="357">
        <v>89309</v>
      </c>
      <c r="AA161" s="293">
        <f t="shared" si="64"/>
        <v>0.74118899999999999</v>
      </c>
      <c r="AB161" s="293">
        <f t="shared" si="65"/>
        <v>-0.13198499999999999</v>
      </c>
      <c r="AC161" s="294">
        <f t="shared" si="66"/>
        <v>0.1</v>
      </c>
      <c r="AD161" s="295">
        <f t="shared" si="74"/>
        <v>0</v>
      </c>
      <c r="AE161" s="296">
        <f t="shared" si="75"/>
        <v>0.1</v>
      </c>
      <c r="AF161" s="357">
        <v>0</v>
      </c>
      <c r="AG161" s="357">
        <v>0</v>
      </c>
      <c r="AH161" s="254">
        <f t="shared" si="76"/>
        <v>0</v>
      </c>
      <c r="AI161" s="9">
        <f t="shared" si="67"/>
        <v>0</v>
      </c>
      <c r="AJ161" s="9">
        <v>0</v>
      </c>
      <c r="AK161" s="9">
        <f t="shared" si="77"/>
        <v>0</v>
      </c>
      <c r="AL161" s="9">
        <f t="shared" si="78"/>
        <v>0</v>
      </c>
      <c r="AM161" s="9">
        <f t="shared" si="79"/>
        <v>0</v>
      </c>
      <c r="AN161" s="9">
        <f t="shared" si="80"/>
        <v>0</v>
      </c>
      <c r="AO161" s="9">
        <f t="shared" si="68"/>
        <v>21962282</v>
      </c>
      <c r="AP161" s="9">
        <f t="shared" si="81"/>
        <v>21962282</v>
      </c>
      <c r="AQ161" s="9">
        <f t="shared" si="82"/>
        <v>21962282</v>
      </c>
      <c r="AR161" s="291">
        <v>10803759</v>
      </c>
      <c r="AS161" s="9">
        <f t="shared" si="83"/>
        <v>11158523</v>
      </c>
      <c r="AT161" s="297" t="str">
        <f t="shared" si="84"/>
        <v>Yes</v>
      </c>
      <c r="AU161" s="357">
        <v>13590585</v>
      </c>
      <c r="AV161" s="291">
        <f t="shared" si="69"/>
        <v>1189498.5518</v>
      </c>
      <c r="AW161" s="291">
        <f t="shared" si="85"/>
        <v>14780083.5518</v>
      </c>
      <c r="AX161" s="291">
        <f t="shared" si="70"/>
        <v>14780083.5518</v>
      </c>
      <c r="AY161" s="358">
        <f t="shared" si="86"/>
        <v>1189498.5517999995</v>
      </c>
      <c r="AZ161" s="301"/>
      <c r="BA161" s="301"/>
      <c r="BB161" s="302"/>
      <c r="BC161" s="291"/>
      <c r="BD161" s="298"/>
      <c r="BF161" s="298"/>
      <c r="BG161" s="298"/>
      <c r="BK161" s="298"/>
      <c r="BL161" s="298"/>
      <c r="BM161" s="298"/>
      <c r="BN161" s="298"/>
      <c r="BO161" s="298"/>
    </row>
    <row r="162" spans="1:67" ht="15" x14ac:dyDescent="0.2">
      <c r="A162" s="10" t="s">
        <v>32</v>
      </c>
      <c r="B162" s="10"/>
      <c r="C162" s="276"/>
      <c r="D162" s="276"/>
      <c r="E162" s="276"/>
      <c r="F162" s="8">
        <v>9</v>
      </c>
      <c r="G162" s="359">
        <v>27</v>
      </c>
      <c r="H162" s="10">
        <v>136</v>
      </c>
      <c r="I162" s="7" t="s">
        <v>148</v>
      </c>
      <c r="J162" s="287"/>
      <c r="K162" s="356">
        <v>428.64</v>
      </c>
      <c r="L162" s="359"/>
      <c r="M162" s="289"/>
      <c r="N162" s="357">
        <v>147</v>
      </c>
      <c r="O162" s="290">
        <f t="shared" si="59"/>
        <v>0.34294512877939531</v>
      </c>
      <c r="P162" s="290">
        <f t="shared" si="71"/>
        <v>0</v>
      </c>
      <c r="Q162" s="291">
        <f t="shared" si="60"/>
        <v>0</v>
      </c>
      <c r="R162" s="291">
        <f t="shared" si="72"/>
        <v>0</v>
      </c>
      <c r="S162" s="357">
        <v>0</v>
      </c>
      <c r="T162" s="292">
        <f t="shared" si="61"/>
        <v>44.1</v>
      </c>
      <c r="U162" s="254">
        <f t="shared" si="73"/>
        <v>472.74</v>
      </c>
      <c r="V162" s="356">
        <v>355883350.32999998</v>
      </c>
      <c r="W162" s="357">
        <v>3762</v>
      </c>
      <c r="X162" s="264">
        <f t="shared" si="62"/>
        <v>94599.51</v>
      </c>
      <c r="Y162" s="293">
        <f t="shared" si="63"/>
        <v>0.49135800000000002</v>
      </c>
      <c r="Z162" s="357">
        <v>77985</v>
      </c>
      <c r="AA162" s="293">
        <f t="shared" si="64"/>
        <v>0.64720900000000003</v>
      </c>
      <c r="AB162" s="293">
        <f t="shared" si="65"/>
        <v>0.46188699999999999</v>
      </c>
      <c r="AC162" s="294">
        <f t="shared" si="66"/>
        <v>0.46188699999999999</v>
      </c>
      <c r="AD162" s="295">
        <f t="shared" si="74"/>
        <v>0</v>
      </c>
      <c r="AE162" s="296">
        <f t="shared" si="75"/>
        <v>0.46188699999999999</v>
      </c>
      <c r="AF162" s="357">
        <v>0</v>
      </c>
      <c r="AG162" s="357">
        <v>0</v>
      </c>
      <c r="AH162" s="254">
        <f t="shared" si="76"/>
        <v>0</v>
      </c>
      <c r="AI162" s="9">
        <f t="shared" si="67"/>
        <v>0</v>
      </c>
      <c r="AJ162" s="9">
        <v>0</v>
      </c>
      <c r="AK162" s="9">
        <f t="shared" si="77"/>
        <v>0</v>
      </c>
      <c r="AL162" s="9">
        <f t="shared" si="78"/>
        <v>0</v>
      </c>
      <c r="AM162" s="9">
        <f t="shared" si="79"/>
        <v>0</v>
      </c>
      <c r="AN162" s="9">
        <f t="shared" si="80"/>
        <v>0</v>
      </c>
      <c r="AO162" s="9">
        <f t="shared" si="68"/>
        <v>2516512</v>
      </c>
      <c r="AP162" s="9">
        <f t="shared" si="81"/>
        <v>2516512</v>
      </c>
      <c r="AQ162" s="9">
        <f t="shared" si="82"/>
        <v>2516512</v>
      </c>
      <c r="AR162" s="291">
        <v>3196216</v>
      </c>
      <c r="AS162" s="9">
        <f t="shared" si="83"/>
        <v>679704</v>
      </c>
      <c r="AT162" s="297" t="str">
        <f t="shared" si="84"/>
        <v>No</v>
      </c>
      <c r="AU162" s="357">
        <v>3174585</v>
      </c>
      <c r="AV162" s="291">
        <f t="shared" si="69"/>
        <v>56619.343200000003</v>
      </c>
      <c r="AW162" s="291">
        <f t="shared" si="85"/>
        <v>3174585</v>
      </c>
      <c r="AX162" s="291">
        <f t="shared" si="70"/>
        <v>3174585</v>
      </c>
      <c r="AY162" s="358">
        <f t="shared" si="86"/>
        <v>0</v>
      </c>
      <c r="AZ162" s="301"/>
      <c r="BA162" s="301"/>
      <c r="BB162" s="302"/>
      <c r="BC162" s="291"/>
      <c r="BD162" s="298"/>
      <c r="BF162" s="298"/>
      <c r="BG162" s="298"/>
      <c r="BK162" s="298"/>
      <c r="BL162" s="298"/>
      <c r="BM162" s="298"/>
      <c r="BN162" s="298"/>
      <c r="BO162" s="298"/>
    </row>
    <row r="163" spans="1:67" ht="15" x14ac:dyDescent="0.2">
      <c r="A163" s="10" t="s">
        <v>14</v>
      </c>
      <c r="B163" s="10"/>
      <c r="C163" s="276"/>
      <c r="D163" s="276"/>
      <c r="E163" s="276"/>
      <c r="F163" s="8">
        <v>3</v>
      </c>
      <c r="G163" s="355">
        <v>125</v>
      </c>
      <c r="H163" s="10">
        <v>137</v>
      </c>
      <c r="I163" s="7" t="s">
        <v>149</v>
      </c>
      <c r="J163" s="287"/>
      <c r="K163" s="356">
        <v>1956.72</v>
      </c>
      <c r="L163" s="355"/>
      <c r="M163" s="289"/>
      <c r="N163" s="357">
        <v>541</v>
      </c>
      <c r="O163" s="290">
        <f t="shared" si="59"/>
        <v>0.27648309415756983</v>
      </c>
      <c r="P163" s="290">
        <f t="shared" si="71"/>
        <v>0</v>
      </c>
      <c r="Q163" s="291">
        <f t="shared" si="60"/>
        <v>0</v>
      </c>
      <c r="R163" s="291">
        <f t="shared" si="72"/>
        <v>0</v>
      </c>
      <c r="S163" s="357">
        <v>10</v>
      </c>
      <c r="T163" s="292">
        <f t="shared" si="61"/>
        <v>162.30000000000001</v>
      </c>
      <c r="U163" s="254">
        <f t="shared" si="73"/>
        <v>2121.52</v>
      </c>
      <c r="V163" s="356">
        <v>4041442120.3299999</v>
      </c>
      <c r="W163" s="357">
        <v>18436</v>
      </c>
      <c r="X163" s="264">
        <f t="shared" si="62"/>
        <v>219214.7</v>
      </c>
      <c r="Y163" s="293">
        <f t="shared" si="63"/>
        <v>1.138619</v>
      </c>
      <c r="Z163" s="357">
        <v>79250</v>
      </c>
      <c r="AA163" s="293">
        <f t="shared" si="64"/>
        <v>0.65770799999999996</v>
      </c>
      <c r="AB163" s="293">
        <f t="shared" si="65"/>
        <v>5.6540000000000002E-3</v>
      </c>
      <c r="AC163" s="294">
        <f t="shared" si="66"/>
        <v>0.01</v>
      </c>
      <c r="AD163" s="295">
        <f t="shared" si="74"/>
        <v>0</v>
      </c>
      <c r="AE163" s="296">
        <f t="shared" si="75"/>
        <v>0.01</v>
      </c>
      <c r="AF163" s="357">
        <v>0</v>
      </c>
      <c r="AG163" s="357">
        <v>0</v>
      </c>
      <c r="AH163" s="254">
        <f t="shared" si="76"/>
        <v>0</v>
      </c>
      <c r="AI163" s="9">
        <f t="shared" si="67"/>
        <v>0</v>
      </c>
      <c r="AJ163" s="9">
        <v>0</v>
      </c>
      <c r="AK163" s="9">
        <f t="shared" si="77"/>
        <v>0</v>
      </c>
      <c r="AL163" s="9">
        <f t="shared" si="78"/>
        <v>0</v>
      </c>
      <c r="AM163" s="9">
        <f t="shared" si="79"/>
        <v>0</v>
      </c>
      <c r="AN163" s="9">
        <f t="shared" si="80"/>
        <v>0</v>
      </c>
      <c r="AO163" s="9">
        <f t="shared" si="68"/>
        <v>244505</v>
      </c>
      <c r="AP163" s="9">
        <f t="shared" si="81"/>
        <v>244505</v>
      </c>
      <c r="AQ163" s="9">
        <f t="shared" si="82"/>
        <v>244505</v>
      </c>
      <c r="AR163" s="291">
        <v>1649159</v>
      </c>
      <c r="AS163" s="9">
        <f t="shared" si="83"/>
        <v>1404654</v>
      </c>
      <c r="AT163" s="297" t="str">
        <f t="shared" si="84"/>
        <v>No</v>
      </c>
      <c r="AU163" s="357">
        <v>1073011</v>
      </c>
      <c r="AV163" s="291">
        <f t="shared" si="69"/>
        <v>117007.67819999999</v>
      </c>
      <c r="AW163" s="291">
        <f t="shared" si="85"/>
        <v>1073011</v>
      </c>
      <c r="AX163" s="291">
        <f t="shared" si="70"/>
        <v>1073011</v>
      </c>
      <c r="AY163" s="358">
        <f t="shared" si="86"/>
        <v>0</v>
      </c>
      <c r="AZ163" s="301"/>
      <c r="BA163" s="301"/>
      <c r="BB163" s="302"/>
      <c r="BC163" s="291"/>
      <c r="BD163" s="298"/>
      <c r="BF163" s="298"/>
      <c r="BG163" s="298"/>
      <c r="BK163" s="298"/>
      <c r="BL163" s="298"/>
      <c r="BM163" s="298"/>
      <c r="BN163" s="298"/>
      <c r="BO163" s="298"/>
    </row>
    <row r="164" spans="1:67" ht="15" x14ac:dyDescent="0.2">
      <c r="A164" s="10" t="s">
        <v>19</v>
      </c>
      <c r="B164" s="10"/>
      <c r="C164" s="276"/>
      <c r="D164" s="276"/>
      <c r="E164" s="276"/>
      <c r="F164" s="8">
        <v>8</v>
      </c>
      <c r="G164" s="359">
        <v>24</v>
      </c>
      <c r="H164" s="10">
        <v>138</v>
      </c>
      <c r="I164" s="7" t="s">
        <v>150</v>
      </c>
      <c r="J164" s="287"/>
      <c r="K164" s="356">
        <v>6957.09</v>
      </c>
      <c r="L164" s="359"/>
      <c r="M164" s="289"/>
      <c r="N164" s="357">
        <v>3203</v>
      </c>
      <c r="O164" s="290">
        <f t="shared" si="59"/>
        <v>0.46039364159440227</v>
      </c>
      <c r="P164" s="290">
        <f t="shared" si="71"/>
        <v>0</v>
      </c>
      <c r="Q164" s="291">
        <f t="shared" si="60"/>
        <v>0</v>
      </c>
      <c r="R164" s="291">
        <f t="shared" si="72"/>
        <v>0</v>
      </c>
      <c r="S164" s="357">
        <v>447</v>
      </c>
      <c r="T164" s="292">
        <f t="shared" si="61"/>
        <v>960.9</v>
      </c>
      <c r="U164" s="254">
        <f t="shared" si="73"/>
        <v>8029.74</v>
      </c>
      <c r="V164" s="356">
        <v>6825288860.6700001</v>
      </c>
      <c r="W164" s="357">
        <v>52279</v>
      </c>
      <c r="X164" s="264">
        <f t="shared" si="62"/>
        <v>130555.08</v>
      </c>
      <c r="Y164" s="293">
        <f t="shared" si="63"/>
        <v>0.67811399999999999</v>
      </c>
      <c r="Z164" s="357">
        <v>75845</v>
      </c>
      <c r="AA164" s="293">
        <f t="shared" si="64"/>
        <v>0.62944900000000004</v>
      </c>
      <c r="AB164" s="293">
        <f t="shared" si="65"/>
        <v>0.33648600000000001</v>
      </c>
      <c r="AC164" s="294">
        <f t="shared" si="66"/>
        <v>0.33648600000000001</v>
      </c>
      <c r="AD164" s="295">
        <f t="shared" si="74"/>
        <v>0</v>
      </c>
      <c r="AE164" s="296">
        <f t="shared" si="75"/>
        <v>0.33648600000000001</v>
      </c>
      <c r="AF164" s="357">
        <v>0</v>
      </c>
      <c r="AG164" s="357">
        <v>0</v>
      </c>
      <c r="AH164" s="254">
        <f t="shared" si="76"/>
        <v>0</v>
      </c>
      <c r="AI164" s="9">
        <f t="shared" si="67"/>
        <v>0</v>
      </c>
      <c r="AJ164" s="9">
        <v>0</v>
      </c>
      <c r="AK164" s="9">
        <f t="shared" si="77"/>
        <v>0</v>
      </c>
      <c r="AL164" s="9">
        <f t="shared" si="78"/>
        <v>0</v>
      </c>
      <c r="AM164" s="9">
        <f t="shared" si="79"/>
        <v>0</v>
      </c>
      <c r="AN164" s="9">
        <f t="shared" si="80"/>
        <v>0</v>
      </c>
      <c r="AO164" s="9">
        <f t="shared" si="68"/>
        <v>31139341</v>
      </c>
      <c r="AP164" s="9">
        <f t="shared" si="81"/>
        <v>31139341</v>
      </c>
      <c r="AQ164" s="9">
        <f t="shared" si="82"/>
        <v>31139341</v>
      </c>
      <c r="AR164" s="291">
        <v>21461782</v>
      </c>
      <c r="AS164" s="9">
        <f t="shared" si="83"/>
        <v>9677559</v>
      </c>
      <c r="AT164" s="297" t="str">
        <f t="shared" si="84"/>
        <v>Yes</v>
      </c>
      <c r="AU164" s="357">
        <v>24116337</v>
      </c>
      <c r="AV164" s="291">
        <f t="shared" si="69"/>
        <v>1031627.7894</v>
      </c>
      <c r="AW164" s="291">
        <f t="shared" si="85"/>
        <v>25147964.7894</v>
      </c>
      <c r="AX164" s="291">
        <f t="shared" si="70"/>
        <v>25147964.7894</v>
      </c>
      <c r="AY164" s="358">
        <f t="shared" si="86"/>
        <v>1031627.7894000001</v>
      </c>
      <c r="AZ164" s="301"/>
      <c r="BA164" s="301"/>
      <c r="BB164" s="302"/>
      <c r="BC164" s="291"/>
      <c r="BD164" s="298"/>
      <c r="BF164" s="298"/>
      <c r="BG164" s="298"/>
      <c r="BK164" s="298"/>
      <c r="BL164" s="298"/>
      <c r="BM164" s="298"/>
      <c r="BN164" s="298"/>
      <c r="BO164" s="298"/>
    </row>
    <row r="165" spans="1:67" ht="15" x14ac:dyDescent="0.2">
      <c r="A165" s="10" t="s">
        <v>4</v>
      </c>
      <c r="B165" s="10"/>
      <c r="C165" s="276"/>
      <c r="D165" s="276"/>
      <c r="E165" s="276"/>
      <c r="F165" s="8">
        <v>5</v>
      </c>
      <c r="G165" s="355">
        <v>99</v>
      </c>
      <c r="H165" s="10">
        <v>139</v>
      </c>
      <c r="I165" s="7" t="s">
        <v>151</v>
      </c>
      <c r="J165" s="287"/>
      <c r="K165" s="356">
        <v>1991.04</v>
      </c>
      <c r="L165" s="355"/>
      <c r="M165" s="289"/>
      <c r="N165" s="357">
        <v>309</v>
      </c>
      <c r="O165" s="290">
        <f t="shared" si="59"/>
        <v>0.15519527483124398</v>
      </c>
      <c r="P165" s="290">
        <f t="shared" si="71"/>
        <v>0</v>
      </c>
      <c r="Q165" s="291">
        <f t="shared" si="60"/>
        <v>0</v>
      </c>
      <c r="R165" s="291">
        <f t="shared" si="72"/>
        <v>0</v>
      </c>
      <c r="S165" s="357">
        <v>44</v>
      </c>
      <c r="T165" s="292">
        <f t="shared" si="61"/>
        <v>92.7</v>
      </c>
      <c r="U165" s="254">
        <f t="shared" si="73"/>
        <v>2094.7399999999998</v>
      </c>
      <c r="V165" s="356">
        <v>2084652065.3299999</v>
      </c>
      <c r="W165" s="357">
        <v>15662</v>
      </c>
      <c r="X165" s="264">
        <f t="shared" si="62"/>
        <v>133102.54999999999</v>
      </c>
      <c r="Y165" s="293">
        <f t="shared" si="63"/>
        <v>0.69134600000000002</v>
      </c>
      <c r="Z165" s="357">
        <v>111573</v>
      </c>
      <c r="AA165" s="293">
        <f t="shared" si="64"/>
        <v>0.92596100000000003</v>
      </c>
      <c r="AB165" s="293">
        <f t="shared" si="65"/>
        <v>0.23827000000000001</v>
      </c>
      <c r="AC165" s="294">
        <f t="shared" si="66"/>
        <v>0.23827000000000001</v>
      </c>
      <c r="AD165" s="295">
        <f t="shared" si="74"/>
        <v>0</v>
      </c>
      <c r="AE165" s="296">
        <f t="shared" si="75"/>
        <v>0.23827000000000001</v>
      </c>
      <c r="AF165" s="357">
        <v>0</v>
      </c>
      <c r="AG165" s="357">
        <v>0</v>
      </c>
      <c r="AH165" s="254">
        <f t="shared" si="76"/>
        <v>0</v>
      </c>
      <c r="AI165" s="9">
        <f t="shared" si="67"/>
        <v>0</v>
      </c>
      <c r="AJ165" s="9">
        <v>0</v>
      </c>
      <c r="AK165" s="9">
        <f t="shared" si="77"/>
        <v>0</v>
      </c>
      <c r="AL165" s="9">
        <f t="shared" si="78"/>
        <v>0</v>
      </c>
      <c r="AM165" s="9">
        <f t="shared" si="79"/>
        <v>0</v>
      </c>
      <c r="AN165" s="9">
        <f t="shared" si="80"/>
        <v>0</v>
      </c>
      <c r="AO165" s="9">
        <f t="shared" si="68"/>
        <v>5752285</v>
      </c>
      <c r="AP165" s="9">
        <f t="shared" si="81"/>
        <v>5752285</v>
      </c>
      <c r="AQ165" s="9">
        <f t="shared" si="82"/>
        <v>5752285</v>
      </c>
      <c r="AR165" s="291">
        <v>6221145</v>
      </c>
      <c r="AS165" s="9">
        <f t="shared" si="83"/>
        <v>468860</v>
      </c>
      <c r="AT165" s="297" t="str">
        <f t="shared" si="84"/>
        <v>No</v>
      </c>
      <c r="AU165" s="357">
        <v>6148151</v>
      </c>
      <c r="AV165" s="291">
        <f t="shared" si="69"/>
        <v>39056.038</v>
      </c>
      <c r="AW165" s="291">
        <f t="shared" si="85"/>
        <v>6148151</v>
      </c>
      <c r="AX165" s="291">
        <f t="shared" si="70"/>
        <v>6148151</v>
      </c>
      <c r="AY165" s="358">
        <f t="shared" si="86"/>
        <v>0</v>
      </c>
      <c r="AZ165" s="301"/>
      <c r="BA165" s="301"/>
      <c r="BB165" s="302"/>
      <c r="BC165" s="291"/>
      <c r="BD165" s="298"/>
      <c r="BF165" s="298"/>
      <c r="BG165" s="298"/>
      <c r="BK165" s="298"/>
      <c r="BL165" s="298"/>
      <c r="BM165" s="298"/>
      <c r="BN165" s="298"/>
      <c r="BO165" s="298"/>
    </row>
    <row r="166" spans="1:67" ht="15" x14ac:dyDescent="0.2">
      <c r="A166" s="10" t="s">
        <v>8</v>
      </c>
      <c r="B166" s="10"/>
      <c r="C166" s="276"/>
      <c r="D166" s="276"/>
      <c r="E166" s="276"/>
      <c r="F166" s="8">
        <v>9</v>
      </c>
      <c r="G166" s="360">
        <v>43</v>
      </c>
      <c r="H166" s="10">
        <v>140</v>
      </c>
      <c r="I166" s="7" t="s">
        <v>152</v>
      </c>
      <c r="J166" s="287"/>
      <c r="K166" s="356">
        <v>945.86</v>
      </c>
      <c r="L166" s="360"/>
      <c r="M166" s="289"/>
      <c r="N166" s="357">
        <v>318</v>
      </c>
      <c r="O166" s="290">
        <f t="shared" si="59"/>
        <v>0.33620197492229292</v>
      </c>
      <c r="P166" s="290">
        <f t="shared" si="71"/>
        <v>0</v>
      </c>
      <c r="Q166" s="291">
        <f t="shared" si="60"/>
        <v>0</v>
      </c>
      <c r="R166" s="291">
        <f t="shared" si="72"/>
        <v>0</v>
      </c>
      <c r="S166" s="357">
        <v>14</v>
      </c>
      <c r="T166" s="292">
        <f t="shared" si="61"/>
        <v>95.4</v>
      </c>
      <c r="U166" s="254">
        <f t="shared" si="73"/>
        <v>1044.76</v>
      </c>
      <c r="V166" s="356">
        <v>804263908</v>
      </c>
      <c r="W166" s="357">
        <v>7623</v>
      </c>
      <c r="X166" s="264">
        <f t="shared" si="62"/>
        <v>105504.91</v>
      </c>
      <c r="Y166" s="293">
        <f t="shared" si="63"/>
        <v>0.54800099999999996</v>
      </c>
      <c r="Z166" s="357">
        <v>67862</v>
      </c>
      <c r="AA166" s="293">
        <f t="shared" si="64"/>
        <v>0.56319699999999995</v>
      </c>
      <c r="AB166" s="293">
        <f t="shared" si="65"/>
        <v>0.44744</v>
      </c>
      <c r="AC166" s="294">
        <f t="shared" si="66"/>
        <v>0.44744</v>
      </c>
      <c r="AD166" s="295">
        <f t="shared" si="74"/>
        <v>0</v>
      </c>
      <c r="AE166" s="296">
        <f t="shared" si="75"/>
        <v>0.44744</v>
      </c>
      <c r="AF166" s="357">
        <v>0</v>
      </c>
      <c r="AG166" s="357">
        <v>0</v>
      </c>
      <c r="AH166" s="254">
        <f t="shared" si="76"/>
        <v>0</v>
      </c>
      <c r="AI166" s="9">
        <f t="shared" si="67"/>
        <v>0</v>
      </c>
      <c r="AJ166" s="9">
        <v>0</v>
      </c>
      <c r="AK166" s="9">
        <f t="shared" si="77"/>
        <v>0</v>
      </c>
      <c r="AL166" s="9">
        <f t="shared" si="78"/>
        <v>0</v>
      </c>
      <c r="AM166" s="9">
        <f t="shared" si="79"/>
        <v>0</v>
      </c>
      <c r="AN166" s="9">
        <f t="shared" si="80"/>
        <v>0</v>
      </c>
      <c r="AO166" s="9">
        <f t="shared" si="68"/>
        <v>5387562</v>
      </c>
      <c r="AP166" s="9">
        <f t="shared" si="81"/>
        <v>5387562</v>
      </c>
      <c r="AQ166" s="9">
        <f t="shared" si="82"/>
        <v>5387562</v>
      </c>
      <c r="AR166" s="291">
        <v>5624815</v>
      </c>
      <c r="AS166" s="9">
        <f t="shared" si="83"/>
        <v>237253</v>
      </c>
      <c r="AT166" s="297" t="str">
        <f t="shared" si="84"/>
        <v>No</v>
      </c>
      <c r="AU166" s="357">
        <v>5481226</v>
      </c>
      <c r="AV166" s="291">
        <f t="shared" si="69"/>
        <v>19763.174899999998</v>
      </c>
      <c r="AW166" s="291">
        <f t="shared" si="85"/>
        <v>5481226</v>
      </c>
      <c r="AX166" s="291">
        <f t="shared" si="70"/>
        <v>5481226</v>
      </c>
      <c r="AY166" s="358">
        <f t="shared" si="86"/>
        <v>0</v>
      </c>
      <c r="AZ166" s="301"/>
      <c r="BA166" s="301"/>
      <c r="BB166" s="302"/>
      <c r="BC166" s="291"/>
      <c r="BD166" s="298"/>
      <c r="BF166" s="298"/>
      <c r="BG166" s="298"/>
      <c r="BK166" s="298"/>
      <c r="BL166" s="298"/>
      <c r="BM166" s="298"/>
      <c r="BN166" s="298"/>
      <c r="BO166" s="298"/>
    </row>
    <row r="167" spans="1:67" ht="15" x14ac:dyDescent="0.2">
      <c r="A167" s="10" t="s">
        <v>32</v>
      </c>
      <c r="B167" s="10"/>
      <c r="C167" s="276">
        <v>1</v>
      </c>
      <c r="D167" s="276"/>
      <c r="E167" s="276"/>
      <c r="F167" s="8">
        <v>9</v>
      </c>
      <c r="G167" s="355">
        <v>55</v>
      </c>
      <c r="H167" s="10">
        <v>141</v>
      </c>
      <c r="I167" s="7" t="s">
        <v>153</v>
      </c>
      <c r="J167" s="287"/>
      <c r="K167" s="356">
        <v>988.77</v>
      </c>
      <c r="L167" s="355"/>
      <c r="M167" s="289"/>
      <c r="N167" s="357">
        <v>469</v>
      </c>
      <c r="O167" s="290">
        <f t="shared" si="59"/>
        <v>0.47432668871426115</v>
      </c>
      <c r="P167" s="290">
        <f t="shared" si="71"/>
        <v>0</v>
      </c>
      <c r="Q167" s="291">
        <f t="shared" si="60"/>
        <v>0</v>
      </c>
      <c r="R167" s="291">
        <f t="shared" si="72"/>
        <v>0</v>
      </c>
      <c r="S167" s="357">
        <v>1</v>
      </c>
      <c r="T167" s="292">
        <f t="shared" si="61"/>
        <v>140.69999999999999</v>
      </c>
      <c r="U167" s="254">
        <f t="shared" si="73"/>
        <v>1129.72</v>
      </c>
      <c r="V167" s="356">
        <v>1024599748.67</v>
      </c>
      <c r="W167" s="357">
        <v>9343</v>
      </c>
      <c r="X167" s="264">
        <f t="shared" si="62"/>
        <v>109664.96000000001</v>
      </c>
      <c r="Y167" s="293">
        <f t="shared" si="63"/>
        <v>0.56960900000000003</v>
      </c>
      <c r="Z167" s="357">
        <v>80941</v>
      </c>
      <c r="AA167" s="293">
        <f t="shared" si="64"/>
        <v>0.67174199999999995</v>
      </c>
      <c r="AB167" s="293">
        <f t="shared" si="65"/>
        <v>0.39975100000000002</v>
      </c>
      <c r="AC167" s="294">
        <f t="shared" si="66"/>
        <v>0.39975100000000002</v>
      </c>
      <c r="AD167" s="295">
        <f t="shared" si="74"/>
        <v>0</v>
      </c>
      <c r="AE167" s="296">
        <f t="shared" si="75"/>
        <v>0.39975100000000002</v>
      </c>
      <c r="AF167" s="357">
        <v>0</v>
      </c>
      <c r="AG167" s="357">
        <v>0</v>
      </c>
      <c r="AH167" s="254">
        <f t="shared" si="76"/>
        <v>0</v>
      </c>
      <c r="AI167" s="9">
        <f t="shared" si="67"/>
        <v>0</v>
      </c>
      <c r="AJ167" s="9">
        <v>0</v>
      </c>
      <c r="AK167" s="9">
        <f t="shared" si="77"/>
        <v>0</v>
      </c>
      <c r="AL167" s="9">
        <f t="shared" si="78"/>
        <v>0</v>
      </c>
      <c r="AM167" s="9">
        <f t="shared" si="79"/>
        <v>0</v>
      </c>
      <c r="AN167" s="9">
        <f t="shared" si="80"/>
        <v>0</v>
      </c>
      <c r="AO167" s="9">
        <f t="shared" si="68"/>
        <v>5204767</v>
      </c>
      <c r="AP167" s="9">
        <f t="shared" si="81"/>
        <v>5204767</v>
      </c>
      <c r="AQ167" s="9">
        <f t="shared" si="82"/>
        <v>7534704</v>
      </c>
      <c r="AR167" s="291">
        <v>7534704</v>
      </c>
      <c r="AS167" s="9">
        <f t="shared" si="83"/>
        <v>2329937</v>
      </c>
      <c r="AT167" s="297" t="str">
        <f t="shared" si="84"/>
        <v>No</v>
      </c>
      <c r="AU167" s="357">
        <v>7534704</v>
      </c>
      <c r="AV167" s="291">
        <f t="shared" si="69"/>
        <v>194083.75209999998</v>
      </c>
      <c r="AW167" s="291">
        <f t="shared" si="85"/>
        <v>7534704</v>
      </c>
      <c r="AX167" s="291">
        <f t="shared" si="70"/>
        <v>7534704</v>
      </c>
      <c r="AY167" s="358">
        <f t="shared" si="86"/>
        <v>0</v>
      </c>
      <c r="AZ167" s="301"/>
      <c r="BA167" s="301"/>
      <c r="BB167" s="302"/>
      <c r="BC167" s="291"/>
      <c r="BD167" s="298"/>
      <c r="BF167" s="298"/>
      <c r="BG167" s="298"/>
      <c r="BK167" s="298"/>
      <c r="BL167" s="298"/>
      <c r="BM167" s="298"/>
      <c r="BN167" s="298"/>
      <c r="BO167" s="298"/>
    </row>
    <row r="168" spans="1:67" ht="15" x14ac:dyDescent="0.2">
      <c r="A168" s="10" t="s">
        <v>4</v>
      </c>
      <c r="B168" s="10"/>
      <c r="C168" s="276"/>
      <c r="D168" s="276"/>
      <c r="E168" s="276"/>
      <c r="F168" s="8">
        <v>5</v>
      </c>
      <c r="G168" s="355">
        <v>108</v>
      </c>
      <c r="H168" s="10">
        <v>142</v>
      </c>
      <c r="I168" s="7" t="s">
        <v>154</v>
      </c>
      <c r="J168" s="287"/>
      <c r="K168" s="356">
        <v>2325.67</v>
      </c>
      <c r="L168" s="355"/>
      <c r="M168" s="289"/>
      <c r="N168" s="357">
        <v>310</v>
      </c>
      <c r="O168" s="290">
        <f t="shared" si="59"/>
        <v>0.13329492146349223</v>
      </c>
      <c r="P168" s="290">
        <f t="shared" si="71"/>
        <v>0</v>
      </c>
      <c r="Q168" s="291">
        <f t="shared" si="60"/>
        <v>0</v>
      </c>
      <c r="R168" s="291">
        <f t="shared" si="72"/>
        <v>0</v>
      </c>
      <c r="S168" s="357">
        <v>17</v>
      </c>
      <c r="T168" s="292">
        <f t="shared" si="61"/>
        <v>93</v>
      </c>
      <c r="U168" s="254">
        <f t="shared" si="73"/>
        <v>2422.92</v>
      </c>
      <c r="V168" s="356">
        <v>1883111152.3299999</v>
      </c>
      <c r="W168" s="357">
        <v>14766</v>
      </c>
      <c r="X168" s="264">
        <f t="shared" si="62"/>
        <v>127530.21</v>
      </c>
      <c r="Y168" s="293">
        <f t="shared" si="63"/>
        <v>0.66240200000000005</v>
      </c>
      <c r="Z168" s="357">
        <v>115718</v>
      </c>
      <c r="AA168" s="293">
        <f t="shared" si="64"/>
        <v>0.96036100000000002</v>
      </c>
      <c r="AB168" s="293">
        <f t="shared" si="65"/>
        <v>0.24820999999999999</v>
      </c>
      <c r="AC168" s="294">
        <f t="shared" si="66"/>
        <v>0.24820999999999999</v>
      </c>
      <c r="AD168" s="295">
        <f t="shared" si="74"/>
        <v>0</v>
      </c>
      <c r="AE168" s="296">
        <f t="shared" si="75"/>
        <v>0.24820999999999999</v>
      </c>
      <c r="AF168" s="357">
        <v>0</v>
      </c>
      <c r="AG168" s="357">
        <v>0</v>
      </c>
      <c r="AH168" s="254">
        <f t="shared" si="76"/>
        <v>0</v>
      </c>
      <c r="AI168" s="9">
        <f t="shared" si="67"/>
        <v>0</v>
      </c>
      <c r="AJ168" s="9">
        <v>0</v>
      </c>
      <c r="AK168" s="9">
        <f t="shared" si="77"/>
        <v>0</v>
      </c>
      <c r="AL168" s="9">
        <f t="shared" si="78"/>
        <v>0</v>
      </c>
      <c r="AM168" s="9">
        <f t="shared" si="79"/>
        <v>0</v>
      </c>
      <c r="AN168" s="9">
        <f t="shared" si="80"/>
        <v>0</v>
      </c>
      <c r="AO168" s="9">
        <f t="shared" si="68"/>
        <v>6931054</v>
      </c>
      <c r="AP168" s="9">
        <f t="shared" si="81"/>
        <v>6931054</v>
      </c>
      <c r="AQ168" s="9">
        <f t="shared" si="82"/>
        <v>6931054</v>
      </c>
      <c r="AR168" s="291">
        <v>10699177</v>
      </c>
      <c r="AS168" s="9">
        <f t="shared" si="83"/>
        <v>3768123</v>
      </c>
      <c r="AT168" s="297" t="str">
        <f t="shared" si="84"/>
        <v>No</v>
      </c>
      <c r="AU168" s="357">
        <v>9105528</v>
      </c>
      <c r="AV168" s="291">
        <f t="shared" si="69"/>
        <v>313884.6459</v>
      </c>
      <c r="AW168" s="291">
        <f t="shared" si="85"/>
        <v>9105528</v>
      </c>
      <c r="AX168" s="291">
        <f t="shared" si="70"/>
        <v>9105528</v>
      </c>
      <c r="AY168" s="358">
        <f t="shared" si="86"/>
        <v>0</v>
      </c>
      <c r="AZ168" s="301"/>
      <c r="BA168" s="301"/>
      <c r="BB168" s="302"/>
      <c r="BC168" s="291"/>
      <c r="BD168" s="298"/>
      <c r="BF168" s="298"/>
      <c r="BG168" s="298"/>
      <c r="BK168" s="298"/>
      <c r="BL168" s="298"/>
      <c r="BM168" s="298"/>
      <c r="BN168" s="298"/>
      <c r="BO168" s="298"/>
    </row>
    <row r="169" spans="1:67" ht="15" x14ac:dyDescent="0.2">
      <c r="A169" s="10" t="s">
        <v>19</v>
      </c>
      <c r="B169" s="10"/>
      <c r="C169" s="276">
        <v>1</v>
      </c>
      <c r="D169" s="276"/>
      <c r="E169" s="276"/>
      <c r="F169" s="8">
        <v>10</v>
      </c>
      <c r="G169" s="359">
        <v>16</v>
      </c>
      <c r="H169" s="10">
        <v>143</v>
      </c>
      <c r="I169" s="7" t="s">
        <v>155</v>
      </c>
      <c r="J169" s="287"/>
      <c r="K169" s="356">
        <v>4025.42</v>
      </c>
      <c r="L169" s="359"/>
      <c r="M169" s="289"/>
      <c r="N169" s="357">
        <v>2677</v>
      </c>
      <c r="O169" s="290">
        <f t="shared" si="59"/>
        <v>0.66502377391675893</v>
      </c>
      <c r="P169" s="290">
        <f t="shared" si="71"/>
        <v>6.5023773916758953E-2</v>
      </c>
      <c r="Q169" s="291">
        <f t="shared" si="60"/>
        <v>261.74799999999982</v>
      </c>
      <c r="R169" s="291">
        <f t="shared" si="72"/>
        <v>39.262199999999972</v>
      </c>
      <c r="S169" s="357">
        <v>391</v>
      </c>
      <c r="T169" s="292">
        <f t="shared" si="61"/>
        <v>803.1</v>
      </c>
      <c r="U169" s="254">
        <f t="shared" si="73"/>
        <v>4965.5322000000006</v>
      </c>
      <c r="V169" s="356">
        <v>2838568528</v>
      </c>
      <c r="W169" s="357">
        <v>34737</v>
      </c>
      <c r="X169" s="264">
        <f t="shared" si="62"/>
        <v>81716</v>
      </c>
      <c r="Y169" s="293">
        <f t="shared" si="63"/>
        <v>0.42443999999999998</v>
      </c>
      <c r="Z169" s="357">
        <v>63576</v>
      </c>
      <c r="AA169" s="293">
        <f t="shared" si="64"/>
        <v>0.52762699999999996</v>
      </c>
      <c r="AB169" s="293">
        <f t="shared" si="65"/>
        <v>0.54460399999999998</v>
      </c>
      <c r="AC169" s="294">
        <f t="shared" si="66"/>
        <v>0.54460399999999998</v>
      </c>
      <c r="AD169" s="295">
        <f t="shared" si="74"/>
        <v>0.03</v>
      </c>
      <c r="AE169" s="296">
        <f t="shared" si="75"/>
        <v>0.574604</v>
      </c>
      <c r="AF169" s="357">
        <v>0</v>
      </c>
      <c r="AG169" s="357">
        <v>0</v>
      </c>
      <c r="AH169" s="254">
        <f t="shared" si="76"/>
        <v>0</v>
      </c>
      <c r="AI169" s="9">
        <f t="shared" si="67"/>
        <v>0</v>
      </c>
      <c r="AJ169" s="9">
        <v>0</v>
      </c>
      <c r="AK169" s="9">
        <f t="shared" si="77"/>
        <v>0</v>
      </c>
      <c r="AL169" s="9">
        <f t="shared" si="78"/>
        <v>0</v>
      </c>
      <c r="AM169" s="9">
        <f t="shared" si="79"/>
        <v>0</v>
      </c>
      <c r="AN169" s="9">
        <f t="shared" si="80"/>
        <v>0</v>
      </c>
      <c r="AO169" s="9">
        <f t="shared" si="68"/>
        <v>32883299</v>
      </c>
      <c r="AP169" s="9">
        <f t="shared" si="81"/>
        <v>32883299</v>
      </c>
      <c r="AQ169" s="9">
        <f t="shared" si="82"/>
        <v>32883299</v>
      </c>
      <c r="AR169" s="291">
        <v>24482865</v>
      </c>
      <c r="AS169" s="9">
        <f t="shared" si="83"/>
        <v>8400434</v>
      </c>
      <c r="AT169" s="297" t="str">
        <f t="shared" si="84"/>
        <v>Yes</v>
      </c>
      <c r="AU169" s="357">
        <v>26958170</v>
      </c>
      <c r="AV169" s="291">
        <f t="shared" si="69"/>
        <v>895486.26439999999</v>
      </c>
      <c r="AW169" s="291">
        <f t="shared" si="85"/>
        <v>27853656.264400002</v>
      </c>
      <c r="AX169" s="291">
        <f t="shared" si="70"/>
        <v>27853656.264400002</v>
      </c>
      <c r="AY169" s="358">
        <f t="shared" si="86"/>
        <v>895486.26440000162</v>
      </c>
      <c r="AZ169" s="301"/>
      <c r="BA169" s="301"/>
      <c r="BB169" s="302"/>
      <c r="BC169" s="291"/>
      <c r="BD169" s="298"/>
      <c r="BF169" s="298"/>
      <c r="BG169" s="298"/>
      <c r="BK169" s="298"/>
      <c r="BL169" s="298"/>
      <c r="BM169" s="298"/>
      <c r="BN169" s="298"/>
      <c r="BO169" s="298"/>
    </row>
    <row r="170" spans="1:67" ht="15" x14ac:dyDescent="0.2">
      <c r="A170" s="10" t="s">
        <v>10</v>
      </c>
      <c r="B170" s="10"/>
      <c r="C170" s="276"/>
      <c r="D170" s="276"/>
      <c r="E170" s="276"/>
      <c r="F170" s="8">
        <v>3</v>
      </c>
      <c r="G170" s="355">
        <v>103</v>
      </c>
      <c r="H170" s="10">
        <v>144</v>
      </c>
      <c r="I170" s="7" t="s">
        <v>156</v>
      </c>
      <c r="J170" s="287"/>
      <c r="K170" s="356">
        <v>6574.91</v>
      </c>
      <c r="L170" s="355"/>
      <c r="M170" s="289"/>
      <c r="N170" s="357">
        <v>1182</v>
      </c>
      <c r="O170" s="290">
        <f t="shared" si="59"/>
        <v>0.1797743239070953</v>
      </c>
      <c r="P170" s="290">
        <f t="shared" si="71"/>
        <v>0</v>
      </c>
      <c r="Q170" s="291">
        <f t="shared" si="60"/>
        <v>0</v>
      </c>
      <c r="R170" s="291">
        <f t="shared" si="72"/>
        <v>0</v>
      </c>
      <c r="S170" s="357">
        <v>278</v>
      </c>
      <c r="T170" s="292">
        <f t="shared" si="61"/>
        <v>354.6</v>
      </c>
      <c r="U170" s="254">
        <f t="shared" si="73"/>
        <v>6999.01</v>
      </c>
      <c r="V170" s="356">
        <v>6977094664.6700001</v>
      </c>
      <c r="W170" s="357">
        <v>36174</v>
      </c>
      <c r="X170" s="264">
        <f t="shared" si="62"/>
        <v>192875.95</v>
      </c>
      <c r="Y170" s="293">
        <f t="shared" si="63"/>
        <v>1.001814</v>
      </c>
      <c r="Z170" s="357">
        <v>118707</v>
      </c>
      <c r="AA170" s="293">
        <f t="shared" si="64"/>
        <v>0.98516700000000001</v>
      </c>
      <c r="AB170" s="293">
        <f t="shared" si="65"/>
        <v>3.1800000000000001E-3</v>
      </c>
      <c r="AC170" s="294">
        <f t="shared" si="66"/>
        <v>0.01</v>
      </c>
      <c r="AD170" s="295">
        <f t="shared" si="74"/>
        <v>0</v>
      </c>
      <c r="AE170" s="296">
        <f t="shared" si="75"/>
        <v>0.01</v>
      </c>
      <c r="AF170" s="357">
        <v>0</v>
      </c>
      <c r="AG170" s="357">
        <v>0</v>
      </c>
      <c r="AH170" s="254">
        <f t="shared" si="76"/>
        <v>0</v>
      </c>
      <c r="AI170" s="9">
        <f t="shared" si="67"/>
        <v>0</v>
      </c>
      <c r="AJ170" s="9">
        <v>0</v>
      </c>
      <c r="AK170" s="9">
        <f t="shared" si="77"/>
        <v>0</v>
      </c>
      <c r="AL170" s="9">
        <f t="shared" si="78"/>
        <v>0</v>
      </c>
      <c r="AM170" s="9">
        <f t="shared" si="79"/>
        <v>0</v>
      </c>
      <c r="AN170" s="9">
        <f t="shared" si="80"/>
        <v>0</v>
      </c>
      <c r="AO170" s="9">
        <f t="shared" si="68"/>
        <v>806636</v>
      </c>
      <c r="AP170" s="9">
        <f t="shared" si="81"/>
        <v>806636</v>
      </c>
      <c r="AQ170" s="9">
        <f t="shared" si="82"/>
        <v>806636</v>
      </c>
      <c r="AR170" s="291">
        <v>3418401</v>
      </c>
      <c r="AS170" s="9">
        <f t="shared" si="83"/>
        <v>2611765</v>
      </c>
      <c r="AT170" s="297" t="str">
        <f t="shared" si="84"/>
        <v>No</v>
      </c>
      <c r="AU170" s="357">
        <v>2323541</v>
      </c>
      <c r="AV170" s="291">
        <f t="shared" si="69"/>
        <v>217560.0245</v>
      </c>
      <c r="AW170" s="291">
        <f t="shared" si="85"/>
        <v>2323541</v>
      </c>
      <c r="AX170" s="291">
        <f t="shared" si="70"/>
        <v>2323541</v>
      </c>
      <c r="AY170" s="358">
        <f t="shared" si="86"/>
        <v>0</v>
      </c>
      <c r="AZ170" s="301"/>
      <c r="BA170" s="301"/>
      <c r="BB170" s="302"/>
      <c r="BC170" s="291"/>
      <c r="BD170" s="298"/>
      <c r="BF170" s="298"/>
      <c r="BG170" s="298"/>
      <c r="BK170" s="298"/>
      <c r="BL170" s="298"/>
      <c r="BM170" s="298"/>
      <c r="BN170" s="298"/>
      <c r="BO170" s="298"/>
    </row>
    <row r="171" spans="1:67" ht="15" x14ac:dyDescent="0.2">
      <c r="A171" s="10" t="s">
        <v>8</v>
      </c>
      <c r="B171" s="10"/>
      <c r="C171" s="276"/>
      <c r="D171" s="276"/>
      <c r="E171" s="276"/>
      <c r="F171" s="8">
        <v>4</v>
      </c>
      <c r="G171" s="355">
        <v>115</v>
      </c>
      <c r="H171" s="10">
        <v>145</v>
      </c>
      <c r="I171" s="7" t="s">
        <v>157</v>
      </c>
      <c r="J171" s="287"/>
      <c r="K171" s="356">
        <v>79.930000000000007</v>
      </c>
      <c r="L171" s="355"/>
      <c r="M171" s="289"/>
      <c r="N171" s="357">
        <v>6</v>
      </c>
      <c r="O171" s="290">
        <f t="shared" si="59"/>
        <v>7.5065682472163137E-2</v>
      </c>
      <c r="P171" s="290">
        <f t="shared" si="71"/>
        <v>0</v>
      </c>
      <c r="Q171" s="291">
        <f t="shared" si="60"/>
        <v>0</v>
      </c>
      <c r="R171" s="291">
        <f t="shared" si="72"/>
        <v>0</v>
      </c>
      <c r="S171" s="357">
        <v>0</v>
      </c>
      <c r="T171" s="292">
        <f t="shared" si="61"/>
        <v>1.8</v>
      </c>
      <c r="U171" s="254">
        <f t="shared" si="73"/>
        <v>81.73</v>
      </c>
      <c r="V171" s="356">
        <v>132622186</v>
      </c>
      <c r="W171" s="357">
        <v>873</v>
      </c>
      <c r="X171" s="264">
        <f t="shared" si="62"/>
        <v>151915.45000000001</v>
      </c>
      <c r="Y171" s="293">
        <f t="shared" si="63"/>
        <v>0.78906100000000001</v>
      </c>
      <c r="Z171" s="357">
        <v>90714</v>
      </c>
      <c r="AA171" s="293">
        <f t="shared" si="64"/>
        <v>0.75284899999999999</v>
      </c>
      <c r="AB171" s="293">
        <f t="shared" si="65"/>
        <v>0.221803</v>
      </c>
      <c r="AC171" s="294">
        <f t="shared" si="66"/>
        <v>0.221803</v>
      </c>
      <c r="AD171" s="295">
        <f t="shared" si="74"/>
        <v>0</v>
      </c>
      <c r="AE171" s="296">
        <f t="shared" si="75"/>
        <v>0.221803</v>
      </c>
      <c r="AF171" s="357">
        <v>0</v>
      </c>
      <c r="AG171" s="357">
        <v>0</v>
      </c>
      <c r="AH171" s="254">
        <f t="shared" si="76"/>
        <v>0</v>
      </c>
      <c r="AI171" s="9">
        <f t="shared" si="67"/>
        <v>0</v>
      </c>
      <c r="AJ171" s="9">
        <v>34</v>
      </c>
      <c r="AK171" s="9">
        <f t="shared" si="77"/>
        <v>4</v>
      </c>
      <c r="AL171" s="9">
        <f t="shared" si="78"/>
        <v>400</v>
      </c>
      <c r="AM171" s="9">
        <f t="shared" si="79"/>
        <v>13600</v>
      </c>
      <c r="AN171" s="9">
        <f t="shared" si="80"/>
        <v>13600</v>
      </c>
      <c r="AO171" s="9">
        <f t="shared" si="68"/>
        <v>208925</v>
      </c>
      <c r="AP171" s="9">
        <f t="shared" si="81"/>
        <v>222525</v>
      </c>
      <c r="AQ171" s="9">
        <f t="shared" si="82"/>
        <v>222525</v>
      </c>
      <c r="AR171" s="291">
        <v>237166</v>
      </c>
      <c r="AS171" s="9">
        <f t="shared" si="83"/>
        <v>14641</v>
      </c>
      <c r="AT171" s="297" t="str">
        <f t="shared" si="84"/>
        <v>No</v>
      </c>
      <c r="AU171" s="357">
        <v>211728</v>
      </c>
      <c r="AV171" s="291">
        <f t="shared" si="69"/>
        <v>1219.5953</v>
      </c>
      <c r="AW171" s="291">
        <f t="shared" si="85"/>
        <v>211728</v>
      </c>
      <c r="AX171" s="291">
        <f t="shared" si="70"/>
        <v>211728</v>
      </c>
      <c r="AY171" s="358">
        <f t="shared" si="86"/>
        <v>0</v>
      </c>
      <c r="AZ171" s="301"/>
      <c r="BA171" s="301"/>
      <c r="BB171" s="302"/>
      <c r="BC171" s="291"/>
      <c r="BD171" s="298"/>
      <c r="BF171" s="298"/>
      <c r="BG171" s="298"/>
      <c r="BK171" s="298"/>
      <c r="BL171" s="298"/>
      <c r="BM171" s="298"/>
      <c r="BN171" s="298"/>
      <c r="BO171" s="298"/>
    </row>
    <row r="172" spans="1:67" ht="15" x14ac:dyDescent="0.2">
      <c r="A172" s="10" t="s">
        <v>19</v>
      </c>
      <c r="B172" s="10"/>
      <c r="C172" s="276">
        <v>1</v>
      </c>
      <c r="D172" s="276">
        <v>1</v>
      </c>
      <c r="E172" s="276"/>
      <c r="F172" s="8">
        <v>9</v>
      </c>
      <c r="G172" s="359">
        <v>19</v>
      </c>
      <c r="H172" s="10">
        <v>146</v>
      </c>
      <c r="I172" s="7" t="s">
        <v>158</v>
      </c>
      <c r="J172" s="287"/>
      <c r="K172" s="356">
        <v>3254.16</v>
      </c>
      <c r="L172" s="359"/>
      <c r="M172" s="289"/>
      <c r="N172" s="357">
        <v>1797</v>
      </c>
      <c r="O172" s="290">
        <f t="shared" si="59"/>
        <v>0.55221624013570325</v>
      </c>
      <c r="P172" s="290">
        <f t="shared" si="71"/>
        <v>0</v>
      </c>
      <c r="Q172" s="291">
        <f t="shared" si="60"/>
        <v>0</v>
      </c>
      <c r="R172" s="291">
        <f t="shared" si="72"/>
        <v>0</v>
      </c>
      <c r="S172" s="357">
        <v>126</v>
      </c>
      <c r="T172" s="292">
        <f t="shared" si="61"/>
        <v>539.1</v>
      </c>
      <c r="U172" s="254">
        <f t="shared" si="73"/>
        <v>3824.7599999999998</v>
      </c>
      <c r="V172" s="356">
        <v>2787214755.3299999</v>
      </c>
      <c r="W172" s="357">
        <v>29157</v>
      </c>
      <c r="X172" s="264">
        <f t="shared" si="62"/>
        <v>95593.33</v>
      </c>
      <c r="Y172" s="293">
        <f t="shared" si="63"/>
        <v>0.49652000000000002</v>
      </c>
      <c r="Z172" s="357">
        <v>62566</v>
      </c>
      <c r="AA172" s="293">
        <f t="shared" si="64"/>
        <v>0.51924499999999996</v>
      </c>
      <c r="AB172" s="293">
        <f t="shared" si="65"/>
        <v>0.49666300000000002</v>
      </c>
      <c r="AC172" s="294">
        <f t="shared" si="66"/>
        <v>0.49666300000000002</v>
      </c>
      <c r="AD172" s="295">
        <f t="shared" si="74"/>
        <v>0.03</v>
      </c>
      <c r="AE172" s="296">
        <f t="shared" si="75"/>
        <v>0.52666299999999999</v>
      </c>
      <c r="AF172" s="357">
        <v>0</v>
      </c>
      <c r="AG172" s="357">
        <v>0</v>
      </c>
      <c r="AH172" s="254">
        <f t="shared" si="76"/>
        <v>0</v>
      </c>
      <c r="AI172" s="9">
        <f t="shared" si="67"/>
        <v>0</v>
      </c>
      <c r="AJ172" s="9">
        <v>0</v>
      </c>
      <c r="AK172" s="9">
        <f t="shared" si="77"/>
        <v>0</v>
      </c>
      <c r="AL172" s="9">
        <f t="shared" si="78"/>
        <v>0</v>
      </c>
      <c r="AM172" s="9">
        <f t="shared" si="79"/>
        <v>0</v>
      </c>
      <c r="AN172" s="9">
        <f t="shared" si="80"/>
        <v>0</v>
      </c>
      <c r="AO172" s="9">
        <f t="shared" si="68"/>
        <v>23215494</v>
      </c>
      <c r="AP172" s="9">
        <f t="shared" si="81"/>
        <v>23215494</v>
      </c>
      <c r="AQ172" s="9">
        <f t="shared" si="82"/>
        <v>23215494</v>
      </c>
      <c r="AR172" s="291">
        <v>19250233</v>
      </c>
      <c r="AS172" s="9">
        <f t="shared" si="83"/>
        <v>3965261</v>
      </c>
      <c r="AT172" s="297" t="str">
        <f t="shared" si="84"/>
        <v>Yes</v>
      </c>
      <c r="AU172" s="357">
        <v>20170089</v>
      </c>
      <c r="AV172" s="291">
        <f t="shared" si="69"/>
        <v>422696.82260000001</v>
      </c>
      <c r="AW172" s="291">
        <f t="shared" si="85"/>
        <v>20592785.8226</v>
      </c>
      <c r="AX172" s="291">
        <f t="shared" si="70"/>
        <v>20592785.8226</v>
      </c>
      <c r="AY172" s="358">
        <f t="shared" si="86"/>
        <v>422696.82259999961</v>
      </c>
      <c r="AZ172" s="301"/>
      <c r="BA172" s="301"/>
      <c r="BB172" s="302"/>
      <c r="BC172" s="291"/>
      <c r="BD172" s="298"/>
      <c r="BF172" s="298"/>
      <c r="BG172" s="298"/>
      <c r="BK172" s="298"/>
      <c r="BL172" s="298"/>
      <c r="BM172" s="298"/>
      <c r="BN172" s="298"/>
      <c r="BO172" s="298"/>
    </row>
    <row r="173" spans="1:67" ht="15" x14ac:dyDescent="0.2">
      <c r="A173" s="10" t="s">
        <v>32</v>
      </c>
      <c r="B173" s="10"/>
      <c r="C173" s="276"/>
      <c r="D173" s="276"/>
      <c r="E173" s="276"/>
      <c r="F173" s="8">
        <v>8</v>
      </c>
      <c r="G173" s="359">
        <v>35</v>
      </c>
      <c r="H173" s="10">
        <v>147</v>
      </c>
      <c r="I173" s="7" t="s">
        <v>159</v>
      </c>
      <c r="J173" s="287"/>
      <c r="K173" s="356">
        <v>317.20999999999998</v>
      </c>
      <c r="L173" s="359"/>
      <c r="M173" s="289"/>
      <c r="N173" s="357">
        <v>85</v>
      </c>
      <c r="O173" s="290">
        <f t="shared" si="59"/>
        <v>0.26796128747517417</v>
      </c>
      <c r="P173" s="290">
        <f t="shared" si="71"/>
        <v>0</v>
      </c>
      <c r="Q173" s="291">
        <f t="shared" si="60"/>
        <v>0</v>
      </c>
      <c r="R173" s="291">
        <f t="shared" si="72"/>
        <v>0</v>
      </c>
      <c r="S173" s="357">
        <v>0</v>
      </c>
      <c r="T173" s="292">
        <f t="shared" si="61"/>
        <v>25.5</v>
      </c>
      <c r="U173" s="254">
        <f t="shared" si="73"/>
        <v>342.71</v>
      </c>
      <c r="V173" s="356">
        <v>313503038.32999998</v>
      </c>
      <c r="W173" s="357">
        <v>2559</v>
      </c>
      <c r="X173" s="264">
        <f t="shared" si="62"/>
        <v>122509.98</v>
      </c>
      <c r="Y173" s="293">
        <f t="shared" si="63"/>
        <v>0.63632699999999998</v>
      </c>
      <c r="Z173" s="357">
        <v>75673</v>
      </c>
      <c r="AA173" s="293">
        <f t="shared" si="64"/>
        <v>0.62802199999999997</v>
      </c>
      <c r="AB173" s="293">
        <f t="shared" si="65"/>
        <v>0.36616500000000002</v>
      </c>
      <c r="AC173" s="294">
        <f t="shared" si="66"/>
        <v>0.36616500000000002</v>
      </c>
      <c r="AD173" s="295">
        <f t="shared" si="74"/>
        <v>0</v>
      </c>
      <c r="AE173" s="296">
        <f t="shared" si="75"/>
        <v>0.36616500000000002</v>
      </c>
      <c r="AF173" s="357">
        <v>0</v>
      </c>
      <c r="AG173" s="357">
        <v>0</v>
      </c>
      <c r="AH173" s="254">
        <f t="shared" si="76"/>
        <v>0</v>
      </c>
      <c r="AI173" s="9">
        <f t="shared" si="67"/>
        <v>0</v>
      </c>
      <c r="AJ173" s="9">
        <v>52</v>
      </c>
      <c r="AK173" s="9">
        <f t="shared" si="77"/>
        <v>4</v>
      </c>
      <c r="AL173" s="9">
        <f t="shared" si="78"/>
        <v>400</v>
      </c>
      <c r="AM173" s="9">
        <f t="shared" si="79"/>
        <v>20800</v>
      </c>
      <c r="AN173" s="9">
        <f t="shared" si="80"/>
        <v>20800</v>
      </c>
      <c r="AO173" s="9">
        <f t="shared" si="68"/>
        <v>1446254</v>
      </c>
      <c r="AP173" s="9">
        <f t="shared" si="81"/>
        <v>1467054</v>
      </c>
      <c r="AQ173" s="9">
        <f t="shared" si="82"/>
        <v>1467054</v>
      </c>
      <c r="AR173" s="291">
        <v>2502621</v>
      </c>
      <c r="AS173" s="9">
        <f t="shared" si="83"/>
        <v>1035567</v>
      </c>
      <c r="AT173" s="297" t="str">
        <f t="shared" si="84"/>
        <v>No</v>
      </c>
      <c r="AU173" s="357">
        <v>2117243</v>
      </c>
      <c r="AV173" s="291">
        <f t="shared" si="69"/>
        <v>86262.731100000005</v>
      </c>
      <c r="AW173" s="291">
        <f t="shared" si="85"/>
        <v>2117243</v>
      </c>
      <c r="AX173" s="291">
        <f t="shared" si="70"/>
        <v>2117243</v>
      </c>
      <c r="AY173" s="358">
        <f t="shared" si="86"/>
        <v>0</v>
      </c>
      <c r="AZ173" s="301"/>
      <c r="BA173" s="301"/>
      <c r="BB173" s="302"/>
      <c r="BC173" s="291"/>
      <c r="BD173" s="298"/>
      <c r="BF173" s="298"/>
      <c r="BG173" s="298"/>
      <c r="BK173" s="298"/>
      <c r="BL173" s="298"/>
      <c r="BM173" s="298"/>
      <c r="BN173" s="298"/>
      <c r="BO173" s="298"/>
    </row>
    <row r="174" spans="1:67" ht="15" x14ac:dyDescent="0.2">
      <c r="A174" s="10" t="s">
        <v>14</v>
      </c>
      <c r="B174" s="10"/>
      <c r="C174" s="276"/>
      <c r="D174" s="276"/>
      <c r="E174" s="276"/>
      <c r="F174" s="8">
        <v>6</v>
      </c>
      <c r="G174" s="355">
        <v>86</v>
      </c>
      <c r="H174" s="10">
        <v>148</v>
      </c>
      <c r="I174" s="7" t="s">
        <v>160</v>
      </c>
      <c r="J174" s="287"/>
      <c r="K174" s="356">
        <v>5424.67</v>
      </c>
      <c r="L174" s="355"/>
      <c r="M174" s="289"/>
      <c r="N174" s="357">
        <v>1773</v>
      </c>
      <c r="O174" s="290">
        <f t="shared" si="59"/>
        <v>0.32684015801882876</v>
      </c>
      <c r="P174" s="290">
        <f t="shared" si="71"/>
        <v>0</v>
      </c>
      <c r="Q174" s="291">
        <f t="shared" si="60"/>
        <v>0</v>
      </c>
      <c r="R174" s="291">
        <f t="shared" si="72"/>
        <v>0</v>
      </c>
      <c r="S174" s="357">
        <v>326</v>
      </c>
      <c r="T174" s="292">
        <f t="shared" si="61"/>
        <v>531.9</v>
      </c>
      <c r="U174" s="254">
        <f t="shared" si="73"/>
        <v>6038.07</v>
      </c>
      <c r="V174" s="356">
        <v>6344589339</v>
      </c>
      <c r="W174" s="357">
        <v>44771</v>
      </c>
      <c r="X174" s="264">
        <f t="shared" si="62"/>
        <v>141712.03</v>
      </c>
      <c r="Y174" s="293">
        <f t="shared" si="63"/>
        <v>0.73606400000000005</v>
      </c>
      <c r="Z174" s="357">
        <v>79420</v>
      </c>
      <c r="AA174" s="293">
        <f t="shared" si="64"/>
        <v>0.65911900000000001</v>
      </c>
      <c r="AB174" s="293">
        <f t="shared" si="65"/>
        <v>0.28702</v>
      </c>
      <c r="AC174" s="294">
        <f t="shared" si="66"/>
        <v>0.28702</v>
      </c>
      <c r="AD174" s="295">
        <f t="shared" si="74"/>
        <v>0</v>
      </c>
      <c r="AE174" s="296">
        <f t="shared" si="75"/>
        <v>0.28702</v>
      </c>
      <c r="AF174" s="357">
        <v>0</v>
      </c>
      <c r="AG174" s="357">
        <v>0</v>
      </c>
      <c r="AH174" s="254">
        <f t="shared" si="76"/>
        <v>0</v>
      </c>
      <c r="AI174" s="9">
        <f t="shared" si="67"/>
        <v>0</v>
      </c>
      <c r="AJ174" s="9">
        <v>0</v>
      </c>
      <c r="AK174" s="9">
        <f t="shared" si="77"/>
        <v>0</v>
      </c>
      <c r="AL174" s="9">
        <f t="shared" si="78"/>
        <v>0</v>
      </c>
      <c r="AM174" s="9">
        <f t="shared" si="79"/>
        <v>0</v>
      </c>
      <c r="AN174" s="9">
        <f t="shared" si="80"/>
        <v>0</v>
      </c>
      <c r="AO174" s="9">
        <f t="shared" si="68"/>
        <v>19973365</v>
      </c>
      <c r="AP174" s="9">
        <f t="shared" si="81"/>
        <v>19973365</v>
      </c>
      <c r="AQ174" s="9">
        <f t="shared" si="82"/>
        <v>19973365</v>
      </c>
      <c r="AR174" s="291">
        <v>21301522</v>
      </c>
      <c r="AS174" s="9">
        <f t="shared" si="83"/>
        <v>1328157</v>
      </c>
      <c r="AT174" s="297" t="str">
        <f t="shared" si="84"/>
        <v>No</v>
      </c>
      <c r="AU174" s="357">
        <v>20855570</v>
      </c>
      <c r="AV174" s="291">
        <f t="shared" si="69"/>
        <v>110635.47809999999</v>
      </c>
      <c r="AW174" s="291">
        <f t="shared" si="85"/>
        <v>20855570</v>
      </c>
      <c r="AX174" s="291">
        <f t="shared" si="70"/>
        <v>20855570</v>
      </c>
      <c r="AY174" s="358">
        <f t="shared" si="86"/>
        <v>0</v>
      </c>
      <c r="AZ174" s="301"/>
      <c r="BA174" s="301"/>
      <c r="BB174" s="302"/>
      <c r="BC174" s="291"/>
      <c r="BD174" s="298"/>
      <c r="BF174" s="298"/>
      <c r="BG174" s="298"/>
      <c r="BK174" s="298"/>
      <c r="BL174" s="298"/>
      <c r="BM174" s="298"/>
      <c r="BN174" s="298"/>
      <c r="BO174" s="298"/>
    </row>
    <row r="175" spans="1:67" ht="15" x14ac:dyDescent="0.2">
      <c r="A175" s="10" t="s">
        <v>8</v>
      </c>
      <c r="B175" s="10"/>
      <c r="C175" s="276"/>
      <c r="D175" s="276"/>
      <c r="E175" s="276"/>
      <c r="F175" s="8">
        <v>1</v>
      </c>
      <c r="G175" s="355">
        <v>157</v>
      </c>
      <c r="H175" s="10">
        <v>149</v>
      </c>
      <c r="I175" s="7" t="s">
        <v>161</v>
      </c>
      <c r="J175" s="287"/>
      <c r="K175" s="356">
        <v>119.38</v>
      </c>
      <c r="L175" s="355"/>
      <c r="M175" s="289"/>
      <c r="N175" s="357">
        <v>27</v>
      </c>
      <c r="O175" s="290">
        <f t="shared" si="59"/>
        <v>0.22616853744345788</v>
      </c>
      <c r="P175" s="290">
        <f t="shared" si="71"/>
        <v>0</v>
      </c>
      <c r="Q175" s="291">
        <f t="shared" si="60"/>
        <v>0</v>
      </c>
      <c r="R175" s="291">
        <f t="shared" si="72"/>
        <v>0</v>
      </c>
      <c r="S175" s="357">
        <v>0</v>
      </c>
      <c r="T175" s="292">
        <f t="shared" si="61"/>
        <v>8.1</v>
      </c>
      <c r="U175" s="254">
        <f t="shared" si="73"/>
        <v>127.47999999999999</v>
      </c>
      <c r="V175" s="356">
        <v>557946419</v>
      </c>
      <c r="W175" s="357">
        <v>1432</v>
      </c>
      <c r="X175" s="264">
        <f t="shared" si="62"/>
        <v>389627.39</v>
      </c>
      <c r="Y175" s="293">
        <f t="shared" si="63"/>
        <v>2.0237569999999998</v>
      </c>
      <c r="Z175" s="357">
        <v>107813</v>
      </c>
      <c r="AA175" s="293">
        <f t="shared" si="64"/>
        <v>0.894756</v>
      </c>
      <c r="AB175" s="293">
        <f t="shared" si="65"/>
        <v>-0.68505700000000003</v>
      </c>
      <c r="AC175" s="294">
        <f t="shared" si="66"/>
        <v>0.01</v>
      </c>
      <c r="AD175" s="295">
        <f t="shared" si="74"/>
        <v>0</v>
      </c>
      <c r="AE175" s="296">
        <f t="shared" si="75"/>
        <v>0.01</v>
      </c>
      <c r="AF175" s="357">
        <v>121</v>
      </c>
      <c r="AG175" s="357">
        <v>13</v>
      </c>
      <c r="AH175" s="254">
        <f t="shared" si="76"/>
        <v>1300</v>
      </c>
      <c r="AI175" s="9">
        <f t="shared" si="67"/>
        <v>157300</v>
      </c>
      <c r="AJ175" s="9">
        <v>0</v>
      </c>
      <c r="AK175" s="9">
        <f t="shared" si="77"/>
        <v>0</v>
      </c>
      <c r="AL175" s="9">
        <f t="shared" si="78"/>
        <v>0</v>
      </c>
      <c r="AM175" s="9">
        <f t="shared" si="79"/>
        <v>0</v>
      </c>
      <c r="AN175" s="9">
        <f t="shared" si="80"/>
        <v>157300</v>
      </c>
      <c r="AO175" s="9">
        <f t="shared" si="68"/>
        <v>14692</v>
      </c>
      <c r="AP175" s="9">
        <f t="shared" si="81"/>
        <v>171992</v>
      </c>
      <c r="AQ175" s="9">
        <f t="shared" si="82"/>
        <v>171992</v>
      </c>
      <c r="AR175" s="291">
        <v>33205</v>
      </c>
      <c r="AS175" s="9">
        <f t="shared" si="83"/>
        <v>138787</v>
      </c>
      <c r="AT175" s="297" t="str">
        <f t="shared" si="84"/>
        <v>Yes</v>
      </c>
      <c r="AU175" s="357">
        <v>32115</v>
      </c>
      <c r="AV175" s="291">
        <f t="shared" si="69"/>
        <v>14794.6942</v>
      </c>
      <c r="AW175" s="291">
        <f t="shared" si="85"/>
        <v>46909.694199999998</v>
      </c>
      <c r="AX175" s="291">
        <f t="shared" si="70"/>
        <v>46909.694199999998</v>
      </c>
      <c r="AY175" s="358">
        <f t="shared" si="86"/>
        <v>14794.694199999998</v>
      </c>
      <c r="AZ175" s="301"/>
      <c r="BA175" s="301"/>
      <c r="BB175" s="302"/>
      <c r="BC175" s="291"/>
      <c r="BD175" s="298"/>
      <c r="BF175" s="298"/>
      <c r="BG175" s="298"/>
      <c r="BK175" s="298"/>
      <c r="BL175" s="298"/>
      <c r="BM175" s="298"/>
      <c r="BN175" s="298"/>
      <c r="BO175" s="298"/>
    </row>
    <row r="176" spans="1:67" ht="15" x14ac:dyDescent="0.2">
      <c r="A176" s="10" t="s">
        <v>4</v>
      </c>
      <c r="B176" s="10"/>
      <c r="C176" s="276"/>
      <c r="D176" s="276"/>
      <c r="E176" s="276"/>
      <c r="F176" s="8">
        <v>1</v>
      </c>
      <c r="G176" s="355">
        <v>164</v>
      </c>
      <c r="H176" s="10">
        <v>150</v>
      </c>
      <c r="I176" s="7" t="s">
        <v>162</v>
      </c>
      <c r="J176" s="287"/>
      <c r="K176" s="356">
        <v>257</v>
      </c>
      <c r="L176" s="355"/>
      <c r="M176" s="289"/>
      <c r="N176" s="357">
        <v>75</v>
      </c>
      <c r="O176" s="290">
        <f t="shared" si="59"/>
        <v>0.29182879377431908</v>
      </c>
      <c r="P176" s="290">
        <f t="shared" si="71"/>
        <v>0</v>
      </c>
      <c r="Q176" s="291">
        <f t="shared" si="60"/>
        <v>0</v>
      </c>
      <c r="R176" s="291">
        <f t="shared" si="72"/>
        <v>0</v>
      </c>
      <c r="S176" s="357">
        <v>3</v>
      </c>
      <c r="T176" s="292">
        <f t="shared" si="61"/>
        <v>22.5</v>
      </c>
      <c r="U176" s="254">
        <f t="shared" si="73"/>
        <v>280.25</v>
      </c>
      <c r="V176" s="356">
        <v>1671128539.6700001</v>
      </c>
      <c r="W176" s="357">
        <v>3472</v>
      </c>
      <c r="X176" s="264">
        <f t="shared" si="62"/>
        <v>481315.82</v>
      </c>
      <c r="Y176" s="293">
        <f t="shared" si="63"/>
        <v>2.499994</v>
      </c>
      <c r="Z176" s="357">
        <v>97604</v>
      </c>
      <c r="AA176" s="293">
        <f t="shared" si="64"/>
        <v>0.81003000000000003</v>
      </c>
      <c r="AB176" s="293">
        <f t="shared" si="65"/>
        <v>-0.99300500000000003</v>
      </c>
      <c r="AC176" s="294">
        <f t="shared" si="66"/>
        <v>0.01</v>
      </c>
      <c r="AD176" s="295">
        <f t="shared" si="74"/>
        <v>0</v>
      </c>
      <c r="AE176" s="296">
        <f t="shared" si="75"/>
        <v>0.01</v>
      </c>
      <c r="AF176" s="357">
        <v>257</v>
      </c>
      <c r="AG176" s="357">
        <v>13</v>
      </c>
      <c r="AH176" s="254">
        <f t="shared" si="76"/>
        <v>1300</v>
      </c>
      <c r="AI176" s="9">
        <f t="shared" si="67"/>
        <v>334100</v>
      </c>
      <c r="AJ176" s="9">
        <v>0</v>
      </c>
      <c r="AK176" s="9">
        <f t="shared" si="77"/>
        <v>0</v>
      </c>
      <c r="AL176" s="9">
        <f t="shared" si="78"/>
        <v>0</v>
      </c>
      <c r="AM176" s="9">
        <f t="shared" si="79"/>
        <v>0</v>
      </c>
      <c r="AN176" s="9">
        <f t="shared" si="80"/>
        <v>334100</v>
      </c>
      <c r="AO176" s="9">
        <f t="shared" si="68"/>
        <v>32299</v>
      </c>
      <c r="AP176" s="9">
        <f t="shared" si="81"/>
        <v>366399</v>
      </c>
      <c r="AQ176" s="9">
        <f t="shared" si="82"/>
        <v>366399</v>
      </c>
      <c r="AR176" s="291">
        <v>50646</v>
      </c>
      <c r="AS176" s="9">
        <f t="shared" si="83"/>
        <v>315753</v>
      </c>
      <c r="AT176" s="297" t="str">
        <f t="shared" si="84"/>
        <v>Yes</v>
      </c>
      <c r="AU176" s="357">
        <v>53007</v>
      </c>
      <c r="AV176" s="291">
        <f t="shared" si="69"/>
        <v>33659.269800000002</v>
      </c>
      <c r="AW176" s="291">
        <f t="shared" si="85"/>
        <v>86666.269800000009</v>
      </c>
      <c r="AX176" s="291">
        <f t="shared" si="70"/>
        <v>86666.269800000009</v>
      </c>
      <c r="AY176" s="358">
        <f t="shared" si="86"/>
        <v>33659.269800000009</v>
      </c>
      <c r="AZ176" s="301"/>
      <c r="BA176" s="301"/>
      <c r="BB176" s="302"/>
      <c r="BC176" s="291"/>
      <c r="BD176" s="298"/>
      <c r="BF176" s="298"/>
      <c r="BG176" s="298"/>
      <c r="BK176" s="298"/>
      <c r="BL176" s="298"/>
      <c r="BM176" s="298"/>
      <c r="BN176" s="298"/>
      <c r="BO176" s="298"/>
    </row>
    <row r="177" spans="1:67" ht="15" x14ac:dyDescent="0.2">
      <c r="A177" s="10" t="s">
        <v>24</v>
      </c>
      <c r="B177" s="10">
        <v>1</v>
      </c>
      <c r="C177" s="276">
        <v>1</v>
      </c>
      <c r="D177" s="276">
        <v>0</v>
      </c>
      <c r="E177" s="276">
        <v>1</v>
      </c>
      <c r="F177" s="8">
        <v>10</v>
      </c>
      <c r="G177" s="359">
        <v>2</v>
      </c>
      <c r="H177" s="10">
        <v>151</v>
      </c>
      <c r="I177" s="7" t="s">
        <v>163</v>
      </c>
      <c r="J177" s="287"/>
      <c r="K177" s="356">
        <v>17985.490000000002</v>
      </c>
      <c r="L177" s="359"/>
      <c r="M177" s="289"/>
      <c r="N177" s="357">
        <v>14003</v>
      </c>
      <c r="O177" s="290">
        <f t="shared" si="59"/>
        <v>0.77857206003283752</v>
      </c>
      <c r="P177" s="290">
        <f t="shared" si="71"/>
        <v>0.17857206003283754</v>
      </c>
      <c r="Q177" s="291">
        <f t="shared" si="60"/>
        <v>3211.7059999999997</v>
      </c>
      <c r="R177" s="291">
        <f t="shared" si="72"/>
        <v>481.75589999999994</v>
      </c>
      <c r="S177" s="357">
        <v>2952</v>
      </c>
      <c r="T177" s="292">
        <f t="shared" si="61"/>
        <v>4200.8999999999996</v>
      </c>
      <c r="U177" s="254">
        <f t="shared" si="73"/>
        <v>23406.1459</v>
      </c>
      <c r="V177" s="356">
        <v>6368507559.3299999</v>
      </c>
      <c r="W177" s="357">
        <v>108672</v>
      </c>
      <c r="X177" s="264">
        <f t="shared" si="62"/>
        <v>58603.02</v>
      </c>
      <c r="Y177" s="293">
        <f t="shared" si="63"/>
        <v>0.30438900000000002</v>
      </c>
      <c r="Z177" s="357">
        <v>41617</v>
      </c>
      <c r="AA177" s="293">
        <f t="shared" si="64"/>
        <v>0.34538600000000003</v>
      </c>
      <c r="AB177" s="293">
        <f t="shared" si="65"/>
        <v>0.68331200000000003</v>
      </c>
      <c r="AC177" s="294">
        <f t="shared" si="66"/>
        <v>0.68331200000000003</v>
      </c>
      <c r="AD177" s="295">
        <f t="shared" si="74"/>
        <v>0.06</v>
      </c>
      <c r="AE177" s="296">
        <f t="shared" si="75"/>
        <v>0.74331199999999997</v>
      </c>
      <c r="AF177" s="357">
        <v>0</v>
      </c>
      <c r="AG177" s="357">
        <v>0</v>
      </c>
      <c r="AH177" s="254">
        <f t="shared" si="76"/>
        <v>0</v>
      </c>
      <c r="AI177" s="9">
        <f t="shared" si="67"/>
        <v>0</v>
      </c>
      <c r="AJ177" s="9">
        <v>0</v>
      </c>
      <c r="AK177" s="9">
        <f t="shared" si="77"/>
        <v>0</v>
      </c>
      <c r="AL177" s="9">
        <f t="shared" si="78"/>
        <v>0</v>
      </c>
      <c r="AM177" s="9">
        <f t="shared" si="79"/>
        <v>0</v>
      </c>
      <c r="AN177" s="9">
        <f t="shared" si="80"/>
        <v>0</v>
      </c>
      <c r="AO177" s="9">
        <f t="shared" si="68"/>
        <v>200512747</v>
      </c>
      <c r="AP177" s="9">
        <f t="shared" si="81"/>
        <v>200512747</v>
      </c>
      <c r="AQ177" s="9">
        <f t="shared" si="82"/>
        <v>200512747</v>
      </c>
      <c r="AR177" s="291">
        <v>133606066</v>
      </c>
      <c r="AS177" s="9">
        <f t="shared" si="83"/>
        <v>66906681</v>
      </c>
      <c r="AT177" s="297" t="str">
        <f t="shared" si="84"/>
        <v>Yes</v>
      </c>
      <c r="AU177" s="357">
        <v>150090541</v>
      </c>
      <c r="AV177" s="291">
        <f t="shared" si="69"/>
        <v>7132252.1946</v>
      </c>
      <c r="AW177" s="291">
        <f t="shared" si="85"/>
        <v>157222793.19459999</v>
      </c>
      <c r="AX177" s="291">
        <f t="shared" si="70"/>
        <v>157222793.19459999</v>
      </c>
      <c r="AY177" s="358">
        <f t="shared" si="86"/>
        <v>7132252.1945999861</v>
      </c>
      <c r="AZ177" s="301"/>
      <c r="BA177" s="301"/>
      <c r="BB177" s="302"/>
      <c r="BC177" s="291"/>
      <c r="BD177" s="298"/>
      <c r="BF177" s="298"/>
      <c r="BG177" s="298"/>
      <c r="BK177" s="298"/>
      <c r="BL177" s="298"/>
      <c r="BM177" s="298"/>
      <c r="BN177" s="298"/>
      <c r="BO177" s="298"/>
    </row>
    <row r="178" spans="1:67" ht="15" x14ac:dyDescent="0.2">
      <c r="A178" s="10" t="s">
        <v>14</v>
      </c>
      <c r="B178" s="10"/>
      <c r="C178" s="276"/>
      <c r="D178" s="276"/>
      <c r="E178" s="276"/>
      <c r="F178" s="8">
        <v>2</v>
      </c>
      <c r="G178" s="355">
        <v>68</v>
      </c>
      <c r="H178" s="10">
        <v>152</v>
      </c>
      <c r="I178" s="7" t="s">
        <v>164</v>
      </c>
      <c r="J178" s="287"/>
      <c r="K178" s="356">
        <v>2539.96</v>
      </c>
      <c r="L178" s="355"/>
      <c r="M178" s="289"/>
      <c r="N178" s="357">
        <v>727</v>
      </c>
      <c r="O178" s="290">
        <f t="shared" si="59"/>
        <v>0.28622497992094365</v>
      </c>
      <c r="P178" s="290">
        <f t="shared" si="71"/>
        <v>0</v>
      </c>
      <c r="Q178" s="291">
        <f t="shared" si="60"/>
        <v>0</v>
      </c>
      <c r="R178" s="291">
        <f t="shared" si="72"/>
        <v>0</v>
      </c>
      <c r="S178" s="357">
        <v>70</v>
      </c>
      <c r="T178" s="292">
        <f t="shared" si="61"/>
        <v>218.1</v>
      </c>
      <c r="U178" s="254">
        <f t="shared" si="73"/>
        <v>2775.56</v>
      </c>
      <c r="V178" s="356">
        <v>4950874514.3299999</v>
      </c>
      <c r="W178" s="357">
        <v>19052</v>
      </c>
      <c r="X178" s="264">
        <f t="shared" si="62"/>
        <v>259861.14</v>
      </c>
      <c r="Y178" s="293">
        <f t="shared" si="63"/>
        <v>1.3497399999999999</v>
      </c>
      <c r="Z178" s="357">
        <v>85438</v>
      </c>
      <c r="AA178" s="293">
        <f t="shared" si="64"/>
        <v>0.709063</v>
      </c>
      <c r="AB178" s="293">
        <f t="shared" si="65"/>
        <v>-0.15753700000000001</v>
      </c>
      <c r="AC178" s="294">
        <f t="shared" si="66"/>
        <v>0.01</v>
      </c>
      <c r="AD178" s="295">
        <f t="shared" si="74"/>
        <v>0</v>
      </c>
      <c r="AE178" s="296">
        <f t="shared" si="75"/>
        <v>0.01</v>
      </c>
      <c r="AF178" s="357">
        <v>0</v>
      </c>
      <c r="AG178" s="357">
        <v>0</v>
      </c>
      <c r="AH178" s="254">
        <f t="shared" si="76"/>
        <v>0</v>
      </c>
      <c r="AI178" s="9">
        <f t="shared" si="67"/>
        <v>0</v>
      </c>
      <c r="AJ178" s="9">
        <v>0</v>
      </c>
      <c r="AK178" s="9">
        <f t="shared" si="77"/>
        <v>0</v>
      </c>
      <c r="AL178" s="9">
        <f t="shared" si="78"/>
        <v>0</v>
      </c>
      <c r="AM178" s="9">
        <f t="shared" si="79"/>
        <v>0</v>
      </c>
      <c r="AN178" s="9">
        <f t="shared" si="80"/>
        <v>0</v>
      </c>
      <c r="AO178" s="9">
        <f t="shared" si="68"/>
        <v>319883</v>
      </c>
      <c r="AP178" s="9">
        <f t="shared" si="81"/>
        <v>319883</v>
      </c>
      <c r="AQ178" s="9">
        <f t="shared" si="82"/>
        <v>319883</v>
      </c>
      <c r="AR178" s="291">
        <v>321279</v>
      </c>
      <c r="AS178" s="9">
        <f t="shared" si="83"/>
        <v>1396</v>
      </c>
      <c r="AT178" s="297" t="str">
        <f t="shared" si="84"/>
        <v>No</v>
      </c>
      <c r="AU178" s="357">
        <v>326444</v>
      </c>
      <c r="AV178" s="291">
        <f t="shared" si="69"/>
        <v>116.2868</v>
      </c>
      <c r="AW178" s="291">
        <f t="shared" si="85"/>
        <v>326444</v>
      </c>
      <c r="AX178" s="291">
        <f t="shared" si="70"/>
        <v>326444</v>
      </c>
      <c r="AY178" s="358">
        <f t="shared" si="86"/>
        <v>0</v>
      </c>
      <c r="AZ178" s="301"/>
      <c r="BA178" s="301"/>
      <c r="BB178" s="302"/>
      <c r="BC178" s="291"/>
      <c r="BD178" s="298"/>
      <c r="BF178" s="298"/>
      <c r="BG178" s="298"/>
      <c r="BK178" s="298"/>
      <c r="BL178" s="298"/>
      <c r="BM178" s="298"/>
      <c r="BN178" s="298"/>
      <c r="BO178" s="298"/>
    </row>
    <row r="179" spans="1:67" ht="15" x14ac:dyDescent="0.2">
      <c r="A179" s="10" t="s">
        <v>14</v>
      </c>
      <c r="B179" s="10"/>
      <c r="C179" s="276"/>
      <c r="D179" s="276"/>
      <c r="E179" s="276"/>
      <c r="F179" s="8">
        <v>7</v>
      </c>
      <c r="G179" s="355">
        <v>61</v>
      </c>
      <c r="H179" s="10">
        <v>153</v>
      </c>
      <c r="I179" s="7" t="s">
        <v>165</v>
      </c>
      <c r="J179" s="287"/>
      <c r="K179" s="356">
        <v>2687.3</v>
      </c>
      <c r="L179" s="355"/>
      <c r="M179" s="289"/>
      <c r="N179" s="357">
        <v>1011</v>
      </c>
      <c r="O179" s="290">
        <f t="shared" si="59"/>
        <v>0.3762140438358203</v>
      </c>
      <c r="P179" s="290">
        <f t="shared" si="71"/>
        <v>0</v>
      </c>
      <c r="Q179" s="291">
        <f t="shared" si="60"/>
        <v>0</v>
      </c>
      <c r="R179" s="291">
        <f t="shared" si="72"/>
        <v>0</v>
      </c>
      <c r="S179" s="357">
        <v>111</v>
      </c>
      <c r="T179" s="292">
        <f t="shared" si="61"/>
        <v>303.3</v>
      </c>
      <c r="U179" s="254">
        <f t="shared" si="73"/>
        <v>3018.3500000000004</v>
      </c>
      <c r="V179" s="356">
        <v>2665455080.6700001</v>
      </c>
      <c r="W179" s="357">
        <v>21832</v>
      </c>
      <c r="X179" s="264">
        <f t="shared" si="62"/>
        <v>122089.37</v>
      </c>
      <c r="Y179" s="293">
        <f t="shared" si="63"/>
        <v>0.63414199999999998</v>
      </c>
      <c r="Z179" s="357">
        <v>76920</v>
      </c>
      <c r="AA179" s="293">
        <f t="shared" si="64"/>
        <v>0.63837100000000002</v>
      </c>
      <c r="AB179" s="293">
        <f t="shared" si="65"/>
        <v>0.364589</v>
      </c>
      <c r="AC179" s="294">
        <f t="shared" si="66"/>
        <v>0.364589</v>
      </c>
      <c r="AD179" s="295">
        <f t="shared" si="74"/>
        <v>0</v>
      </c>
      <c r="AE179" s="296">
        <f t="shared" si="75"/>
        <v>0.364589</v>
      </c>
      <c r="AF179" s="357">
        <v>0</v>
      </c>
      <c r="AG179" s="357">
        <v>0</v>
      </c>
      <c r="AH179" s="254">
        <f t="shared" si="76"/>
        <v>0</v>
      </c>
      <c r="AI179" s="9">
        <f t="shared" si="67"/>
        <v>0</v>
      </c>
      <c r="AJ179" s="9">
        <v>0</v>
      </c>
      <c r="AK179" s="9">
        <f t="shared" si="77"/>
        <v>0</v>
      </c>
      <c r="AL179" s="9">
        <f t="shared" si="78"/>
        <v>0</v>
      </c>
      <c r="AM179" s="9">
        <f t="shared" si="79"/>
        <v>0</v>
      </c>
      <c r="AN179" s="9">
        <f t="shared" si="80"/>
        <v>0</v>
      </c>
      <c r="AO179" s="9">
        <f t="shared" si="68"/>
        <v>12682769</v>
      </c>
      <c r="AP179" s="9">
        <f t="shared" si="81"/>
        <v>12682769</v>
      </c>
      <c r="AQ179" s="9">
        <f t="shared" si="82"/>
        <v>12682769</v>
      </c>
      <c r="AR179" s="291">
        <v>11753175</v>
      </c>
      <c r="AS179" s="9">
        <f t="shared" si="83"/>
        <v>929594</v>
      </c>
      <c r="AT179" s="297" t="str">
        <f t="shared" si="84"/>
        <v>Yes</v>
      </c>
      <c r="AU179" s="357">
        <v>11780186</v>
      </c>
      <c r="AV179" s="291">
        <f t="shared" si="69"/>
        <v>99094.720400000006</v>
      </c>
      <c r="AW179" s="291">
        <f t="shared" si="85"/>
        <v>11879280.7204</v>
      </c>
      <c r="AX179" s="291">
        <f t="shared" si="70"/>
        <v>11879280.7204</v>
      </c>
      <c r="AY179" s="358">
        <f t="shared" si="86"/>
        <v>99094.720399999991</v>
      </c>
      <c r="AZ179" s="301"/>
      <c r="BA179" s="301"/>
      <c r="BB179" s="302"/>
      <c r="BC179" s="291"/>
      <c r="BD179" s="298"/>
      <c r="BF179" s="298"/>
      <c r="BG179" s="298"/>
      <c r="BK179" s="298"/>
      <c r="BL179" s="298"/>
      <c r="BM179" s="298"/>
      <c r="BN179" s="298"/>
      <c r="BO179" s="298"/>
    </row>
    <row r="180" spans="1:67" ht="15" x14ac:dyDescent="0.2">
      <c r="A180" s="10" t="s">
        <v>8</v>
      </c>
      <c r="B180" s="10"/>
      <c r="C180" s="276"/>
      <c r="D180" s="276"/>
      <c r="E180" s="276"/>
      <c r="F180" s="8">
        <v>2</v>
      </c>
      <c r="G180" s="355">
        <v>142</v>
      </c>
      <c r="H180" s="10">
        <v>154</v>
      </c>
      <c r="I180" s="7" t="s">
        <v>166</v>
      </c>
      <c r="J180" s="287"/>
      <c r="K180" s="356">
        <v>657.95</v>
      </c>
      <c r="L180" s="355"/>
      <c r="M180" s="289"/>
      <c r="N180" s="357">
        <v>242</v>
      </c>
      <c r="O180" s="290">
        <f t="shared" si="59"/>
        <v>0.36780910403526101</v>
      </c>
      <c r="P180" s="290">
        <f t="shared" si="71"/>
        <v>0</v>
      </c>
      <c r="Q180" s="291">
        <f t="shared" si="60"/>
        <v>0</v>
      </c>
      <c r="R180" s="291">
        <f t="shared" si="72"/>
        <v>0</v>
      </c>
      <c r="S180" s="357">
        <v>73</v>
      </c>
      <c r="T180" s="292">
        <f t="shared" si="61"/>
        <v>72.599999999999994</v>
      </c>
      <c r="U180" s="254">
        <f t="shared" si="73"/>
        <v>748.80000000000007</v>
      </c>
      <c r="V180" s="356">
        <v>1690813537.6700001</v>
      </c>
      <c r="W180" s="357">
        <v>6904</v>
      </c>
      <c r="X180" s="264">
        <f t="shared" si="62"/>
        <v>244903.47</v>
      </c>
      <c r="Y180" s="293">
        <f t="shared" si="63"/>
        <v>1.272049</v>
      </c>
      <c r="Z180" s="357">
        <v>89489</v>
      </c>
      <c r="AA180" s="293">
        <f t="shared" si="64"/>
        <v>0.74268299999999998</v>
      </c>
      <c r="AB180" s="293">
        <f t="shared" si="65"/>
        <v>-0.11323900000000001</v>
      </c>
      <c r="AC180" s="294">
        <f t="shared" si="66"/>
        <v>0.01</v>
      </c>
      <c r="AD180" s="295">
        <f t="shared" si="74"/>
        <v>0</v>
      </c>
      <c r="AE180" s="296">
        <f t="shared" si="75"/>
        <v>0.01</v>
      </c>
      <c r="AF180" s="357">
        <v>0</v>
      </c>
      <c r="AG180" s="357">
        <v>0</v>
      </c>
      <c r="AH180" s="254">
        <f t="shared" si="76"/>
        <v>0</v>
      </c>
      <c r="AI180" s="9">
        <f t="shared" si="67"/>
        <v>0</v>
      </c>
      <c r="AJ180" s="9">
        <v>0</v>
      </c>
      <c r="AK180" s="9">
        <f t="shared" si="77"/>
        <v>0</v>
      </c>
      <c r="AL180" s="9">
        <f t="shared" si="78"/>
        <v>0</v>
      </c>
      <c r="AM180" s="9">
        <f t="shared" si="79"/>
        <v>0</v>
      </c>
      <c r="AN180" s="9">
        <f t="shared" si="80"/>
        <v>0</v>
      </c>
      <c r="AO180" s="9">
        <f t="shared" si="68"/>
        <v>86299</v>
      </c>
      <c r="AP180" s="9">
        <f t="shared" si="81"/>
        <v>86299</v>
      </c>
      <c r="AQ180" s="9">
        <f t="shared" si="82"/>
        <v>86299</v>
      </c>
      <c r="AR180" s="291">
        <v>70393</v>
      </c>
      <c r="AS180" s="9">
        <f t="shared" si="83"/>
        <v>15906</v>
      </c>
      <c r="AT180" s="297" t="str">
        <f t="shared" si="84"/>
        <v>Yes</v>
      </c>
      <c r="AU180" s="357">
        <v>74979</v>
      </c>
      <c r="AV180" s="291">
        <f t="shared" si="69"/>
        <v>1695.5796</v>
      </c>
      <c r="AW180" s="291">
        <f t="shared" si="85"/>
        <v>76674.579599999997</v>
      </c>
      <c r="AX180" s="291">
        <f t="shared" si="70"/>
        <v>76674.579599999997</v>
      </c>
      <c r="AY180" s="358">
        <f t="shared" si="86"/>
        <v>1695.5795999999973</v>
      </c>
      <c r="AZ180" s="301"/>
      <c r="BA180" s="301"/>
      <c r="BB180" s="302"/>
      <c r="BC180" s="291"/>
      <c r="BD180" s="298"/>
      <c r="BF180" s="298"/>
      <c r="BG180" s="298"/>
      <c r="BK180" s="298"/>
      <c r="BL180" s="298"/>
      <c r="BM180" s="298"/>
      <c r="BN180" s="298"/>
      <c r="BO180" s="298"/>
    </row>
    <row r="181" spans="1:67" ht="15" x14ac:dyDescent="0.2">
      <c r="A181" s="10" t="s">
        <v>10</v>
      </c>
      <c r="B181" s="10"/>
      <c r="C181" s="276"/>
      <c r="D181" s="276"/>
      <c r="E181" s="276"/>
      <c r="F181" s="8">
        <v>7</v>
      </c>
      <c r="G181" s="355">
        <v>89</v>
      </c>
      <c r="H181" s="10">
        <v>155</v>
      </c>
      <c r="I181" s="7" t="s">
        <v>167</v>
      </c>
      <c r="J181" s="287"/>
      <c r="K181" s="356">
        <v>9329.1200000000008</v>
      </c>
      <c r="L181" s="355"/>
      <c r="M181" s="289"/>
      <c r="N181" s="357">
        <v>2375</v>
      </c>
      <c r="O181" s="290">
        <f t="shared" si="59"/>
        <v>0.25457921004339101</v>
      </c>
      <c r="P181" s="290">
        <f t="shared" si="71"/>
        <v>0</v>
      </c>
      <c r="Q181" s="291">
        <f t="shared" si="60"/>
        <v>0</v>
      </c>
      <c r="R181" s="291">
        <f t="shared" si="72"/>
        <v>0</v>
      </c>
      <c r="S181" s="357">
        <v>573</v>
      </c>
      <c r="T181" s="292">
        <f t="shared" si="61"/>
        <v>712.5</v>
      </c>
      <c r="U181" s="254">
        <f t="shared" si="73"/>
        <v>10184.870000000001</v>
      </c>
      <c r="V181" s="356">
        <v>9463375467.3299999</v>
      </c>
      <c r="W181" s="357">
        <v>63127</v>
      </c>
      <c r="X181" s="264">
        <f t="shared" si="62"/>
        <v>149910.10999999999</v>
      </c>
      <c r="Y181" s="293">
        <f t="shared" si="63"/>
        <v>0.77864500000000003</v>
      </c>
      <c r="Z181" s="357">
        <v>99280</v>
      </c>
      <c r="AA181" s="293">
        <f t="shared" si="64"/>
        <v>0.82394000000000001</v>
      </c>
      <c r="AB181" s="293">
        <f t="shared" si="65"/>
        <v>0.20776700000000001</v>
      </c>
      <c r="AC181" s="294">
        <f t="shared" si="66"/>
        <v>0.20776700000000001</v>
      </c>
      <c r="AD181" s="295">
        <f t="shared" si="74"/>
        <v>0</v>
      </c>
      <c r="AE181" s="296">
        <f t="shared" si="75"/>
        <v>0.20776700000000001</v>
      </c>
      <c r="AF181" s="357">
        <v>0</v>
      </c>
      <c r="AG181" s="357">
        <v>0</v>
      </c>
      <c r="AH181" s="254">
        <f t="shared" si="76"/>
        <v>0</v>
      </c>
      <c r="AI181" s="9">
        <f t="shared" si="67"/>
        <v>0</v>
      </c>
      <c r="AJ181" s="9">
        <v>0</v>
      </c>
      <c r="AK181" s="9">
        <f t="shared" si="77"/>
        <v>0</v>
      </c>
      <c r="AL181" s="9">
        <f t="shared" si="78"/>
        <v>0</v>
      </c>
      <c r="AM181" s="9">
        <f t="shared" si="79"/>
        <v>0</v>
      </c>
      <c r="AN181" s="9">
        <f t="shared" si="80"/>
        <v>0</v>
      </c>
      <c r="AO181" s="9">
        <f t="shared" si="68"/>
        <v>24387821</v>
      </c>
      <c r="AP181" s="9">
        <f t="shared" si="81"/>
        <v>24387821</v>
      </c>
      <c r="AQ181" s="9">
        <f t="shared" si="82"/>
        <v>24387821</v>
      </c>
      <c r="AR181" s="291">
        <v>20961352</v>
      </c>
      <c r="AS181" s="9">
        <f t="shared" si="83"/>
        <v>3426469</v>
      </c>
      <c r="AT181" s="297" t="str">
        <f t="shared" si="84"/>
        <v>Yes</v>
      </c>
      <c r="AU181" s="357">
        <v>21880498</v>
      </c>
      <c r="AV181" s="291">
        <f t="shared" si="69"/>
        <v>365261.59539999999</v>
      </c>
      <c r="AW181" s="291">
        <f t="shared" si="85"/>
        <v>22245759.595399998</v>
      </c>
      <c r="AX181" s="291">
        <f t="shared" si="70"/>
        <v>22245759.595399998</v>
      </c>
      <c r="AY181" s="358">
        <f t="shared" si="86"/>
        <v>365261.59539999813</v>
      </c>
      <c r="AZ181" s="301"/>
      <c r="BA181" s="301"/>
      <c r="BB181" s="302"/>
      <c r="BC181" s="291"/>
      <c r="BD181" s="298"/>
      <c r="BF181" s="298"/>
      <c r="BG181" s="298"/>
      <c r="BK181" s="298"/>
      <c r="BL181" s="298"/>
      <c r="BM181" s="298"/>
      <c r="BN181" s="298"/>
      <c r="BO181" s="298"/>
    </row>
    <row r="182" spans="1:67" ht="15" x14ac:dyDescent="0.2">
      <c r="A182" s="10" t="s">
        <v>6</v>
      </c>
      <c r="B182" s="10"/>
      <c r="C182" s="276">
        <v>1</v>
      </c>
      <c r="D182" s="276">
        <v>1</v>
      </c>
      <c r="E182" s="276"/>
      <c r="F182" s="8">
        <v>10</v>
      </c>
      <c r="G182" s="359">
        <v>14</v>
      </c>
      <c r="H182" s="10">
        <v>156</v>
      </c>
      <c r="I182" s="7" t="s">
        <v>168</v>
      </c>
      <c r="J182" s="287"/>
      <c r="K182" s="356">
        <v>6701.12</v>
      </c>
      <c r="L182" s="359"/>
      <c r="M182" s="289"/>
      <c r="N182" s="357">
        <v>4055</v>
      </c>
      <c r="O182" s="290">
        <f t="shared" si="59"/>
        <v>0.60512272575330694</v>
      </c>
      <c r="P182" s="290">
        <f t="shared" si="71"/>
        <v>5.122725753306967E-3</v>
      </c>
      <c r="Q182" s="291">
        <f t="shared" si="60"/>
        <v>34.32800000000038</v>
      </c>
      <c r="R182" s="291">
        <f t="shared" si="72"/>
        <v>5.1492000000000564</v>
      </c>
      <c r="S182" s="357">
        <v>948</v>
      </c>
      <c r="T182" s="292">
        <f t="shared" si="61"/>
        <v>1216.5</v>
      </c>
      <c r="U182" s="254">
        <f t="shared" si="73"/>
        <v>8159.7691999999997</v>
      </c>
      <c r="V182" s="356">
        <v>4192191601.6700001</v>
      </c>
      <c r="W182" s="357">
        <v>54918</v>
      </c>
      <c r="X182" s="264">
        <f t="shared" si="62"/>
        <v>76335.47</v>
      </c>
      <c r="Y182" s="293">
        <f t="shared" si="63"/>
        <v>0.39649299999999998</v>
      </c>
      <c r="Z182" s="357">
        <v>58112</v>
      </c>
      <c r="AA182" s="293">
        <f t="shared" si="64"/>
        <v>0.48227999999999999</v>
      </c>
      <c r="AB182" s="293">
        <f t="shared" si="65"/>
        <v>0.57777100000000003</v>
      </c>
      <c r="AC182" s="294">
        <f t="shared" si="66"/>
        <v>0.57777100000000003</v>
      </c>
      <c r="AD182" s="295">
        <f t="shared" si="74"/>
        <v>0.04</v>
      </c>
      <c r="AE182" s="296">
        <f t="shared" si="75"/>
        <v>0.61777100000000007</v>
      </c>
      <c r="AF182" s="357">
        <v>0</v>
      </c>
      <c r="AG182" s="357">
        <v>0</v>
      </c>
      <c r="AH182" s="254">
        <f t="shared" si="76"/>
        <v>0</v>
      </c>
      <c r="AI182" s="9">
        <f t="shared" si="67"/>
        <v>0</v>
      </c>
      <c r="AJ182" s="9">
        <v>0</v>
      </c>
      <c r="AK182" s="9">
        <f t="shared" si="77"/>
        <v>0</v>
      </c>
      <c r="AL182" s="9">
        <f t="shared" si="78"/>
        <v>0</v>
      </c>
      <c r="AM182" s="9">
        <f t="shared" si="79"/>
        <v>0</v>
      </c>
      <c r="AN182" s="9">
        <f t="shared" si="80"/>
        <v>0</v>
      </c>
      <c r="AO182" s="9">
        <f t="shared" si="68"/>
        <v>58096013</v>
      </c>
      <c r="AP182" s="9">
        <f t="shared" si="81"/>
        <v>58096013</v>
      </c>
      <c r="AQ182" s="9">
        <f t="shared" si="82"/>
        <v>58096013</v>
      </c>
      <c r="AR182" s="291">
        <v>45140487</v>
      </c>
      <c r="AS182" s="9">
        <f t="shared" si="83"/>
        <v>12955526</v>
      </c>
      <c r="AT182" s="297" t="str">
        <f t="shared" si="84"/>
        <v>Yes</v>
      </c>
      <c r="AU182" s="357">
        <v>48958444</v>
      </c>
      <c r="AV182" s="291">
        <f t="shared" si="69"/>
        <v>1381059.0715999999</v>
      </c>
      <c r="AW182" s="291">
        <f t="shared" si="85"/>
        <v>50339503.071599998</v>
      </c>
      <c r="AX182" s="291">
        <f t="shared" si="70"/>
        <v>50339503.071599998</v>
      </c>
      <c r="AY182" s="358">
        <f t="shared" si="86"/>
        <v>1381059.0715999976</v>
      </c>
      <c r="AZ182" s="301"/>
      <c r="BA182" s="301"/>
      <c r="BB182" s="302"/>
      <c r="BC182" s="291"/>
      <c r="BD182" s="298"/>
      <c r="BF182" s="298"/>
      <c r="BG182" s="298"/>
      <c r="BK182" s="298"/>
      <c r="BL182" s="298"/>
      <c r="BM182" s="298"/>
      <c r="BN182" s="298"/>
      <c r="BO182" s="298"/>
    </row>
    <row r="183" spans="1:67" ht="15" x14ac:dyDescent="0.2">
      <c r="A183" s="10" t="s">
        <v>46</v>
      </c>
      <c r="B183" s="10"/>
      <c r="C183" s="276"/>
      <c r="D183" s="276"/>
      <c r="E183" s="276"/>
      <c r="F183" s="8">
        <v>1</v>
      </c>
      <c r="G183" s="355">
        <v>161</v>
      </c>
      <c r="H183" s="10">
        <v>157</v>
      </c>
      <c r="I183" s="7" t="s">
        <v>169</v>
      </c>
      <c r="J183" s="287"/>
      <c r="K183" s="356">
        <v>2253.08</v>
      </c>
      <c r="L183" s="355"/>
      <c r="M183" s="289"/>
      <c r="N183" s="357">
        <v>29</v>
      </c>
      <c r="O183" s="290">
        <f t="shared" si="59"/>
        <v>1.2871269551014612E-2</v>
      </c>
      <c r="P183" s="290">
        <f t="shared" si="71"/>
        <v>0</v>
      </c>
      <c r="Q183" s="291">
        <f t="shared" si="60"/>
        <v>0</v>
      </c>
      <c r="R183" s="291">
        <f t="shared" si="72"/>
        <v>0</v>
      </c>
      <c r="S183" s="357">
        <v>14</v>
      </c>
      <c r="T183" s="292">
        <f t="shared" si="61"/>
        <v>8.6999999999999993</v>
      </c>
      <c r="U183" s="254">
        <f t="shared" si="73"/>
        <v>2265.2799999999997</v>
      </c>
      <c r="V183" s="356">
        <v>3338832762.3299999</v>
      </c>
      <c r="W183" s="357">
        <v>10288</v>
      </c>
      <c r="X183" s="264">
        <f t="shared" si="62"/>
        <v>324536.62</v>
      </c>
      <c r="Y183" s="293">
        <f t="shared" si="63"/>
        <v>1.68567</v>
      </c>
      <c r="Z183" s="357">
        <v>219083</v>
      </c>
      <c r="AA183" s="293">
        <f t="shared" si="64"/>
        <v>1.818203</v>
      </c>
      <c r="AB183" s="293">
        <f t="shared" si="65"/>
        <v>-0.72543000000000002</v>
      </c>
      <c r="AC183" s="294">
        <f t="shared" si="66"/>
        <v>0.01</v>
      </c>
      <c r="AD183" s="295">
        <f t="shared" si="74"/>
        <v>0</v>
      </c>
      <c r="AE183" s="296">
        <f t="shared" si="75"/>
        <v>0.01</v>
      </c>
      <c r="AF183" s="357">
        <v>0</v>
      </c>
      <c r="AG183" s="357">
        <v>0</v>
      </c>
      <c r="AH183" s="254">
        <f t="shared" si="76"/>
        <v>0</v>
      </c>
      <c r="AI183" s="9">
        <f t="shared" si="67"/>
        <v>0</v>
      </c>
      <c r="AJ183" s="9">
        <v>0</v>
      </c>
      <c r="AK183" s="9">
        <f t="shared" si="77"/>
        <v>0</v>
      </c>
      <c r="AL183" s="9">
        <f t="shared" si="78"/>
        <v>0</v>
      </c>
      <c r="AM183" s="9">
        <f t="shared" si="79"/>
        <v>0</v>
      </c>
      <c r="AN183" s="9">
        <f t="shared" si="80"/>
        <v>0</v>
      </c>
      <c r="AO183" s="9">
        <f t="shared" si="68"/>
        <v>261074</v>
      </c>
      <c r="AP183" s="9">
        <f t="shared" si="81"/>
        <v>261074</v>
      </c>
      <c r="AQ183" s="9">
        <f t="shared" si="82"/>
        <v>261074</v>
      </c>
      <c r="AR183" s="291">
        <v>263431</v>
      </c>
      <c r="AS183" s="9">
        <f t="shared" si="83"/>
        <v>2357</v>
      </c>
      <c r="AT183" s="297" t="str">
        <f t="shared" si="84"/>
        <v>No</v>
      </c>
      <c r="AU183" s="357">
        <v>263792</v>
      </c>
      <c r="AV183" s="291">
        <f t="shared" si="69"/>
        <v>196.3381</v>
      </c>
      <c r="AW183" s="291">
        <f t="shared" si="85"/>
        <v>263792</v>
      </c>
      <c r="AX183" s="291">
        <f t="shared" si="70"/>
        <v>263792</v>
      </c>
      <c r="AY183" s="358">
        <f t="shared" si="86"/>
        <v>0</v>
      </c>
      <c r="AZ183" s="301"/>
      <c r="BA183" s="301"/>
      <c r="BB183" s="302"/>
      <c r="BC183" s="291"/>
      <c r="BD183" s="298"/>
      <c r="BF183" s="298"/>
      <c r="BG183" s="298"/>
      <c r="BK183" s="298"/>
      <c r="BL183" s="298"/>
      <c r="BM183" s="298"/>
      <c r="BN183" s="298"/>
      <c r="BO183" s="298"/>
    </row>
    <row r="184" spans="1:67" ht="15" x14ac:dyDescent="0.2">
      <c r="A184" s="10" t="s">
        <v>46</v>
      </c>
      <c r="B184" s="10"/>
      <c r="C184" s="276"/>
      <c r="D184" s="276"/>
      <c r="E184" s="276"/>
      <c r="F184" s="8">
        <v>1</v>
      </c>
      <c r="G184" s="355">
        <v>166</v>
      </c>
      <c r="H184" s="10">
        <v>158</v>
      </c>
      <c r="I184" s="7" t="s">
        <v>170</v>
      </c>
      <c r="J184" s="287"/>
      <c r="K184" s="356">
        <v>5275.25</v>
      </c>
      <c r="L184" s="355"/>
      <c r="M184" s="289"/>
      <c r="N184" s="357">
        <v>111</v>
      </c>
      <c r="O184" s="290">
        <f t="shared" si="59"/>
        <v>2.1041656793516893E-2</v>
      </c>
      <c r="P184" s="290">
        <f t="shared" si="71"/>
        <v>0</v>
      </c>
      <c r="Q184" s="291">
        <f t="shared" si="60"/>
        <v>0</v>
      </c>
      <c r="R184" s="291">
        <f t="shared" si="72"/>
        <v>0</v>
      </c>
      <c r="S184" s="357">
        <v>50</v>
      </c>
      <c r="T184" s="292">
        <f t="shared" si="61"/>
        <v>33.299999999999997</v>
      </c>
      <c r="U184" s="254">
        <f t="shared" si="73"/>
        <v>5321.05</v>
      </c>
      <c r="V184" s="356">
        <v>16075832968.33</v>
      </c>
      <c r="W184" s="357">
        <v>27840</v>
      </c>
      <c r="X184" s="264">
        <f t="shared" si="62"/>
        <v>577436.53</v>
      </c>
      <c r="Y184" s="293">
        <f t="shared" si="63"/>
        <v>2.9992529999999999</v>
      </c>
      <c r="Z184" s="357">
        <v>187988</v>
      </c>
      <c r="AA184" s="293">
        <f t="shared" si="64"/>
        <v>1.560141</v>
      </c>
      <c r="AB184" s="293">
        <f t="shared" si="65"/>
        <v>-1.5675190000000001</v>
      </c>
      <c r="AC184" s="294">
        <f t="shared" si="66"/>
        <v>0.01</v>
      </c>
      <c r="AD184" s="295">
        <f t="shared" si="74"/>
        <v>0</v>
      </c>
      <c r="AE184" s="296">
        <f t="shared" si="75"/>
        <v>0.01</v>
      </c>
      <c r="AF184" s="357">
        <v>0</v>
      </c>
      <c r="AG184" s="357">
        <v>0</v>
      </c>
      <c r="AH184" s="254">
        <f t="shared" si="76"/>
        <v>0</v>
      </c>
      <c r="AI184" s="9">
        <f t="shared" si="67"/>
        <v>0</v>
      </c>
      <c r="AJ184" s="9">
        <v>0</v>
      </c>
      <c r="AK184" s="9">
        <f t="shared" si="77"/>
        <v>0</v>
      </c>
      <c r="AL184" s="9">
        <f t="shared" si="78"/>
        <v>0</v>
      </c>
      <c r="AM184" s="9">
        <f t="shared" si="79"/>
        <v>0</v>
      </c>
      <c r="AN184" s="9">
        <f t="shared" si="80"/>
        <v>0</v>
      </c>
      <c r="AO184" s="9">
        <f t="shared" si="68"/>
        <v>613251</v>
      </c>
      <c r="AP184" s="9">
        <f t="shared" si="81"/>
        <v>613251</v>
      </c>
      <c r="AQ184" s="9">
        <f t="shared" si="82"/>
        <v>613251</v>
      </c>
      <c r="AR184" s="291">
        <v>465334</v>
      </c>
      <c r="AS184" s="9">
        <f t="shared" si="83"/>
        <v>147917</v>
      </c>
      <c r="AT184" s="297" t="str">
        <f t="shared" si="84"/>
        <v>Yes</v>
      </c>
      <c r="AU184" s="357">
        <v>507728</v>
      </c>
      <c r="AV184" s="291">
        <f t="shared" si="69"/>
        <v>15767.9522</v>
      </c>
      <c r="AW184" s="291">
        <f t="shared" si="85"/>
        <v>523495.9522</v>
      </c>
      <c r="AX184" s="291">
        <f t="shared" si="70"/>
        <v>523495.9522</v>
      </c>
      <c r="AY184" s="358">
        <f t="shared" si="86"/>
        <v>15767.9522</v>
      </c>
      <c r="AZ184" s="301"/>
      <c r="BA184" s="301"/>
      <c r="BB184" s="302"/>
      <c r="BC184" s="291"/>
      <c r="BD184" s="298"/>
      <c r="BF184" s="298"/>
      <c r="BG184" s="298"/>
      <c r="BK184" s="298"/>
      <c r="BL184" s="298"/>
      <c r="BM184" s="298"/>
      <c r="BN184" s="298"/>
      <c r="BO184" s="298"/>
    </row>
    <row r="185" spans="1:67" ht="15" x14ac:dyDescent="0.2">
      <c r="A185" s="10" t="s">
        <v>14</v>
      </c>
      <c r="B185" s="10"/>
      <c r="C185" s="276"/>
      <c r="D185" s="276"/>
      <c r="E185" s="276"/>
      <c r="F185" s="8">
        <v>8</v>
      </c>
      <c r="G185" s="360">
        <v>56</v>
      </c>
      <c r="H185" s="10">
        <v>159</v>
      </c>
      <c r="I185" s="7" t="s">
        <v>171</v>
      </c>
      <c r="J185" s="287"/>
      <c r="K185" s="356">
        <v>3751.79</v>
      </c>
      <c r="L185" s="360"/>
      <c r="M185" s="289"/>
      <c r="N185" s="357">
        <v>938</v>
      </c>
      <c r="O185" s="290">
        <f t="shared" si="59"/>
        <v>0.25001399332052165</v>
      </c>
      <c r="P185" s="290">
        <f t="shared" si="71"/>
        <v>0</v>
      </c>
      <c r="Q185" s="291">
        <f t="shared" si="60"/>
        <v>0</v>
      </c>
      <c r="R185" s="291">
        <f t="shared" si="72"/>
        <v>0</v>
      </c>
      <c r="S185" s="357">
        <v>325</v>
      </c>
      <c r="T185" s="292">
        <f t="shared" si="61"/>
        <v>281.39999999999998</v>
      </c>
      <c r="U185" s="254">
        <f t="shared" si="73"/>
        <v>4114.4400000000005</v>
      </c>
      <c r="V185" s="356">
        <v>3363178719.3299999</v>
      </c>
      <c r="W185" s="357">
        <v>26267</v>
      </c>
      <c r="X185" s="264">
        <f t="shared" si="62"/>
        <v>128038.17</v>
      </c>
      <c r="Y185" s="293">
        <f t="shared" si="63"/>
        <v>0.66504099999999999</v>
      </c>
      <c r="Z185" s="357">
        <v>83391</v>
      </c>
      <c r="AA185" s="293">
        <f t="shared" si="64"/>
        <v>0.692075</v>
      </c>
      <c r="AB185" s="293">
        <f t="shared" si="65"/>
        <v>0.326849</v>
      </c>
      <c r="AC185" s="294">
        <f t="shared" si="66"/>
        <v>0.326849</v>
      </c>
      <c r="AD185" s="295">
        <f t="shared" si="74"/>
        <v>0</v>
      </c>
      <c r="AE185" s="296">
        <f t="shared" si="75"/>
        <v>0.326849</v>
      </c>
      <c r="AF185" s="357">
        <v>0</v>
      </c>
      <c r="AG185" s="357">
        <v>0</v>
      </c>
      <c r="AH185" s="254">
        <f t="shared" si="76"/>
        <v>0</v>
      </c>
      <c r="AI185" s="9">
        <f t="shared" si="67"/>
        <v>0</v>
      </c>
      <c r="AJ185" s="9">
        <v>0</v>
      </c>
      <c r="AK185" s="9">
        <f t="shared" si="77"/>
        <v>0</v>
      </c>
      <c r="AL185" s="9">
        <f t="shared" si="78"/>
        <v>0</v>
      </c>
      <c r="AM185" s="9">
        <f t="shared" si="79"/>
        <v>0</v>
      </c>
      <c r="AN185" s="9">
        <f t="shared" si="80"/>
        <v>0</v>
      </c>
      <c r="AO185" s="9">
        <f t="shared" si="68"/>
        <v>15498827</v>
      </c>
      <c r="AP185" s="9">
        <f t="shared" si="81"/>
        <v>15498827</v>
      </c>
      <c r="AQ185" s="9">
        <f t="shared" si="82"/>
        <v>15498827</v>
      </c>
      <c r="AR185" s="291">
        <v>9348852</v>
      </c>
      <c r="AS185" s="9">
        <f t="shared" si="83"/>
        <v>6149975</v>
      </c>
      <c r="AT185" s="297" t="str">
        <f t="shared" si="84"/>
        <v>Yes</v>
      </c>
      <c r="AU185" s="357">
        <v>10885177</v>
      </c>
      <c r="AV185" s="291">
        <f t="shared" si="69"/>
        <v>655587.33499999996</v>
      </c>
      <c r="AW185" s="291">
        <f t="shared" si="85"/>
        <v>11540764.335000001</v>
      </c>
      <c r="AX185" s="291">
        <f t="shared" si="70"/>
        <v>11540764.335000001</v>
      </c>
      <c r="AY185" s="358">
        <f t="shared" si="86"/>
        <v>655587.33500000089</v>
      </c>
      <c r="AZ185" s="301"/>
      <c r="BA185" s="301"/>
      <c r="BB185" s="302"/>
      <c r="BC185" s="291"/>
      <c r="BD185" s="298"/>
      <c r="BF185" s="298"/>
      <c r="BG185" s="298"/>
      <c r="BK185" s="298"/>
      <c r="BL185" s="298"/>
      <c r="BM185" s="298"/>
      <c r="BN185" s="298"/>
      <c r="BO185" s="298"/>
    </row>
    <row r="186" spans="1:67" ht="15" x14ac:dyDescent="0.2">
      <c r="A186" s="10" t="s">
        <v>8</v>
      </c>
      <c r="B186" s="10"/>
      <c r="C186" s="276"/>
      <c r="D186" s="276"/>
      <c r="E186" s="276"/>
      <c r="F186" s="8">
        <v>8</v>
      </c>
      <c r="G186" s="355">
        <v>82</v>
      </c>
      <c r="H186" s="10">
        <v>160</v>
      </c>
      <c r="I186" s="7" t="s">
        <v>172</v>
      </c>
      <c r="J186" s="287"/>
      <c r="K186" s="356">
        <v>587.85</v>
      </c>
      <c r="L186" s="355"/>
      <c r="M186" s="289"/>
      <c r="N186" s="357">
        <v>220</v>
      </c>
      <c r="O186" s="290">
        <f t="shared" si="59"/>
        <v>0.37424513056051711</v>
      </c>
      <c r="P186" s="290">
        <f t="shared" si="71"/>
        <v>0</v>
      </c>
      <c r="Q186" s="291">
        <f t="shared" si="60"/>
        <v>0</v>
      </c>
      <c r="R186" s="291">
        <f t="shared" si="72"/>
        <v>0</v>
      </c>
      <c r="S186" s="357">
        <v>7</v>
      </c>
      <c r="T186" s="292">
        <f t="shared" si="61"/>
        <v>66</v>
      </c>
      <c r="U186" s="254">
        <f t="shared" si="73"/>
        <v>655.6</v>
      </c>
      <c r="V186" s="356">
        <v>640805459.33000004</v>
      </c>
      <c r="W186" s="357">
        <v>5912</v>
      </c>
      <c r="X186" s="264">
        <f t="shared" si="62"/>
        <v>108390.64</v>
      </c>
      <c r="Y186" s="293">
        <f t="shared" si="63"/>
        <v>0.56298999999999999</v>
      </c>
      <c r="Z186" s="357">
        <v>74940</v>
      </c>
      <c r="AA186" s="293">
        <f t="shared" si="64"/>
        <v>0.62193799999999999</v>
      </c>
      <c r="AB186" s="293">
        <f t="shared" si="65"/>
        <v>0.41932599999999998</v>
      </c>
      <c r="AC186" s="294">
        <f t="shared" si="66"/>
        <v>0.41932599999999998</v>
      </c>
      <c r="AD186" s="295">
        <f t="shared" si="74"/>
        <v>0</v>
      </c>
      <c r="AE186" s="296">
        <f t="shared" si="75"/>
        <v>0.41932599999999998</v>
      </c>
      <c r="AF186" s="357">
        <v>179</v>
      </c>
      <c r="AG186" s="357">
        <v>4</v>
      </c>
      <c r="AH186" s="254">
        <f t="shared" si="76"/>
        <v>400</v>
      </c>
      <c r="AI186" s="9">
        <f t="shared" si="67"/>
        <v>71600</v>
      </c>
      <c r="AJ186" s="9">
        <v>0</v>
      </c>
      <c r="AK186" s="9">
        <f t="shared" si="77"/>
        <v>0</v>
      </c>
      <c r="AL186" s="9">
        <f t="shared" si="78"/>
        <v>0</v>
      </c>
      <c r="AM186" s="9">
        <f t="shared" si="79"/>
        <v>0</v>
      </c>
      <c r="AN186" s="9">
        <f t="shared" si="80"/>
        <v>71600</v>
      </c>
      <c r="AO186" s="9">
        <f t="shared" si="68"/>
        <v>3168339</v>
      </c>
      <c r="AP186" s="9">
        <f t="shared" si="81"/>
        <v>3239939</v>
      </c>
      <c r="AQ186" s="9">
        <f t="shared" si="82"/>
        <v>3239939</v>
      </c>
      <c r="AR186" s="291">
        <v>3637161</v>
      </c>
      <c r="AS186" s="9">
        <f t="shared" si="83"/>
        <v>397222</v>
      </c>
      <c r="AT186" s="297" t="str">
        <f t="shared" si="84"/>
        <v>No</v>
      </c>
      <c r="AU186" s="357">
        <v>3456594</v>
      </c>
      <c r="AV186" s="291">
        <f t="shared" si="69"/>
        <v>33088.592599999996</v>
      </c>
      <c r="AW186" s="291">
        <f t="shared" si="85"/>
        <v>3456594</v>
      </c>
      <c r="AX186" s="291">
        <f t="shared" si="70"/>
        <v>3456594</v>
      </c>
      <c r="AY186" s="358">
        <f t="shared" si="86"/>
        <v>0</v>
      </c>
      <c r="AZ186" s="301"/>
      <c r="BA186" s="301"/>
      <c r="BB186" s="302"/>
      <c r="BC186" s="291"/>
      <c r="BD186" s="298"/>
      <c r="BF186" s="298"/>
      <c r="BG186" s="298"/>
      <c r="BK186" s="298"/>
      <c r="BL186" s="298"/>
      <c r="BM186" s="298"/>
      <c r="BN186" s="298"/>
      <c r="BO186" s="298"/>
    </row>
    <row r="187" spans="1:67" ht="15" x14ac:dyDescent="0.2">
      <c r="A187" s="10" t="s">
        <v>46</v>
      </c>
      <c r="B187" s="10"/>
      <c r="C187" s="276"/>
      <c r="D187" s="276"/>
      <c r="E187" s="276"/>
      <c r="F187" s="8">
        <v>1</v>
      </c>
      <c r="G187" s="355">
        <v>159</v>
      </c>
      <c r="H187" s="10">
        <v>161</v>
      </c>
      <c r="I187" s="7" t="s">
        <v>173</v>
      </c>
      <c r="J187" s="287"/>
      <c r="K187" s="356">
        <v>3662.64</v>
      </c>
      <c r="L187" s="355"/>
      <c r="M187" s="289"/>
      <c r="N187" s="357">
        <v>179</v>
      </c>
      <c r="O187" s="290">
        <f t="shared" si="59"/>
        <v>4.8871851997466312E-2</v>
      </c>
      <c r="P187" s="290">
        <f t="shared" si="71"/>
        <v>0</v>
      </c>
      <c r="Q187" s="291">
        <f t="shared" si="60"/>
        <v>0</v>
      </c>
      <c r="R187" s="291">
        <f t="shared" si="72"/>
        <v>0</v>
      </c>
      <c r="S187" s="357">
        <v>29</v>
      </c>
      <c r="T187" s="292">
        <f t="shared" si="61"/>
        <v>53.7</v>
      </c>
      <c r="U187" s="254">
        <f t="shared" si="73"/>
        <v>3723.5899999999997</v>
      </c>
      <c r="V187" s="356">
        <v>6115418357.3299999</v>
      </c>
      <c r="W187" s="357">
        <v>18542</v>
      </c>
      <c r="X187" s="264">
        <f t="shared" si="62"/>
        <v>329814.39</v>
      </c>
      <c r="Y187" s="293">
        <f t="shared" si="63"/>
        <v>1.7130829999999999</v>
      </c>
      <c r="Z187" s="357">
        <v>187903</v>
      </c>
      <c r="AA187" s="293">
        <f t="shared" si="64"/>
        <v>1.5594349999999999</v>
      </c>
      <c r="AB187" s="293">
        <f t="shared" si="65"/>
        <v>-0.66698900000000005</v>
      </c>
      <c r="AC187" s="294">
        <f t="shared" si="66"/>
        <v>0.01</v>
      </c>
      <c r="AD187" s="295">
        <f t="shared" si="74"/>
        <v>0</v>
      </c>
      <c r="AE187" s="296">
        <f t="shared" si="75"/>
        <v>0.01</v>
      </c>
      <c r="AF187" s="357">
        <v>0</v>
      </c>
      <c r="AG187" s="357">
        <v>0</v>
      </c>
      <c r="AH187" s="254">
        <f t="shared" si="76"/>
        <v>0</v>
      </c>
      <c r="AI187" s="9">
        <f t="shared" si="67"/>
        <v>0</v>
      </c>
      <c r="AJ187" s="9">
        <v>0</v>
      </c>
      <c r="AK187" s="9">
        <f t="shared" si="77"/>
        <v>0</v>
      </c>
      <c r="AL187" s="9">
        <f t="shared" si="78"/>
        <v>0</v>
      </c>
      <c r="AM187" s="9">
        <f t="shared" si="79"/>
        <v>0</v>
      </c>
      <c r="AN187" s="9">
        <f t="shared" si="80"/>
        <v>0</v>
      </c>
      <c r="AO187" s="9">
        <f t="shared" si="68"/>
        <v>429144</v>
      </c>
      <c r="AP187" s="9">
        <f t="shared" si="81"/>
        <v>429144</v>
      </c>
      <c r="AQ187" s="9">
        <f t="shared" si="82"/>
        <v>429144</v>
      </c>
      <c r="AR187" s="291">
        <v>462941</v>
      </c>
      <c r="AS187" s="9">
        <f t="shared" si="83"/>
        <v>33797</v>
      </c>
      <c r="AT187" s="297" t="str">
        <f t="shared" si="84"/>
        <v>No</v>
      </c>
      <c r="AU187" s="357">
        <v>461796</v>
      </c>
      <c r="AV187" s="291">
        <f t="shared" si="69"/>
        <v>2815.2901000000002</v>
      </c>
      <c r="AW187" s="291">
        <f t="shared" si="85"/>
        <v>461796</v>
      </c>
      <c r="AX187" s="291">
        <f t="shared" si="70"/>
        <v>461796</v>
      </c>
      <c r="AY187" s="358">
        <f t="shared" si="86"/>
        <v>0</v>
      </c>
      <c r="AZ187" s="301"/>
      <c r="BA187" s="301"/>
      <c r="BB187" s="302"/>
      <c r="BC187" s="291"/>
      <c r="BD187" s="298"/>
      <c r="BF187" s="298"/>
      <c r="BG187" s="298"/>
      <c r="BK187" s="298"/>
      <c r="BL187" s="298"/>
      <c r="BM187" s="298"/>
      <c r="BN187" s="298"/>
      <c r="BO187" s="298"/>
    </row>
    <row r="188" spans="1:67" ht="15" x14ac:dyDescent="0.2">
      <c r="A188" s="10" t="s">
        <v>19</v>
      </c>
      <c r="B188" s="10"/>
      <c r="C188" s="276">
        <v>1</v>
      </c>
      <c r="D188" s="276">
        <v>1</v>
      </c>
      <c r="E188" s="276"/>
      <c r="F188" s="8">
        <v>9</v>
      </c>
      <c r="G188" s="359">
        <v>28</v>
      </c>
      <c r="H188" s="10">
        <v>162</v>
      </c>
      <c r="I188" s="7" t="s">
        <v>174</v>
      </c>
      <c r="J188" s="287"/>
      <c r="K188" s="356">
        <v>1067.79</v>
      </c>
      <c r="L188" s="359"/>
      <c r="M188" s="289"/>
      <c r="N188" s="357">
        <v>559</v>
      </c>
      <c r="O188" s="290">
        <f t="shared" si="59"/>
        <v>0.52351117729141494</v>
      </c>
      <c r="P188" s="290">
        <f t="shared" si="71"/>
        <v>0</v>
      </c>
      <c r="Q188" s="291">
        <f t="shared" si="60"/>
        <v>0</v>
      </c>
      <c r="R188" s="291">
        <f t="shared" si="72"/>
        <v>0</v>
      </c>
      <c r="S188" s="357">
        <v>31</v>
      </c>
      <c r="T188" s="292">
        <f t="shared" si="61"/>
        <v>167.7</v>
      </c>
      <c r="U188" s="254">
        <f t="shared" si="73"/>
        <v>1243.24</v>
      </c>
      <c r="V188" s="356">
        <v>1031961094</v>
      </c>
      <c r="W188" s="357">
        <v>10798</v>
      </c>
      <c r="X188" s="264">
        <f t="shared" si="62"/>
        <v>95569.65</v>
      </c>
      <c r="Y188" s="293">
        <f t="shared" si="63"/>
        <v>0.49639699999999998</v>
      </c>
      <c r="Z188" s="357">
        <v>68651</v>
      </c>
      <c r="AA188" s="293">
        <f t="shared" si="64"/>
        <v>0.56974499999999995</v>
      </c>
      <c r="AB188" s="293">
        <f t="shared" si="65"/>
        <v>0.481599</v>
      </c>
      <c r="AC188" s="294">
        <f t="shared" si="66"/>
        <v>0.481599</v>
      </c>
      <c r="AD188" s="295">
        <f t="shared" si="74"/>
        <v>0</v>
      </c>
      <c r="AE188" s="296">
        <f t="shared" si="75"/>
        <v>0.481599</v>
      </c>
      <c r="AF188" s="357">
        <v>0</v>
      </c>
      <c r="AG188" s="357">
        <v>0</v>
      </c>
      <c r="AH188" s="254">
        <f t="shared" si="76"/>
        <v>0</v>
      </c>
      <c r="AI188" s="9">
        <f t="shared" si="67"/>
        <v>0</v>
      </c>
      <c r="AJ188" s="9">
        <v>429</v>
      </c>
      <c r="AK188" s="9">
        <v>6</v>
      </c>
      <c r="AL188" s="9">
        <f t="shared" si="78"/>
        <v>600</v>
      </c>
      <c r="AM188" s="9">
        <f t="shared" si="79"/>
        <v>257400</v>
      </c>
      <c r="AN188" s="9">
        <f t="shared" si="80"/>
        <v>257400</v>
      </c>
      <c r="AO188" s="9">
        <f t="shared" si="68"/>
        <v>6900515</v>
      </c>
      <c r="AP188" s="9">
        <f t="shared" si="81"/>
        <v>7157915</v>
      </c>
      <c r="AQ188" s="9">
        <f t="shared" si="82"/>
        <v>8024957</v>
      </c>
      <c r="AR188" s="291">
        <v>8024957</v>
      </c>
      <c r="AS188" s="9">
        <f t="shared" si="83"/>
        <v>867042</v>
      </c>
      <c r="AT188" s="297" t="str">
        <f t="shared" si="84"/>
        <v>No</v>
      </c>
      <c r="AU188" s="357">
        <v>8024957</v>
      </c>
      <c r="AV188" s="291">
        <f t="shared" si="69"/>
        <v>72224.598599999998</v>
      </c>
      <c r="AW188" s="291">
        <f t="shared" si="85"/>
        <v>8024957</v>
      </c>
      <c r="AX188" s="291">
        <f t="shared" si="70"/>
        <v>8024957</v>
      </c>
      <c r="AY188" s="358">
        <f t="shared" si="86"/>
        <v>0</v>
      </c>
      <c r="AZ188" s="301"/>
      <c r="BA188" s="301"/>
      <c r="BB188" s="302"/>
      <c r="BC188" s="291"/>
      <c r="BD188" s="298"/>
      <c r="BF188" s="298"/>
      <c r="BG188" s="298"/>
      <c r="BK188" s="298"/>
      <c r="BL188" s="298"/>
      <c r="BM188" s="298"/>
      <c r="BN188" s="298"/>
      <c r="BO188" s="298"/>
    </row>
    <row r="189" spans="1:67" ht="15" x14ac:dyDescent="0.2">
      <c r="A189" s="10" t="s">
        <v>24</v>
      </c>
      <c r="B189" s="10">
        <v>1</v>
      </c>
      <c r="C189" s="276">
        <v>1</v>
      </c>
      <c r="D189" s="276">
        <v>0</v>
      </c>
      <c r="E189" s="276">
        <v>1</v>
      </c>
      <c r="F189" s="8">
        <v>10</v>
      </c>
      <c r="G189" s="359">
        <v>8</v>
      </c>
      <c r="H189" s="10">
        <v>163</v>
      </c>
      <c r="I189" s="7" t="s">
        <v>175</v>
      </c>
      <c r="J189" s="287"/>
      <c r="K189" s="356">
        <v>3189.92</v>
      </c>
      <c r="L189" s="359"/>
      <c r="M189" s="289"/>
      <c r="N189" s="357">
        <v>2319</v>
      </c>
      <c r="O189" s="290">
        <f t="shared" si="59"/>
        <v>0.72697747905903598</v>
      </c>
      <c r="P189" s="290">
        <f t="shared" si="71"/>
        <v>0.126977479059036</v>
      </c>
      <c r="Q189" s="291">
        <f t="shared" si="60"/>
        <v>405.04800000000012</v>
      </c>
      <c r="R189" s="291">
        <f t="shared" si="72"/>
        <v>60.757200000000012</v>
      </c>
      <c r="S189" s="357">
        <v>965</v>
      </c>
      <c r="T189" s="292">
        <f t="shared" si="61"/>
        <v>695.7</v>
      </c>
      <c r="U189" s="254">
        <f t="shared" si="73"/>
        <v>4187.6271999999999</v>
      </c>
      <c r="V189" s="356">
        <v>1355053737</v>
      </c>
      <c r="W189" s="357">
        <v>24688</v>
      </c>
      <c r="X189" s="264">
        <f t="shared" si="62"/>
        <v>54887.14</v>
      </c>
      <c r="Y189" s="293">
        <f t="shared" si="63"/>
        <v>0.28508800000000001</v>
      </c>
      <c r="Z189" s="357">
        <v>44091</v>
      </c>
      <c r="AA189" s="293">
        <f t="shared" si="64"/>
        <v>0.36591800000000002</v>
      </c>
      <c r="AB189" s="293">
        <f t="shared" si="65"/>
        <v>0.69066300000000003</v>
      </c>
      <c r="AC189" s="294">
        <f t="shared" si="66"/>
        <v>0.69066300000000003</v>
      </c>
      <c r="AD189" s="295">
        <f t="shared" si="74"/>
        <v>0.05</v>
      </c>
      <c r="AE189" s="296">
        <f t="shared" si="75"/>
        <v>0.74066300000000007</v>
      </c>
      <c r="AF189" s="357">
        <v>0</v>
      </c>
      <c r="AG189" s="357">
        <v>0</v>
      </c>
      <c r="AH189" s="254">
        <f t="shared" si="76"/>
        <v>0</v>
      </c>
      <c r="AI189" s="9">
        <f t="shared" si="67"/>
        <v>0</v>
      </c>
      <c r="AJ189" s="9">
        <v>0</v>
      </c>
      <c r="AK189" s="9">
        <f t="shared" si="77"/>
        <v>0</v>
      </c>
      <c r="AL189" s="9">
        <f t="shared" si="78"/>
        <v>0</v>
      </c>
      <c r="AM189" s="9">
        <f t="shared" si="79"/>
        <v>0</v>
      </c>
      <c r="AN189" s="9">
        <f t="shared" si="80"/>
        <v>0</v>
      </c>
      <c r="AO189" s="9">
        <f t="shared" si="68"/>
        <v>35746177</v>
      </c>
      <c r="AP189" s="9">
        <f t="shared" si="81"/>
        <v>35746177</v>
      </c>
      <c r="AQ189" s="9">
        <f t="shared" si="82"/>
        <v>35746177</v>
      </c>
      <c r="AR189" s="291">
        <v>26582071</v>
      </c>
      <c r="AS189" s="9">
        <f t="shared" si="83"/>
        <v>9164106</v>
      </c>
      <c r="AT189" s="297" t="str">
        <f t="shared" si="84"/>
        <v>Yes</v>
      </c>
      <c r="AU189" s="357">
        <v>28962979</v>
      </c>
      <c r="AV189" s="291">
        <f t="shared" si="69"/>
        <v>976893.69960000005</v>
      </c>
      <c r="AW189" s="291">
        <f t="shared" si="85"/>
        <v>29939872.6996</v>
      </c>
      <c r="AX189" s="291">
        <f t="shared" si="70"/>
        <v>29939872.6996</v>
      </c>
      <c r="AY189" s="358">
        <f t="shared" si="86"/>
        <v>976893.69959999993</v>
      </c>
      <c r="AZ189" s="301"/>
      <c r="BA189" s="301"/>
      <c r="BB189" s="302"/>
      <c r="BC189" s="291"/>
      <c r="BD189" s="298"/>
      <c r="BF189" s="298"/>
      <c r="BG189" s="298"/>
      <c r="BK189" s="298"/>
      <c r="BL189" s="298"/>
      <c r="BM189" s="298"/>
      <c r="BN189" s="298"/>
      <c r="BO189" s="298"/>
    </row>
    <row r="190" spans="1:67" ht="15" x14ac:dyDescent="0.2">
      <c r="A190" s="10" t="s">
        <v>14</v>
      </c>
      <c r="B190" s="10"/>
      <c r="C190" s="276">
        <v>1</v>
      </c>
      <c r="D190" s="276">
        <v>1</v>
      </c>
      <c r="E190" s="276"/>
      <c r="F190" s="8">
        <v>6</v>
      </c>
      <c r="G190" s="359">
        <v>38</v>
      </c>
      <c r="H190" s="10">
        <v>164</v>
      </c>
      <c r="I190" s="7" t="s">
        <v>176</v>
      </c>
      <c r="J190" s="287"/>
      <c r="K190" s="356">
        <v>3883.78</v>
      </c>
      <c r="L190" s="359"/>
      <c r="M190" s="289"/>
      <c r="N190" s="357">
        <v>1754</v>
      </c>
      <c r="O190" s="290">
        <f t="shared" si="59"/>
        <v>0.45162187353557615</v>
      </c>
      <c r="P190" s="290">
        <f t="shared" si="71"/>
        <v>0</v>
      </c>
      <c r="Q190" s="291">
        <f t="shared" si="60"/>
        <v>0</v>
      </c>
      <c r="R190" s="291">
        <f t="shared" si="72"/>
        <v>0</v>
      </c>
      <c r="S190" s="357">
        <v>128</v>
      </c>
      <c r="T190" s="292">
        <f t="shared" si="61"/>
        <v>526.20000000000005</v>
      </c>
      <c r="U190" s="254">
        <f t="shared" si="73"/>
        <v>4441.9800000000005</v>
      </c>
      <c r="V190" s="356">
        <v>4400606620</v>
      </c>
      <c r="W190" s="357">
        <v>28917</v>
      </c>
      <c r="X190" s="264">
        <f t="shared" si="62"/>
        <v>152180.60999999999</v>
      </c>
      <c r="Y190" s="293">
        <f t="shared" si="63"/>
        <v>0.790439</v>
      </c>
      <c r="Z190" s="357">
        <v>88986</v>
      </c>
      <c r="AA190" s="293">
        <f t="shared" si="64"/>
        <v>0.73850800000000005</v>
      </c>
      <c r="AB190" s="293">
        <f t="shared" si="65"/>
        <v>0.22514000000000001</v>
      </c>
      <c r="AC190" s="294">
        <f t="shared" si="66"/>
        <v>0.22514000000000001</v>
      </c>
      <c r="AD190" s="295">
        <f t="shared" si="74"/>
        <v>0</v>
      </c>
      <c r="AE190" s="296">
        <f t="shared" si="75"/>
        <v>0.22514000000000001</v>
      </c>
      <c r="AF190" s="357">
        <v>0</v>
      </c>
      <c r="AG190" s="357">
        <v>0</v>
      </c>
      <c r="AH190" s="254">
        <f t="shared" si="76"/>
        <v>0</v>
      </c>
      <c r="AI190" s="9">
        <f t="shared" si="67"/>
        <v>0</v>
      </c>
      <c r="AJ190" s="9">
        <v>0</v>
      </c>
      <c r="AK190" s="9">
        <f t="shared" si="77"/>
        <v>0</v>
      </c>
      <c r="AL190" s="9">
        <f t="shared" si="78"/>
        <v>0</v>
      </c>
      <c r="AM190" s="9">
        <f t="shared" si="79"/>
        <v>0</v>
      </c>
      <c r="AN190" s="9">
        <f t="shared" si="80"/>
        <v>0</v>
      </c>
      <c r="AO190" s="9">
        <f t="shared" si="68"/>
        <v>11525777</v>
      </c>
      <c r="AP190" s="9">
        <f t="shared" si="81"/>
        <v>11525777</v>
      </c>
      <c r="AQ190" s="9">
        <f t="shared" si="82"/>
        <v>12130392</v>
      </c>
      <c r="AR190" s="291">
        <v>12130392</v>
      </c>
      <c r="AS190" s="9">
        <f t="shared" si="83"/>
        <v>604615</v>
      </c>
      <c r="AT190" s="297" t="str">
        <f t="shared" si="84"/>
        <v>No</v>
      </c>
      <c r="AU190" s="357">
        <v>12130392</v>
      </c>
      <c r="AV190" s="291">
        <f t="shared" si="69"/>
        <v>50364.429499999998</v>
      </c>
      <c r="AW190" s="291">
        <f t="shared" si="85"/>
        <v>12130392</v>
      </c>
      <c r="AX190" s="291">
        <f t="shared" si="70"/>
        <v>12130392</v>
      </c>
      <c r="AY190" s="358">
        <f t="shared" si="86"/>
        <v>0</v>
      </c>
      <c r="AZ190" s="301"/>
      <c r="BA190" s="301"/>
      <c r="BB190" s="302"/>
      <c r="BC190" s="291"/>
      <c r="BD190" s="298"/>
      <c r="BF190" s="298"/>
      <c r="BG190" s="298"/>
      <c r="BK190" s="298"/>
      <c r="BL190" s="298"/>
      <c r="BM190" s="298"/>
      <c r="BN190" s="298"/>
      <c r="BO190" s="298"/>
    </row>
    <row r="191" spans="1:67" ht="15" x14ac:dyDescent="0.2">
      <c r="A191" s="10" t="s">
        <v>32</v>
      </c>
      <c r="B191" s="10"/>
      <c r="C191" s="276">
        <v>1</v>
      </c>
      <c r="D191" s="276">
        <v>1</v>
      </c>
      <c r="E191" s="276"/>
      <c r="F191" s="8">
        <v>7</v>
      </c>
      <c r="G191" s="355">
        <v>44</v>
      </c>
      <c r="H191" s="10">
        <v>165</v>
      </c>
      <c r="I191" s="7" t="s">
        <v>177</v>
      </c>
      <c r="J191" s="287"/>
      <c r="K191" s="356">
        <v>1561.69</v>
      </c>
      <c r="L191" s="355"/>
      <c r="M191" s="289"/>
      <c r="N191" s="357">
        <v>602</v>
      </c>
      <c r="O191" s="290">
        <f t="shared" si="59"/>
        <v>0.38547983274529513</v>
      </c>
      <c r="P191" s="290">
        <f t="shared" si="71"/>
        <v>0</v>
      </c>
      <c r="Q191" s="291">
        <f t="shared" si="60"/>
        <v>0</v>
      </c>
      <c r="R191" s="291">
        <f t="shared" si="72"/>
        <v>0</v>
      </c>
      <c r="S191" s="357">
        <v>98</v>
      </c>
      <c r="T191" s="292">
        <f t="shared" si="61"/>
        <v>180.6</v>
      </c>
      <c r="U191" s="254">
        <f t="shared" si="73"/>
        <v>1766.79</v>
      </c>
      <c r="V191" s="356">
        <v>2029578662.3299999</v>
      </c>
      <c r="W191" s="357">
        <v>12613</v>
      </c>
      <c r="X191" s="264">
        <f t="shared" si="62"/>
        <v>160911.65</v>
      </c>
      <c r="Y191" s="293">
        <f t="shared" si="63"/>
        <v>0.83578799999999998</v>
      </c>
      <c r="Z191" s="357">
        <v>66846</v>
      </c>
      <c r="AA191" s="293">
        <f t="shared" si="64"/>
        <v>0.55476499999999995</v>
      </c>
      <c r="AB191" s="293">
        <f t="shared" si="65"/>
        <v>0.24851899999999999</v>
      </c>
      <c r="AC191" s="294">
        <f t="shared" si="66"/>
        <v>0.24851899999999999</v>
      </c>
      <c r="AD191" s="295">
        <f t="shared" si="74"/>
        <v>0</v>
      </c>
      <c r="AE191" s="296">
        <f t="shared" si="75"/>
        <v>0.24851899999999999</v>
      </c>
      <c r="AF191" s="357">
        <v>0</v>
      </c>
      <c r="AG191" s="357">
        <v>0</v>
      </c>
      <c r="AH191" s="254">
        <f t="shared" si="76"/>
        <v>0</v>
      </c>
      <c r="AI191" s="9">
        <f t="shared" si="67"/>
        <v>0</v>
      </c>
      <c r="AJ191" s="9">
        <v>0</v>
      </c>
      <c r="AK191" s="9">
        <f t="shared" si="77"/>
        <v>0</v>
      </c>
      <c r="AL191" s="9">
        <f t="shared" si="78"/>
        <v>0</v>
      </c>
      <c r="AM191" s="9">
        <f t="shared" si="79"/>
        <v>0</v>
      </c>
      <c r="AN191" s="9">
        <f t="shared" si="80"/>
        <v>0</v>
      </c>
      <c r="AO191" s="9">
        <f t="shared" si="68"/>
        <v>5060407</v>
      </c>
      <c r="AP191" s="9">
        <f t="shared" si="81"/>
        <v>5060407</v>
      </c>
      <c r="AQ191" s="9">
        <f t="shared" si="82"/>
        <v>5167806</v>
      </c>
      <c r="AR191" s="291">
        <v>5167806</v>
      </c>
      <c r="AS191" s="9">
        <f t="shared" si="83"/>
        <v>107399</v>
      </c>
      <c r="AT191" s="297" t="str">
        <f t="shared" si="84"/>
        <v>No</v>
      </c>
      <c r="AU191" s="357">
        <v>5225299</v>
      </c>
      <c r="AV191" s="291">
        <f t="shared" si="69"/>
        <v>8946.3366999999998</v>
      </c>
      <c r="AW191" s="291">
        <f t="shared" si="85"/>
        <v>5225299</v>
      </c>
      <c r="AX191" s="291">
        <f t="shared" si="70"/>
        <v>5225299</v>
      </c>
      <c r="AY191" s="358">
        <f t="shared" si="86"/>
        <v>0</v>
      </c>
      <c r="AZ191" s="301"/>
      <c r="BA191" s="301"/>
      <c r="BB191" s="302"/>
      <c r="BC191" s="291"/>
      <c r="BD191" s="298"/>
      <c r="BF191" s="298"/>
      <c r="BG191" s="298"/>
      <c r="BK191" s="298"/>
      <c r="BL191" s="298"/>
      <c r="BM191" s="298"/>
      <c r="BN191" s="298"/>
      <c r="BO191" s="298"/>
    </row>
    <row r="192" spans="1:67" ht="15.75" customHeight="1" x14ac:dyDescent="0.2">
      <c r="A192" s="10" t="s">
        <v>32</v>
      </c>
      <c r="B192" s="10"/>
      <c r="C192" s="276"/>
      <c r="D192" s="276"/>
      <c r="E192" s="276"/>
      <c r="F192" s="8">
        <v>7</v>
      </c>
      <c r="G192" s="355">
        <v>53</v>
      </c>
      <c r="H192" s="10">
        <v>166</v>
      </c>
      <c r="I192" s="7" t="s">
        <v>178</v>
      </c>
      <c r="J192" s="287"/>
      <c r="K192" s="356">
        <v>2293.6799999999998</v>
      </c>
      <c r="L192" s="355"/>
      <c r="M192" s="289"/>
      <c r="N192" s="357">
        <v>705</v>
      </c>
      <c r="O192" s="290">
        <f t="shared" si="59"/>
        <v>0.3073663283457152</v>
      </c>
      <c r="P192" s="290">
        <f t="shared" si="71"/>
        <v>0</v>
      </c>
      <c r="Q192" s="291">
        <f t="shared" si="60"/>
        <v>0</v>
      </c>
      <c r="R192" s="291">
        <f t="shared" si="72"/>
        <v>0</v>
      </c>
      <c r="S192" s="357">
        <v>75</v>
      </c>
      <c r="T192" s="292">
        <f t="shared" si="61"/>
        <v>211.5</v>
      </c>
      <c r="U192" s="254">
        <f t="shared" si="73"/>
        <v>2523.9299999999998</v>
      </c>
      <c r="V192" s="356">
        <v>1811486207</v>
      </c>
      <c r="W192" s="357">
        <v>16652</v>
      </c>
      <c r="X192" s="264">
        <f t="shared" si="62"/>
        <v>108784.9</v>
      </c>
      <c r="Y192" s="293">
        <f t="shared" si="63"/>
        <v>0.56503800000000004</v>
      </c>
      <c r="Z192" s="357">
        <v>86786</v>
      </c>
      <c r="AA192" s="293">
        <f t="shared" si="64"/>
        <v>0.72024999999999995</v>
      </c>
      <c r="AB192" s="293">
        <f t="shared" si="65"/>
        <v>0.38839800000000002</v>
      </c>
      <c r="AC192" s="294">
        <f t="shared" si="66"/>
        <v>0.38839800000000002</v>
      </c>
      <c r="AD192" s="295">
        <f t="shared" si="74"/>
        <v>0</v>
      </c>
      <c r="AE192" s="296">
        <f t="shared" si="75"/>
        <v>0.38839800000000002</v>
      </c>
      <c r="AF192" s="357">
        <v>0</v>
      </c>
      <c r="AG192" s="357">
        <v>0</v>
      </c>
      <c r="AH192" s="254">
        <f t="shared" si="76"/>
        <v>0</v>
      </c>
      <c r="AI192" s="9">
        <f t="shared" si="67"/>
        <v>0</v>
      </c>
      <c r="AJ192" s="9">
        <v>0</v>
      </c>
      <c r="AK192" s="9">
        <f t="shared" si="77"/>
        <v>0</v>
      </c>
      <c r="AL192" s="9">
        <f t="shared" si="78"/>
        <v>0</v>
      </c>
      <c r="AM192" s="9">
        <f t="shared" si="79"/>
        <v>0</v>
      </c>
      <c r="AN192" s="9">
        <f t="shared" si="80"/>
        <v>0</v>
      </c>
      <c r="AO192" s="9">
        <f t="shared" si="68"/>
        <v>11297835</v>
      </c>
      <c r="AP192" s="9">
        <f t="shared" si="81"/>
        <v>11297835</v>
      </c>
      <c r="AQ192" s="9">
        <f t="shared" si="82"/>
        <v>11297835</v>
      </c>
      <c r="AR192" s="291">
        <v>13423576</v>
      </c>
      <c r="AS192" s="9">
        <f t="shared" si="83"/>
        <v>2125741</v>
      </c>
      <c r="AT192" s="297" t="str">
        <f t="shared" si="84"/>
        <v>No</v>
      </c>
      <c r="AU192" s="357">
        <v>12387171</v>
      </c>
      <c r="AV192" s="291">
        <f t="shared" si="69"/>
        <v>177074.22529999999</v>
      </c>
      <c r="AW192" s="291">
        <f t="shared" si="85"/>
        <v>12387171</v>
      </c>
      <c r="AX192" s="291">
        <f t="shared" si="70"/>
        <v>12387171</v>
      </c>
      <c r="AY192" s="358">
        <f t="shared" si="86"/>
        <v>0</v>
      </c>
      <c r="AZ192" s="301"/>
      <c r="BA192" s="301"/>
      <c r="BB192" s="302"/>
      <c r="BC192" s="291"/>
      <c r="BD192" s="298"/>
      <c r="BF192" s="298"/>
      <c r="BG192" s="298"/>
      <c r="BK192" s="298"/>
      <c r="BL192" s="298"/>
      <c r="BM192" s="298"/>
      <c r="BN192" s="298"/>
      <c r="BO192" s="298"/>
    </row>
    <row r="193" spans="1:67" ht="15" x14ac:dyDescent="0.2">
      <c r="A193" s="10" t="s">
        <v>10</v>
      </c>
      <c r="B193" s="10"/>
      <c r="C193" s="276"/>
      <c r="D193" s="276"/>
      <c r="E193" s="276"/>
      <c r="F193" s="8">
        <v>2</v>
      </c>
      <c r="G193" s="355">
        <v>127</v>
      </c>
      <c r="H193" s="10">
        <v>167</v>
      </c>
      <c r="I193" s="7" t="s">
        <v>179</v>
      </c>
      <c r="J193" s="287"/>
      <c r="K193" s="356">
        <v>1535.25</v>
      </c>
      <c r="L193" s="355"/>
      <c r="M193" s="289"/>
      <c r="N193" s="357">
        <v>214</v>
      </c>
      <c r="O193" s="290">
        <f t="shared" si="59"/>
        <v>0.13939097866796937</v>
      </c>
      <c r="P193" s="290">
        <f t="shared" si="71"/>
        <v>0</v>
      </c>
      <c r="Q193" s="291">
        <f t="shared" si="60"/>
        <v>0</v>
      </c>
      <c r="R193" s="291">
        <f t="shared" si="72"/>
        <v>0</v>
      </c>
      <c r="S193" s="357">
        <v>32</v>
      </c>
      <c r="T193" s="292">
        <f t="shared" si="61"/>
        <v>64.2</v>
      </c>
      <c r="U193" s="254">
        <f t="shared" si="73"/>
        <v>1607.45</v>
      </c>
      <c r="V193" s="356">
        <v>1671279204.6700001</v>
      </c>
      <c r="W193" s="357">
        <v>8868</v>
      </c>
      <c r="X193" s="264">
        <f t="shared" si="62"/>
        <v>188461.8</v>
      </c>
      <c r="Y193" s="293">
        <f t="shared" si="63"/>
        <v>0.97888600000000003</v>
      </c>
      <c r="Z193" s="357">
        <v>142188</v>
      </c>
      <c r="AA193" s="293">
        <f t="shared" si="64"/>
        <v>1.18004</v>
      </c>
      <c r="AB193" s="293">
        <f t="shared" si="65"/>
        <v>-3.9232000000000003E-2</v>
      </c>
      <c r="AC193" s="294">
        <f t="shared" si="66"/>
        <v>0.01</v>
      </c>
      <c r="AD193" s="295">
        <f t="shared" si="74"/>
        <v>0</v>
      </c>
      <c r="AE193" s="296">
        <f t="shared" si="75"/>
        <v>0.01</v>
      </c>
      <c r="AF193" s="357">
        <v>703</v>
      </c>
      <c r="AG193" s="357">
        <v>6</v>
      </c>
      <c r="AH193" s="254">
        <f t="shared" si="76"/>
        <v>600</v>
      </c>
      <c r="AI193" s="9">
        <f t="shared" si="67"/>
        <v>421800</v>
      </c>
      <c r="AJ193" s="9">
        <v>0</v>
      </c>
      <c r="AK193" s="9">
        <f t="shared" si="77"/>
        <v>0</v>
      </c>
      <c r="AL193" s="9">
        <f t="shared" si="78"/>
        <v>0</v>
      </c>
      <c r="AM193" s="9">
        <f t="shared" si="79"/>
        <v>0</v>
      </c>
      <c r="AN193" s="9">
        <f t="shared" si="80"/>
        <v>421800</v>
      </c>
      <c r="AO193" s="9">
        <f t="shared" si="68"/>
        <v>185259</v>
      </c>
      <c r="AP193" s="9">
        <f t="shared" si="81"/>
        <v>607059</v>
      </c>
      <c r="AQ193" s="9">
        <f t="shared" si="82"/>
        <v>607059</v>
      </c>
      <c r="AR193" s="291">
        <v>656185</v>
      </c>
      <c r="AS193" s="9">
        <f t="shared" si="83"/>
        <v>49126</v>
      </c>
      <c r="AT193" s="297" t="str">
        <f t="shared" si="84"/>
        <v>No</v>
      </c>
      <c r="AU193" s="357">
        <v>471575</v>
      </c>
      <c r="AV193" s="291">
        <f t="shared" si="69"/>
        <v>4092.1958</v>
      </c>
      <c r="AW193" s="291">
        <f t="shared" si="85"/>
        <v>471575</v>
      </c>
      <c r="AX193" s="291">
        <f t="shared" si="70"/>
        <v>471575</v>
      </c>
      <c r="AY193" s="358">
        <f t="shared" si="86"/>
        <v>0</v>
      </c>
      <c r="AZ193" s="301"/>
      <c r="BA193" s="301"/>
      <c r="BB193" s="302"/>
      <c r="BC193" s="291"/>
      <c r="BD193" s="298"/>
      <c r="BF193" s="298"/>
      <c r="BG193" s="298"/>
      <c r="BK193" s="298"/>
      <c r="BL193" s="298"/>
      <c r="BM193" s="298"/>
      <c r="BN193" s="298"/>
      <c r="BO193" s="298"/>
    </row>
    <row r="194" spans="1:67" ht="15" x14ac:dyDescent="0.2">
      <c r="A194" s="10" t="s">
        <v>4</v>
      </c>
      <c r="B194" s="10"/>
      <c r="C194" s="276"/>
      <c r="D194" s="276"/>
      <c r="E194" s="276"/>
      <c r="F194" s="8">
        <v>4</v>
      </c>
      <c r="G194" s="355">
        <v>113</v>
      </c>
      <c r="H194" s="10">
        <v>168</v>
      </c>
      <c r="I194" s="7" t="s">
        <v>180</v>
      </c>
      <c r="J194" s="287"/>
      <c r="K194" s="356">
        <v>993.12</v>
      </c>
      <c r="L194" s="355"/>
      <c r="M194" s="289"/>
      <c r="N194" s="357">
        <v>158</v>
      </c>
      <c r="O194" s="290">
        <f t="shared" si="59"/>
        <v>0.15909457064604479</v>
      </c>
      <c r="P194" s="290">
        <f t="shared" si="71"/>
        <v>0</v>
      </c>
      <c r="Q194" s="291">
        <f t="shared" si="60"/>
        <v>0</v>
      </c>
      <c r="R194" s="291">
        <f t="shared" si="72"/>
        <v>0</v>
      </c>
      <c r="S194" s="357">
        <v>13</v>
      </c>
      <c r="T194" s="292">
        <f t="shared" si="61"/>
        <v>47.4</v>
      </c>
      <c r="U194" s="254">
        <f t="shared" si="73"/>
        <v>1043.77</v>
      </c>
      <c r="V194" s="356">
        <v>1536756728</v>
      </c>
      <c r="W194" s="357">
        <v>9617</v>
      </c>
      <c r="X194" s="264">
        <f t="shared" si="62"/>
        <v>159795.85</v>
      </c>
      <c r="Y194" s="293">
        <f t="shared" si="63"/>
        <v>0.82999299999999998</v>
      </c>
      <c r="Z194" s="357">
        <v>78025</v>
      </c>
      <c r="AA194" s="293">
        <f t="shared" si="64"/>
        <v>0.64754100000000003</v>
      </c>
      <c r="AB194" s="293">
        <f t="shared" si="65"/>
        <v>0.224743</v>
      </c>
      <c r="AC194" s="294">
        <f t="shared" si="66"/>
        <v>0.224743</v>
      </c>
      <c r="AD194" s="295">
        <f t="shared" si="74"/>
        <v>0</v>
      </c>
      <c r="AE194" s="296">
        <f t="shared" si="75"/>
        <v>0.224743</v>
      </c>
      <c r="AF194" s="357">
        <v>993</v>
      </c>
      <c r="AG194" s="357">
        <v>13</v>
      </c>
      <c r="AH194" s="254">
        <f t="shared" si="76"/>
        <v>1300</v>
      </c>
      <c r="AI194" s="9">
        <f t="shared" si="67"/>
        <v>1290900</v>
      </c>
      <c r="AJ194" s="9">
        <v>0</v>
      </c>
      <c r="AK194" s="9">
        <f t="shared" si="77"/>
        <v>0</v>
      </c>
      <c r="AL194" s="9">
        <f t="shared" si="78"/>
        <v>0</v>
      </c>
      <c r="AM194" s="9">
        <f t="shared" si="79"/>
        <v>0</v>
      </c>
      <c r="AN194" s="9">
        <f t="shared" si="80"/>
        <v>1290900</v>
      </c>
      <c r="AO194" s="9">
        <f t="shared" si="68"/>
        <v>2703535</v>
      </c>
      <c r="AP194" s="9">
        <f t="shared" si="81"/>
        <v>3994435</v>
      </c>
      <c r="AQ194" s="9">
        <f t="shared" si="82"/>
        <v>3994435</v>
      </c>
      <c r="AR194" s="291">
        <v>1276811</v>
      </c>
      <c r="AS194" s="9">
        <f t="shared" si="83"/>
        <v>2717624</v>
      </c>
      <c r="AT194" s="297" t="str">
        <f t="shared" si="84"/>
        <v>Yes</v>
      </c>
      <c r="AU194" s="357">
        <v>1539859</v>
      </c>
      <c r="AV194" s="291">
        <f t="shared" si="69"/>
        <v>289698.71840000001</v>
      </c>
      <c r="AW194" s="291">
        <f t="shared" si="85"/>
        <v>1829557.7184000001</v>
      </c>
      <c r="AX194" s="291">
        <f t="shared" si="70"/>
        <v>1829557.7184000001</v>
      </c>
      <c r="AY194" s="358">
        <f t="shared" si="86"/>
        <v>289698.71840000013</v>
      </c>
      <c r="AZ194" s="301"/>
      <c r="BA194" s="301"/>
      <c r="BB194" s="302"/>
      <c r="BC194" s="291"/>
      <c r="BD194" s="298"/>
      <c r="BF194" s="298"/>
      <c r="BG194" s="298"/>
      <c r="BK194" s="298"/>
      <c r="BL194" s="298"/>
      <c r="BM194" s="298"/>
      <c r="BN194" s="298"/>
      <c r="BO194" s="298"/>
    </row>
    <row r="195" spans="1:67" ht="15" x14ac:dyDescent="0.2">
      <c r="A195" s="10" t="s">
        <v>8</v>
      </c>
      <c r="B195" s="10"/>
      <c r="C195" s="276"/>
      <c r="D195" s="276"/>
      <c r="E195" s="276"/>
      <c r="F195" s="8">
        <v>7</v>
      </c>
      <c r="G195" s="355">
        <v>75</v>
      </c>
      <c r="H195" s="10">
        <v>169</v>
      </c>
      <c r="I195" s="7" t="s">
        <v>181</v>
      </c>
      <c r="J195" s="287"/>
      <c r="K195" s="356">
        <v>1267.1400000000001</v>
      </c>
      <c r="L195" s="355"/>
      <c r="M195" s="289"/>
      <c r="N195" s="357">
        <v>159</v>
      </c>
      <c r="O195" s="290">
        <f t="shared" si="59"/>
        <v>0.12547942610919077</v>
      </c>
      <c r="P195" s="290">
        <f t="shared" si="71"/>
        <v>0</v>
      </c>
      <c r="Q195" s="291">
        <f t="shared" si="60"/>
        <v>0</v>
      </c>
      <c r="R195" s="291">
        <f t="shared" si="72"/>
        <v>0</v>
      </c>
      <c r="S195" s="357">
        <v>6</v>
      </c>
      <c r="T195" s="292">
        <f t="shared" si="61"/>
        <v>47.7</v>
      </c>
      <c r="U195" s="254">
        <f t="shared" si="73"/>
        <v>1316.3400000000001</v>
      </c>
      <c r="V195" s="356">
        <v>1114231023.6700001</v>
      </c>
      <c r="W195" s="357">
        <v>7813</v>
      </c>
      <c r="X195" s="264">
        <f t="shared" si="62"/>
        <v>142612.44</v>
      </c>
      <c r="Y195" s="293">
        <f t="shared" si="63"/>
        <v>0.74074099999999998</v>
      </c>
      <c r="Z195" s="357">
        <v>89531</v>
      </c>
      <c r="AA195" s="293">
        <f t="shared" si="64"/>
        <v>0.743031</v>
      </c>
      <c r="AB195" s="293">
        <f t="shared" si="65"/>
        <v>0.25857200000000002</v>
      </c>
      <c r="AC195" s="294">
        <f t="shared" si="66"/>
        <v>0.25857200000000002</v>
      </c>
      <c r="AD195" s="295">
        <f t="shared" si="74"/>
        <v>0</v>
      </c>
      <c r="AE195" s="296">
        <f t="shared" si="75"/>
        <v>0.25857200000000002</v>
      </c>
      <c r="AF195" s="357">
        <v>0</v>
      </c>
      <c r="AG195" s="357">
        <v>0</v>
      </c>
      <c r="AH195" s="254">
        <f t="shared" si="76"/>
        <v>0</v>
      </c>
      <c r="AI195" s="9">
        <f t="shared" si="67"/>
        <v>0</v>
      </c>
      <c r="AJ195" s="9">
        <v>449</v>
      </c>
      <c r="AK195" s="9">
        <f t="shared" si="77"/>
        <v>4</v>
      </c>
      <c r="AL195" s="9">
        <f t="shared" si="78"/>
        <v>400</v>
      </c>
      <c r="AM195" s="9">
        <f t="shared" si="79"/>
        <v>179600</v>
      </c>
      <c r="AN195" s="9">
        <f t="shared" si="80"/>
        <v>179600</v>
      </c>
      <c r="AO195" s="9">
        <f t="shared" si="68"/>
        <v>3922749</v>
      </c>
      <c r="AP195" s="9">
        <f t="shared" si="81"/>
        <v>4102349</v>
      </c>
      <c r="AQ195" s="9">
        <f t="shared" si="82"/>
        <v>4102349</v>
      </c>
      <c r="AR195" s="291">
        <v>5356542</v>
      </c>
      <c r="AS195" s="9">
        <f t="shared" si="83"/>
        <v>1254193</v>
      </c>
      <c r="AT195" s="297" t="str">
        <f t="shared" si="84"/>
        <v>No</v>
      </c>
      <c r="AU195" s="357">
        <v>4990532</v>
      </c>
      <c r="AV195" s="291">
        <f t="shared" si="69"/>
        <v>104474.2769</v>
      </c>
      <c r="AW195" s="291">
        <f t="shared" si="85"/>
        <v>4990532</v>
      </c>
      <c r="AX195" s="291">
        <f t="shared" si="70"/>
        <v>4990532</v>
      </c>
      <c r="AY195" s="358">
        <f t="shared" si="86"/>
        <v>0</v>
      </c>
      <c r="AZ195" s="301"/>
      <c r="BA195" s="301"/>
      <c r="BB195" s="302"/>
      <c r="BC195" s="291"/>
      <c r="BD195" s="298"/>
      <c r="BF195" s="298"/>
      <c r="BG195" s="298"/>
      <c r="BK195" s="298"/>
      <c r="BL195" s="298"/>
      <c r="BM195" s="298"/>
      <c r="BN195" s="298"/>
      <c r="BO195" s="298"/>
    </row>
    <row r="196" spans="1:67" x14ac:dyDescent="0.15">
      <c r="V196" s="8"/>
      <c r="X196" s="8"/>
      <c r="AF196" s="9"/>
    </row>
    <row r="197" spans="1:67" ht="15.75" customHeight="1" x14ac:dyDescent="0.15">
      <c r="A197" s="10"/>
      <c r="B197" s="10"/>
      <c r="C197" s="276"/>
      <c r="D197" s="276"/>
      <c r="E197" s="276"/>
      <c r="F197" s="8"/>
      <c r="G197" s="1"/>
      <c r="H197" s="10"/>
      <c r="J197" s="287"/>
      <c r="K197" s="1"/>
      <c r="L197" s="288"/>
      <c r="M197" s="289"/>
      <c r="N197" s="1"/>
      <c r="O197" s="290"/>
      <c r="P197" s="290"/>
      <c r="Q197" s="291"/>
      <c r="R197" s="291"/>
      <c r="S197" s="1"/>
      <c r="T197" s="292"/>
      <c r="U197" s="254"/>
      <c r="V197" s="1"/>
      <c r="W197" s="1"/>
      <c r="X197" s="264"/>
      <c r="Y197" s="293"/>
      <c r="Z197" s="1"/>
      <c r="AA197" s="293"/>
      <c r="AB197" s="293"/>
      <c r="AC197" s="294"/>
      <c r="AD197" s="295"/>
      <c r="AE197" s="296"/>
      <c r="AF197" s="1"/>
      <c r="AG197" s="1"/>
      <c r="AH197" s="254"/>
      <c r="AI197" s="9"/>
      <c r="AJ197" s="9"/>
      <c r="AK197" s="9"/>
      <c r="AL197" s="9"/>
      <c r="AM197" s="9"/>
      <c r="AN197" s="9"/>
      <c r="AO197" s="9"/>
      <c r="AP197" s="9"/>
      <c r="AQ197" s="9"/>
      <c r="AR197" s="9"/>
      <c r="AS197" s="9"/>
      <c r="AT197" s="9"/>
      <c r="AU197" s="291"/>
      <c r="AV197" s="291"/>
      <c r="AW197" s="291"/>
      <c r="AX197" s="291"/>
      <c r="AY197" s="301"/>
      <c r="AZ197" s="301"/>
      <c r="BA197" s="301"/>
      <c r="BB197" s="302"/>
      <c r="BC197" s="291"/>
      <c r="BD197" s="298"/>
      <c r="BF197" s="298"/>
      <c r="BG197" s="298"/>
      <c r="BK197" s="298"/>
      <c r="BL197" s="298"/>
      <c r="BM197" s="298"/>
      <c r="BN197" s="298"/>
      <c r="BO197" s="298"/>
    </row>
    <row r="198" spans="1:67" x14ac:dyDescent="0.15">
      <c r="K198" s="254"/>
      <c r="L198" s="254"/>
      <c r="M198" s="254"/>
      <c r="U198" s="254"/>
      <c r="AF198" s="9"/>
    </row>
    <row r="199" spans="1:67" x14ac:dyDescent="0.15">
      <c r="K199" s="254"/>
      <c r="L199" s="254"/>
      <c r="M199" s="254"/>
      <c r="U199" s="254"/>
      <c r="AF199" s="9"/>
    </row>
    <row r="200" spans="1:67" x14ac:dyDescent="0.15">
      <c r="K200" s="254"/>
      <c r="L200" s="254"/>
      <c r="M200" s="254"/>
      <c r="U200" s="254"/>
      <c r="AF200" s="9"/>
    </row>
    <row r="201" spans="1:67" x14ac:dyDescent="0.15">
      <c r="K201" s="254"/>
      <c r="L201" s="254"/>
      <c r="M201" s="254"/>
      <c r="U201" s="254"/>
    </row>
    <row r="202" spans="1:67" x14ac:dyDescent="0.15">
      <c r="K202" s="254"/>
      <c r="L202" s="254"/>
      <c r="M202" s="254"/>
      <c r="U202" s="254"/>
    </row>
    <row r="203" spans="1:67" x14ac:dyDescent="0.15">
      <c r="K203" s="254"/>
      <c r="L203" s="254"/>
      <c r="M203" s="254"/>
      <c r="U203" s="254"/>
    </row>
    <row r="204" spans="1:67" x14ac:dyDescent="0.15">
      <c r="K204" s="254"/>
      <c r="L204" s="254"/>
      <c r="M204" s="254"/>
      <c r="U204" s="254"/>
    </row>
    <row r="205" spans="1:67" x14ac:dyDescent="0.15">
      <c r="K205" s="254"/>
      <c r="L205" s="254"/>
      <c r="M205" s="254"/>
      <c r="U205" s="254"/>
    </row>
    <row r="206" spans="1:67" x14ac:dyDescent="0.15">
      <c r="A206" s="8"/>
      <c r="B206" s="8"/>
      <c r="C206" s="8"/>
      <c r="D206" s="8"/>
      <c r="E206" s="8"/>
      <c r="F206" s="8"/>
      <c r="G206" s="8"/>
      <c r="H206" s="8"/>
      <c r="I206" s="8"/>
      <c r="J206" s="8"/>
      <c r="K206" s="254"/>
      <c r="L206" s="254"/>
      <c r="M206" s="254"/>
      <c r="U206" s="254"/>
    </row>
    <row r="207" spans="1:67" x14ac:dyDescent="0.15">
      <c r="A207" s="8"/>
      <c r="B207" s="8"/>
      <c r="C207" s="8"/>
      <c r="D207" s="8"/>
      <c r="E207" s="8"/>
      <c r="F207" s="8"/>
      <c r="G207" s="8"/>
      <c r="H207" s="8"/>
      <c r="I207" s="8"/>
      <c r="J207" s="8"/>
      <c r="K207" s="254"/>
      <c r="L207" s="254"/>
      <c r="M207" s="254"/>
      <c r="U207" s="254"/>
    </row>
    <row r="208" spans="1:67" x14ac:dyDescent="0.15">
      <c r="A208" s="8"/>
      <c r="B208" s="8"/>
      <c r="C208" s="8"/>
      <c r="D208" s="8"/>
      <c r="E208" s="8"/>
      <c r="F208" s="8"/>
      <c r="G208" s="8"/>
      <c r="H208" s="8"/>
      <c r="I208" s="8"/>
      <c r="J208" s="8"/>
      <c r="K208" s="254"/>
      <c r="L208" s="254"/>
      <c r="M208" s="254"/>
      <c r="U208" s="254"/>
    </row>
    <row r="209" spans="11:54" s="8" customFormat="1" x14ac:dyDescent="0.15">
      <c r="K209" s="254"/>
      <c r="L209" s="254"/>
      <c r="M209" s="254"/>
      <c r="N209" s="7"/>
      <c r="O209" s="7"/>
      <c r="P209" s="7"/>
      <c r="Q209" s="7"/>
      <c r="R209" s="7"/>
      <c r="S209" s="7"/>
      <c r="T209" s="7"/>
      <c r="U209" s="254"/>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17"/>
      <c r="BB209" s="17"/>
    </row>
    <row r="210" spans="11:54" s="8" customFormat="1" x14ac:dyDescent="0.15">
      <c r="K210" s="254"/>
      <c r="L210" s="254"/>
      <c r="M210" s="254"/>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17"/>
      <c r="BB210" s="17"/>
    </row>
    <row r="211" spans="11:54" s="8" customFormat="1" x14ac:dyDescent="0.15">
      <c r="K211" s="254"/>
      <c r="L211" s="254"/>
      <c r="M211" s="254"/>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17"/>
      <c r="BB211" s="17"/>
    </row>
    <row r="212" spans="11:54" s="8" customFormat="1" x14ac:dyDescent="0.15">
      <c r="K212" s="254"/>
      <c r="L212" s="254"/>
      <c r="M212" s="254"/>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17"/>
      <c r="BB212" s="17"/>
    </row>
    <row r="213" spans="11:54" s="8" customFormat="1" x14ac:dyDescent="0.15">
      <c r="K213" s="254"/>
      <c r="L213" s="254"/>
      <c r="M213" s="254"/>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17"/>
      <c r="BB213" s="17"/>
    </row>
    <row r="214" spans="11:54" s="8" customFormat="1" x14ac:dyDescent="0.15">
      <c r="K214" s="254"/>
      <c r="L214" s="254"/>
      <c r="M214" s="254"/>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17"/>
      <c r="BB214" s="17"/>
    </row>
    <row r="215" spans="11:54" s="8" customFormat="1" x14ac:dyDescent="0.15">
      <c r="K215" s="254"/>
      <c r="L215" s="254"/>
      <c r="M215" s="254"/>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17"/>
      <c r="BB215" s="17"/>
    </row>
    <row r="216" spans="11:54" s="8" customFormat="1" x14ac:dyDescent="0.15">
      <c r="K216" s="254"/>
      <c r="L216" s="254"/>
      <c r="M216" s="254"/>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17"/>
      <c r="BB216" s="17"/>
    </row>
    <row r="217" spans="11:54" s="8" customFormat="1" x14ac:dyDescent="0.15">
      <c r="K217" s="254"/>
      <c r="L217" s="254"/>
      <c r="M217" s="254"/>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17"/>
      <c r="BB217" s="17"/>
    </row>
    <row r="218" spans="11:54" s="8" customFormat="1" x14ac:dyDescent="0.15">
      <c r="K218" s="254"/>
      <c r="L218" s="254"/>
      <c r="M218" s="254"/>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17"/>
      <c r="BB218" s="17"/>
    </row>
    <row r="219" spans="11:54" s="8" customFormat="1" x14ac:dyDescent="0.15">
      <c r="K219" s="254"/>
      <c r="L219" s="254"/>
      <c r="M219" s="254"/>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17"/>
      <c r="BB219" s="17"/>
    </row>
    <row r="220" spans="11:54" s="8" customFormat="1" x14ac:dyDescent="0.15">
      <c r="K220" s="254"/>
      <c r="L220" s="254"/>
      <c r="M220" s="254"/>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17"/>
      <c r="BB220" s="17"/>
    </row>
    <row r="221" spans="11:54" s="8" customFormat="1" x14ac:dyDescent="0.15">
      <c r="K221" s="254"/>
      <c r="L221" s="254"/>
      <c r="M221" s="254"/>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17"/>
      <c r="BB221" s="17"/>
    </row>
    <row r="222" spans="11:54" s="7" customFormat="1" x14ac:dyDescent="0.15">
      <c r="K222" s="254"/>
      <c r="L222" s="254"/>
      <c r="M222" s="254"/>
    </row>
    <row r="223" spans="11:54" s="7" customFormat="1" x14ac:dyDescent="0.15">
      <c r="K223" s="254"/>
      <c r="L223" s="254"/>
      <c r="M223" s="254"/>
    </row>
    <row r="224" spans="11:54" s="7" customFormat="1" x14ac:dyDescent="0.15">
      <c r="K224" s="254"/>
      <c r="L224" s="254"/>
      <c r="M224" s="254"/>
    </row>
    <row r="225" spans="1:55" s="7" customFormat="1" x14ac:dyDescent="0.15">
      <c r="K225" s="254"/>
      <c r="L225" s="254"/>
      <c r="M225" s="254"/>
    </row>
    <row r="226" spans="1:55" s="7" customFormat="1" x14ac:dyDescent="0.15">
      <c r="K226" s="254"/>
      <c r="L226" s="254"/>
      <c r="M226" s="254"/>
    </row>
    <row r="227" spans="1:55" s="7" customFormat="1" x14ac:dyDescent="0.15">
      <c r="K227" s="254"/>
      <c r="L227" s="254"/>
      <c r="M227" s="254"/>
    </row>
    <row r="228" spans="1:55" s="7" customFormat="1" x14ac:dyDescent="0.15">
      <c r="K228" s="254"/>
      <c r="L228" s="254"/>
      <c r="M228" s="254"/>
    </row>
    <row r="229" spans="1:55" s="7" customFormat="1" x14ac:dyDescent="0.15">
      <c r="K229" s="254"/>
      <c r="L229" s="254"/>
      <c r="M229" s="254"/>
    </row>
    <row r="230" spans="1:55" s="7" customFormat="1" x14ac:dyDescent="0.15">
      <c r="A230" s="8"/>
      <c r="B230" s="8"/>
      <c r="K230" s="254"/>
      <c r="L230" s="254"/>
      <c r="M230" s="254"/>
    </row>
    <row r="231" spans="1:55" s="7" customFormat="1" x14ac:dyDescent="0.15">
      <c r="A231" s="8"/>
      <c r="B231" s="8"/>
      <c r="K231" s="254"/>
      <c r="L231" s="254"/>
      <c r="M231" s="254"/>
    </row>
    <row r="232" spans="1:55" s="7" customFormat="1" x14ac:dyDescent="0.15">
      <c r="A232" s="8"/>
      <c r="B232" s="8"/>
      <c r="K232" s="254"/>
      <c r="L232" s="254"/>
      <c r="M232" s="254"/>
    </row>
    <row r="233" spans="1:55" s="7" customFormat="1" x14ac:dyDescent="0.15">
      <c r="A233" s="8"/>
      <c r="B233" s="8"/>
      <c r="K233" s="254"/>
      <c r="L233" s="254"/>
      <c r="M233" s="254"/>
    </row>
    <row r="234" spans="1:55" s="7" customFormat="1" x14ac:dyDescent="0.15">
      <c r="K234" s="254"/>
      <c r="L234" s="254"/>
      <c r="M234" s="254"/>
    </row>
    <row r="235" spans="1:55" s="7" customFormat="1" x14ac:dyDescent="0.15">
      <c r="K235" s="254"/>
      <c r="L235" s="254"/>
      <c r="M235" s="254"/>
    </row>
    <row r="236" spans="1:55" s="7" customFormat="1" x14ac:dyDescent="0.15">
      <c r="K236" s="254"/>
      <c r="L236" s="254"/>
      <c r="M236" s="254"/>
    </row>
    <row r="237" spans="1:55" s="7" customFormat="1" x14ac:dyDescent="0.15">
      <c r="K237" s="254"/>
      <c r="L237" s="254"/>
      <c r="M237" s="254"/>
    </row>
    <row r="238" spans="1:55" x14ac:dyDescent="0.15">
      <c r="A238" s="8"/>
      <c r="B238" s="8"/>
      <c r="C238" s="8"/>
      <c r="D238" s="8"/>
      <c r="E238" s="8"/>
      <c r="F238" s="8"/>
      <c r="G238" s="8"/>
      <c r="H238" s="8"/>
      <c r="I238" s="8"/>
      <c r="J238" s="8"/>
      <c r="K238" s="254"/>
      <c r="L238" s="254"/>
      <c r="M238" s="254"/>
      <c r="BA238" s="17"/>
      <c r="BB238" s="17"/>
      <c r="BC238" s="8"/>
    </row>
    <row r="239" spans="1:55" x14ac:dyDescent="0.15">
      <c r="A239" s="8"/>
      <c r="B239" s="8"/>
      <c r="C239" s="8"/>
      <c r="D239" s="8"/>
      <c r="E239" s="8"/>
      <c r="F239" s="8"/>
      <c r="G239" s="8"/>
      <c r="H239" s="8"/>
      <c r="I239" s="8"/>
      <c r="J239" s="8"/>
      <c r="K239" s="254"/>
      <c r="L239" s="254"/>
      <c r="M239" s="254"/>
      <c r="BA239" s="17"/>
      <c r="BB239" s="17"/>
      <c r="BC239" s="8"/>
    </row>
    <row r="240" spans="1:55" x14ac:dyDescent="0.15">
      <c r="A240" s="8"/>
      <c r="B240" s="8"/>
      <c r="C240" s="8"/>
      <c r="D240" s="8"/>
      <c r="E240" s="8"/>
      <c r="F240" s="8"/>
      <c r="G240" s="8"/>
      <c r="H240" s="8"/>
      <c r="I240" s="8"/>
      <c r="J240" s="8"/>
      <c r="K240" s="254"/>
      <c r="L240" s="254"/>
      <c r="M240" s="254"/>
      <c r="BA240" s="17"/>
      <c r="BB240" s="17"/>
      <c r="BC240" s="8"/>
    </row>
    <row r="241" spans="11:54" s="8" customFormat="1" x14ac:dyDescent="0.15">
      <c r="K241" s="254"/>
      <c r="L241" s="254"/>
      <c r="M241" s="254"/>
      <c r="AY241" s="17"/>
      <c r="AZ241" s="17"/>
      <c r="BA241" s="17"/>
      <c r="BB241" s="17"/>
    </row>
    <row r="242" spans="11:54" s="8" customFormat="1" x14ac:dyDescent="0.15">
      <c r="K242" s="254"/>
      <c r="L242" s="254"/>
      <c r="M242" s="254"/>
      <c r="AY242" s="17"/>
      <c r="AZ242" s="17"/>
      <c r="BA242" s="17"/>
      <c r="BB242" s="17"/>
    </row>
    <row r="243" spans="11:54" s="8" customFormat="1" x14ac:dyDescent="0.15">
      <c r="K243" s="254"/>
      <c r="L243" s="254"/>
      <c r="M243" s="254"/>
      <c r="AY243" s="17"/>
      <c r="AZ243" s="17"/>
      <c r="BA243" s="17"/>
      <c r="BB243" s="17"/>
    </row>
    <row r="244" spans="11:54" s="8" customFormat="1" x14ac:dyDescent="0.15">
      <c r="K244" s="254"/>
      <c r="L244" s="254"/>
      <c r="M244" s="254"/>
      <c r="AY244" s="17"/>
      <c r="AZ244" s="17"/>
      <c r="BA244" s="17"/>
      <c r="BB244" s="17"/>
    </row>
    <row r="245" spans="11:54" s="8" customFormat="1" x14ac:dyDescent="0.15">
      <c r="K245" s="254"/>
      <c r="L245" s="254"/>
      <c r="M245" s="254"/>
      <c r="AY245" s="17"/>
      <c r="AZ245" s="17"/>
      <c r="BA245" s="17"/>
      <c r="BB245" s="17"/>
    </row>
    <row r="246" spans="11:54" s="8" customFormat="1" x14ac:dyDescent="0.15">
      <c r="K246" s="254"/>
      <c r="L246" s="254"/>
      <c r="M246" s="254"/>
      <c r="AY246" s="17"/>
      <c r="AZ246" s="17"/>
      <c r="BA246" s="17"/>
      <c r="BB246" s="17"/>
    </row>
    <row r="247" spans="11:54" s="8" customFormat="1" x14ac:dyDescent="0.15">
      <c r="K247" s="254"/>
      <c r="L247" s="254"/>
      <c r="M247" s="254"/>
      <c r="AY247" s="17"/>
      <c r="AZ247" s="17"/>
      <c r="BA247" s="17"/>
      <c r="BB247" s="17"/>
    </row>
    <row r="248" spans="11:54" s="8" customFormat="1" x14ac:dyDescent="0.15">
      <c r="K248" s="254"/>
      <c r="L248" s="254"/>
      <c r="M248" s="254"/>
      <c r="AY248" s="17"/>
      <c r="AZ248" s="17"/>
      <c r="BA248" s="17"/>
      <c r="BB248" s="17"/>
    </row>
    <row r="249" spans="11:54" s="8" customFormat="1" x14ac:dyDescent="0.15">
      <c r="K249" s="254"/>
      <c r="L249" s="254"/>
      <c r="M249" s="254"/>
      <c r="AY249" s="17"/>
      <c r="AZ249" s="17"/>
      <c r="BA249" s="17"/>
      <c r="BB249" s="17"/>
    </row>
    <row r="250" spans="11:54" s="8" customFormat="1" x14ac:dyDescent="0.15">
      <c r="K250" s="254"/>
      <c r="L250" s="254"/>
      <c r="M250" s="254"/>
      <c r="AY250" s="17"/>
      <c r="AZ250" s="17"/>
      <c r="BA250" s="17"/>
      <c r="BB250" s="17"/>
    </row>
    <row r="251" spans="11:54" s="8" customFormat="1" x14ac:dyDescent="0.15">
      <c r="K251" s="254"/>
      <c r="L251" s="254"/>
      <c r="M251" s="254"/>
      <c r="AY251" s="17"/>
      <c r="AZ251" s="17"/>
      <c r="BA251" s="17"/>
      <c r="BB251" s="17"/>
    </row>
    <row r="252" spans="11:54" s="8" customFormat="1" x14ac:dyDescent="0.15">
      <c r="K252" s="254"/>
      <c r="L252" s="254"/>
      <c r="M252" s="254"/>
      <c r="AY252" s="17"/>
      <c r="AZ252" s="17"/>
      <c r="BA252" s="17"/>
      <c r="BB252" s="17"/>
    </row>
    <row r="253" spans="11:54" s="8" customFormat="1" x14ac:dyDescent="0.15">
      <c r="K253" s="254"/>
      <c r="L253" s="254"/>
      <c r="M253" s="254"/>
      <c r="AY253" s="17"/>
      <c r="AZ253" s="17"/>
      <c r="BA253" s="17"/>
      <c r="BB253" s="17"/>
    </row>
    <row r="254" spans="11:54" s="8" customFormat="1" x14ac:dyDescent="0.15">
      <c r="K254" s="254"/>
      <c r="L254" s="254"/>
      <c r="M254" s="254"/>
      <c r="AY254" s="17"/>
      <c r="AZ254" s="17"/>
      <c r="BA254" s="17"/>
      <c r="BB254" s="17"/>
    </row>
    <row r="255" spans="11:54" s="8" customFormat="1" x14ac:dyDescent="0.15">
      <c r="K255" s="254"/>
      <c r="L255" s="254"/>
      <c r="M255" s="254"/>
      <c r="AY255" s="17"/>
      <c r="AZ255" s="17"/>
      <c r="BA255" s="17"/>
      <c r="BB255" s="17"/>
    </row>
    <row r="256" spans="11:54" s="8" customFormat="1" x14ac:dyDescent="0.15">
      <c r="K256" s="254"/>
      <c r="L256" s="254"/>
      <c r="M256" s="254"/>
      <c r="AY256" s="17"/>
      <c r="AZ256" s="17"/>
      <c r="BA256" s="17"/>
      <c r="BB256" s="17"/>
    </row>
    <row r="257" spans="11:54" s="8" customFormat="1" x14ac:dyDescent="0.15">
      <c r="K257" s="254"/>
      <c r="L257" s="254"/>
      <c r="M257" s="254"/>
      <c r="N257" s="7"/>
      <c r="O257" s="7"/>
      <c r="P257" s="7"/>
      <c r="Q257" s="7"/>
      <c r="R257" s="7"/>
      <c r="S257" s="7"/>
      <c r="T257" s="7"/>
      <c r="U257" s="7"/>
      <c r="V257" s="7"/>
      <c r="W257" s="7"/>
      <c r="X257" s="7"/>
      <c r="Y257" s="7"/>
      <c r="Z257" s="7"/>
      <c r="AA257" s="7"/>
      <c r="AB257" s="7"/>
      <c r="AC257" s="7"/>
      <c r="AD257" s="7"/>
      <c r="AE257" s="7"/>
      <c r="AY257" s="17"/>
      <c r="AZ257" s="17"/>
      <c r="BA257" s="17"/>
      <c r="BB257" s="17"/>
    </row>
    <row r="258" spans="11:54" s="8" customFormat="1" x14ac:dyDescent="0.15">
      <c r="K258" s="254"/>
      <c r="L258" s="254"/>
      <c r="M258" s="254"/>
      <c r="N258" s="7"/>
      <c r="O258" s="7"/>
      <c r="P258" s="7"/>
      <c r="Q258" s="7"/>
      <c r="R258" s="7"/>
      <c r="S258" s="7"/>
      <c r="T258" s="7"/>
      <c r="U258" s="7"/>
      <c r="V258" s="7"/>
      <c r="W258" s="7"/>
      <c r="X258" s="7"/>
      <c r="Y258" s="7"/>
      <c r="Z258" s="7"/>
      <c r="AA258" s="7"/>
      <c r="AB258" s="7"/>
      <c r="AC258" s="7"/>
      <c r="AD258" s="7"/>
      <c r="AE258" s="7"/>
      <c r="AY258" s="17"/>
      <c r="AZ258" s="17"/>
      <c r="BA258" s="17"/>
      <c r="BB258" s="17"/>
    </row>
    <row r="259" spans="11:54" s="8" customFormat="1" x14ac:dyDescent="0.15">
      <c r="K259" s="254"/>
      <c r="L259" s="254"/>
      <c r="M259" s="254"/>
      <c r="N259" s="7"/>
      <c r="O259" s="7"/>
      <c r="P259" s="7"/>
      <c r="Q259" s="7"/>
      <c r="R259" s="7"/>
      <c r="S259" s="7"/>
      <c r="T259" s="7"/>
      <c r="U259" s="7"/>
      <c r="V259" s="7"/>
      <c r="W259" s="7"/>
      <c r="X259" s="7"/>
      <c r="Y259" s="7"/>
      <c r="Z259" s="7"/>
      <c r="AA259" s="7"/>
      <c r="AB259" s="7"/>
      <c r="AY259" s="17"/>
      <c r="AZ259" s="17"/>
      <c r="BA259" s="17"/>
      <c r="BB259" s="17"/>
    </row>
    <row r="260" spans="11:54" s="8" customFormat="1" x14ac:dyDescent="0.15">
      <c r="K260" s="254"/>
      <c r="L260" s="254"/>
      <c r="M260" s="254"/>
      <c r="N260" s="7"/>
      <c r="O260" s="7"/>
      <c r="P260" s="7"/>
      <c r="Q260" s="7"/>
      <c r="R260" s="7"/>
      <c r="S260" s="7"/>
      <c r="T260" s="7"/>
      <c r="U260" s="7"/>
      <c r="V260" s="7"/>
      <c r="W260" s="7"/>
      <c r="X260" s="7"/>
      <c r="Y260" s="7"/>
      <c r="Z260" s="7"/>
      <c r="AA260" s="7"/>
      <c r="AB260" s="7"/>
      <c r="AY260" s="17"/>
      <c r="AZ260" s="17"/>
      <c r="BA260" s="17"/>
      <c r="BB260" s="17"/>
    </row>
    <row r="261" spans="11:54" s="8" customFormat="1" x14ac:dyDescent="0.15">
      <c r="K261" s="254"/>
      <c r="L261" s="254"/>
      <c r="M261" s="254"/>
      <c r="N261" s="7"/>
      <c r="O261" s="7"/>
      <c r="P261" s="7"/>
      <c r="Q261" s="7"/>
      <c r="R261" s="7"/>
      <c r="S261" s="7"/>
      <c r="T261" s="7"/>
      <c r="U261" s="7"/>
      <c r="V261" s="7"/>
      <c r="W261" s="7"/>
      <c r="X261" s="7"/>
      <c r="Y261" s="7"/>
      <c r="Z261" s="7"/>
      <c r="AA261" s="7"/>
      <c r="AB261" s="7"/>
      <c r="AY261" s="17"/>
      <c r="AZ261" s="17"/>
      <c r="BA261" s="17"/>
      <c r="BB261" s="17"/>
    </row>
    <row r="262" spans="11:54" s="8" customFormat="1" x14ac:dyDescent="0.15">
      <c r="K262" s="254"/>
      <c r="L262" s="254"/>
      <c r="M262" s="254"/>
      <c r="N262" s="7"/>
      <c r="O262" s="7"/>
      <c r="P262" s="7"/>
      <c r="Q262" s="7"/>
      <c r="R262" s="7"/>
      <c r="S262" s="7"/>
      <c r="T262" s="7"/>
      <c r="U262" s="7"/>
      <c r="V262" s="7"/>
      <c r="W262" s="7"/>
      <c r="X262" s="7"/>
      <c r="Y262" s="7"/>
      <c r="Z262" s="7"/>
      <c r="AA262" s="7"/>
      <c r="AB262" s="7"/>
      <c r="AC262" s="7"/>
      <c r="AD262" s="7"/>
      <c r="AE262" s="7"/>
      <c r="AY262" s="17"/>
      <c r="AZ262" s="17"/>
      <c r="BA262" s="17"/>
      <c r="BB262" s="17"/>
    </row>
    <row r="263" spans="11:54" s="8" customFormat="1" x14ac:dyDescent="0.15">
      <c r="K263" s="254"/>
      <c r="L263" s="254"/>
      <c r="M263" s="254"/>
      <c r="N263" s="7"/>
      <c r="O263" s="7"/>
      <c r="P263" s="7"/>
      <c r="Q263" s="7"/>
      <c r="R263" s="7"/>
      <c r="S263" s="7"/>
      <c r="T263" s="7"/>
      <c r="U263" s="7"/>
      <c r="V263" s="7"/>
      <c r="W263" s="7"/>
      <c r="X263" s="7"/>
      <c r="Y263" s="7"/>
      <c r="Z263" s="7"/>
      <c r="AA263" s="7"/>
      <c r="AB263" s="7"/>
      <c r="AC263" s="7"/>
      <c r="AD263" s="7"/>
      <c r="AE263" s="7"/>
      <c r="AY263" s="17"/>
      <c r="AZ263" s="17"/>
      <c r="BA263" s="17"/>
      <c r="BB263" s="17"/>
    </row>
    <row r="264" spans="11:54" s="8" customFormat="1" x14ac:dyDescent="0.15">
      <c r="K264" s="254"/>
      <c r="L264" s="254"/>
      <c r="M264" s="254"/>
      <c r="N264" s="7"/>
      <c r="O264" s="7"/>
      <c r="P264" s="7"/>
      <c r="Q264" s="7"/>
      <c r="R264" s="7"/>
      <c r="S264" s="7"/>
      <c r="T264" s="7"/>
      <c r="U264" s="7"/>
      <c r="V264" s="7"/>
      <c r="W264" s="7"/>
      <c r="X264" s="7"/>
      <c r="Y264" s="7"/>
      <c r="Z264" s="7"/>
      <c r="AA264" s="7"/>
      <c r="AB264" s="7"/>
      <c r="AC264" s="7"/>
      <c r="AD264" s="7"/>
      <c r="AE264" s="7"/>
      <c r="AY264" s="17"/>
      <c r="AZ264" s="17"/>
      <c r="BA264" s="17"/>
      <c r="BB264" s="17"/>
    </row>
    <row r="265" spans="11:54" s="8" customFormat="1" x14ac:dyDescent="0.15">
      <c r="K265" s="254"/>
      <c r="L265" s="254"/>
      <c r="M265" s="254"/>
      <c r="N265" s="7"/>
      <c r="O265" s="7"/>
      <c r="P265" s="7"/>
      <c r="Q265" s="7"/>
      <c r="R265" s="7"/>
      <c r="S265" s="7"/>
      <c r="T265" s="7"/>
      <c r="U265" s="7"/>
      <c r="V265" s="7"/>
      <c r="W265" s="7"/>
      <c r="X265" s="7"/>
      <c r="Y265" s="7"/>
      <c r="Z265" s="7"/>
      <c r="AA265" s="7"/>
      <c r="AB265" s="7"/>
      <c r="AC265" s="7"/>
      <c r="AD265" s="7"/>
      <c r="AE265" s="7"/>
      <c r="AY265" s="17"/>
      <c r="AZ265" s="17"/>
      <c r="BA265" s="17"/>
      <c r="BB265" s="17"/>
    </row>
    <row r="266" spans="11:54" s="8" customFormat="1" x14ac:dyDescent="0.15">
      <c r="K266" s="254"/>
      <c r="L266" s="254"/>
      <c r="M266" s="254"/>
      <c r="N266" s="7"/>
      <c r="O266" s="7"/>
      <c r="P266" s="7"/>
      <c r="Q266" s="7"/>
      <c r="R266" s="7"/>
      <c r="S266" s="7"/>
      <c r="T266" s="7"/>
      <c r="U266" s="7"/>
      <c r="V266" s="7"/>
      <c r="W266" s="7"/>
      <c r="X266" s="7"/>
      <c r="Y266" s="7"/>
      <c r="Z266" s="7"/>
      <c r="AA266" s="7"/>
      <c r="AB266" s="7"/>
      <c r="AC266" s="7"/>
      <c r="AD266" s="7"/>
      <c r="AE266" s="7"/>
      <c r="AY266" s="17"/>
      <c r="AZ266" s="17"/>
      <c r="BA266" s="17"/>
      <c r="BB266" s="17"/>
    </row>
    <row r="267" spans="11:54" s="8" customFormat="1" x14ac:dyDescent="0.15">
      <c r="K267" s="254"/>
      <c r="L267" s="254"/>
      <c r="M267" s="254"/>
      <c r="N267" s="7"/>
      <c r="O267" s="7"/>
      <c r="P267" s="7"/>
      <c r="Q267" s="7"/>
      <c r="R267" s="7"/>
      <c r="S267" s="7"/>
      <c r="T267" s="7"/>
      <c r="U267" s="7"/>
      <c r="V267" s="7"/>
      <c r="W267" s="7"/>
      <c r="X267" s="7"/>
      <c r="Y267" s="7"/>
      <c r="Z267" s="7"/>
      <c r="AA267" s="7"/>
      <c r="AB267" s="7"/>
      <c r="AC267" s="7"/>
      <c r="AD267" s="7"/>
      <c r="AE267" s="7"/>
      <c r="AY267" s="17"/>
      <c r="AZ267" s="17"/>
      <c r="BA267" s="17"/>
      <c r="BB267" s="17"/>
    </row>
    <row r="268" spans="11:54" s="8" customFormat="1" x14ac:dyDescent="0.15">
      <c r="K268" s="254"/>
      <c r="L268" s="254"/>
      <c r="M268" s="254"/>
      <c r="N268" s="7"/>
      <c r="O268" s="7"/>
      <c r="P268" s="7"/>
      <c r="Q268" s="7"/>
      <c r="R268" s="7"/>
      <c r="S268" s="7"/>
      <c r="T268" s="7"/>
      <c r="U268" s="7"/>
      <c r="V268" s="7"/>
      <c r="W268" s="7"/>
      <c r="X268" s="7"/>
      <c r="Y268" s="7"/>
      <c r="Z268" s="7"/>
      <c r="AA268" s="7"/>
      <c r="AB268" s="7"/>
      <c r="AC268" s="7"/>
      <c r="AD268" s="7"/>
      <c r="AE268" s="7"/>
      <c r="AY268" s="17"/>
      <c r="AZ268" s="17"/>
      <c r="BA268" s="17"/>
      <c r="BB268" s="17"/>
    </row>
    <row r="269" spans="11:54" s="8" customFormat="1" x14ac:dyDescent="0.15">
      <c r="K269" s="254"/>
      <c r="L269" s="254"/>
      <c r="M269" s="254"/>
      <c r="N269" s="7"/>
      <c r="O269" s="7"/>
      <c r="P269" s="7"/>
      <c r="Q269" s="7"/>
      <c r="R269" s="7"/>
      <c r="S269" s="7"/>
      <c r="T269" s="7"/>
      <c r="U269" s="7"/>
      <c r="V269" s="7"/>
      <c r="W269" s="7"/>
      <c r="X269" s="7"/>
      <c r="Y269" s="7"/>
      <c r="Z269" s="7"/>
      <c r="AA269" s="7"/>
      <c r="AB269" s="7"/>
      <c r="AC269" s="7"/>
      <c r="AD269" s="7"/>
      <c r="AE269" s="7"/>
      <c r="AY269" s="17"/>
      <c r="AZ269" s="17"/>
      <c r="BA269" s="17"/>
      <c r="BB269" s="17"/>
    </row>
    <row r="270" spans="11:54" s="8" customFormat="1" x14ac:dyDescent="0.15">
      <c r="K270" s="254"/>
      <c r="L270" s="254"/>
      <c r="M270" s="254"/>
      <c r="N270" s="7"/>
      <c r="O270" s="7"/>
      <c r="P270" s="7"/>
      <c r="Q270" s="7"/>
      <c r="R270" s="7"/>
      <c r="S270" s="7"/>
      <c r="T270" s="7"/>
      <c r="U270" s="7"/>
      <c r="V270" s="7"/>
      <c r="W270" s="7"/>
      <c r="X270" s="7"/>
      <c r="Y270" s="7"/>
      <c r="Z270" s="7"/>
      <c r="AA270" s="7"/>
      <c r="AB270" s="7"/>
      <c r="AC270" s="7"/>
      <c r="AD270" s="7"/>
      <c r="AE270" s="7"/>
      <c r="AY270" s="17"/>
      <c r="AZ270" s="17"/>
      <c r="BA270" s="17"/>
      <c r="BB270" s="17"/>
    </row>
    <row r="271" spans="11:54" s="8" customFormat="1" x14ac:dyDescent="0.15">
      <c r="K271" s="254"/>
      <c r="L271" s="254"/>
      <c r="M271" s="254"/>
      <c r="N271" s="7"/>
      <c r="O271" s="7"/>
      <c r="P271" s="7"/>
      <c r="Q271" s="7"/>
      <c r="R271" s="7"/>
      <c r="S271" s="7"/>
      <c r="T271" s="7"/>
      <c r="U271" s="7"/>
      <c r="V271" s="7"/>
      <c r="W271" s="7"/>
      <c r="X271" s="7"/>
      <c r="Y271" s="7"/>
      <c r="Z271" s="7"/>
      <c r="AA271" s="7"/>
      <c r="AB271" s="7"/>
      <c r="AC271" s="7"/>
      <c r="AD271" s="7"/>
      <c r="AE271" s="7"/>
      <c r="AY271" s="17"/>
      <c r="AZ271" s="17"/>
      <c r="BA271" s="17"/>
      <c r="BB271" s="17"/>
    </row>
    <row r="272" spans="11:54" s="8" customFormat="1" x14ac:dyDescent="0.15">
      <c r="K272" s="254"/>
      <c r="L272" s="254"/>
      <c r="M272" s="254"/>
      <c r="N272" s="7"/>
      <c r="O272" s="7"/>
      <c r="P272" s="7"/>
      <c r="Q272" s="7"/>
      <c r="R272" s="7"/>
      <c r="S272" s="7"/>
      <c r="T272" s="7"/>
      <c r="U272" s="7"/>
      <c r="V272" s="7"/>
      <c r="W272" s="7"/>
      <c r="X272" s="7"/>
      <c r="Y272" s="7"/>
      <c r="Z272" s="7"/>
      <c r="AA272" s="7"/>
      <c r="AB272" s="7"/>
      <c r="AC272" s="7"/>
      <c r="AD272" s="7"/>
      <c r="AE272" s="7"/>
      <c r="AY272" s="17"/>
      <c r="AZ272" s="17"/>
      <c r="BA272" s="17"/>
      <c r="BB272" s="17"/>
    </row>
    <row r="273" spans="11:54" s="8" customFormat="1" x14ac:dyDescent="0.15">
      <c r="K273" s="254"/>
      <c r="L273" s="254"/>
      <c r="M273" s="254"/>
      <c r="AY273" s="17"/>
      <c r="AZ273" s="17"/>
      <c r="BA273" s="17"/>
      <c r="BB273" s="17"/>
    </row>
    <row r="274" spans="11:54" s="8" customFormat="1" x14ac:dyDescent="0.15">
      <c r="K274" s="254"/>
      <c r="L274" s="254"/>
      <c r="M274" s="254"/>
      <c r="AY274" s="17"/>
      <c r="AZ274" s="17"/>
      <c r="BA274" s="17"/>
      <c r="BB274" s="17"/>
    </row>
    <row r="275" spans="11:54" s="8" customFormat="1" x14ac:dyDescent="0.15">
      <c r="K275" s="254"/>
      <c r="L275" s="254"/>
      <c r="M275" s="254"/>
      <c r="AY275" s="17"/>
      <c r="AZ275" s="17"/>
      <c r="BA275" s="17"/>
      <c r="BB275" s="17"/>
    </row>
    <row r="276" spans="11:54" s="8" customFormat="1" x14ac:dyDescent="0.15">
      <c r="K276" s="254"/>
      <c r="L276" s="254"/>
      <c r="M276" s="254"/>
      <c r="AY276" s="17"/>
      <c r="AZ276" s="17"/>
      <c r="BA276" s="17"/>
      <c r="BB276" s="17"/>
    </row>
    <row r="277" spans="11:54" s="8" customFormat="1" x14ac:dyDescent="0.15">
      <c r="K277" s="254"/>
      <c r="L277" s="254"/>
      <c r="M277" s="254"/>
      <c r="AY277" s="17"/>
      <c r="AZ277" s="17"/>
      <c r="BA277" s="17"/>
      <c r="BB277" s="17"/>
    </row>
    <row r="278" spans="11:54" s="8" customFormat="1" x14ac:dyDescent="0.15">
      <c r="K278" s="254"/>
      <c r="L278" s="254"/>
      <c r="M278" s="254"/>
      <c r="AY278" s="17"/>
      <c r="AZ278" s="17"/>
      <c r="BA278" s="17"/>
      <c r="BB278" s="17"/>
    </row>
    <row r="279" spans="11:54" s="8" customFormat="1" x14ac:dyDescent="0.15">
      <c r="K279" s="254"/>
      <c r="L279" s="254"/>
      <c r="M279" s="254"/>
      <c r="AY279" s="17"/>
      <c r="AZ279" s="17"/>
      <c r="BA279" s="17"/>
      <c r="BB279" s="17"/>
    </row>
    <row r="280" spans="11:54" s="8" customFormat="1" x14ac:dyDescent="0.15">
      <c r="K280" s="254"/>
      <c r="L280" s="254"/>
      <c r="M280" s="254"/>
      <c r="AY280" s="17"/>
      <c r="AZ280" s="17"/>
      <c r="BA280" s="17"/>
      <c r="BB280" s="17"/>
    </row>
    <row r="281" spans="11:54" s="8" customFormat="1" x14ac:dyDescent="0.15">
      <c r="K281" s="254"/>
      <c r="L281" s="254"/>
      <c r="M281" s="254"/>
      <c r="AY281" s="17"/>
      <c r="AZ281" s="17"/>
      <c r="BA281" s="17"/>
      <c r="BB281" s="17"/>
    </row>
    <row r="282" spans="11:54" s="8" customFormat="1" x14ac:dyDescent="0.15">
      <c r="K282" s="254"/>
      <c r="L282" s="254"/>
      <c r="M282" s="254"/>
      <c r="AY282" s="17"/>
      <c r="AZ282" s="17"/>
      <c r="BA282" s="17"/>
      <c r="BB282" s="17"/>
    </row>
    <row r="283" spans="11:54" s="8" customFormat="1" x14ac:dyDescent="0.15">
      <c r="K283" s="254"/>
      <c r="L283" s="254"/>
      <c r="M283" s="254"/>
      <c r="AY283" s="17"/>
      <c r="AZ283" s="17"/>
      <c r="BA283" s="17"/>
      <c r="BB283" s="17"/>
    </row>
    <row r="284" spans="11:54" s="8" customFormat="1" x14ac:dyDescent="0.15">
      <c r="K284" s="254"/>
      <c r="L284" s="254"/>
      <c r="M284" s="254"/>
      <c r="AY284" s="17"/>
      <c r="AZ284" s="17"/>
      <c r="BA284" s="17"/>
      <c r="BB284" s="17"/>
    </row>
    <row r="285" spans="11:54" s="8" customFormat="1" x14ac:dyDescent="0.15">
      <c r="K285" s="254"/>
      <c r="L285" s="254"/>
      <c r="M285" s="254"/>
      <c r="AY285" s="17"/>
      <c r="AZ285" s="17"/>
      <c r="BA285" s="17"/>
      <c r="BB285" s="17"/>
    </row>
    <row r="286" spans="11:54" s="8" customFormat="1" x14ac:dyDescent="0.15">
      <c r="K286" s="254"/>
      <c r="L286" s="254"/>
      <c r="M286" s="254"/>
      <c r="AY286" s="17"/>
      <c r="AZ286" s="17"/>
      <c r="BA286" s="17"/>
      <c r="BB286" s="17"/>
    </row>
    <row r="287" spans="11:54" s="8" customFormat="1" x14ac:dyDescent="0.15">
      <c r="K287" s="254"/>
      <c r="L287" s="254"/>
      <c r="M287" s="254"/>
      <c r="AY287" s="17"/>
      <c r="AZ287" s="17"/>
      <c r="BA287" s="17"/>
      <c r="BB287" s="17"/>
    </row>
    <row r="288" spans="11:54" s="8" customFormat="1" x14ac:dyDescent="0.15">
      <c r="K288" s="254"/>
      <c r="L288" s="254"/>
      <c r="M288" s="254"/>
      <c r="AY288" s="17"/>
      <c r="AZ288" s="17"/>
      <c r="BA288" s="17"/>
      <c r="BB288" s="17"/>
    </row>
    <row r="289" spans="11:54" s="8" customFormat="1" x14ac:dyDescent="0.15">
      <c r="K289" s="254"/>
      <c r="L289" s="254"/>
      <c r="M289" s="254"/>
      <c r="AY289" s="17"/>
      <c r="AZ289" s="17"/>
      <c r="BA289" s="17"/>
      <c r="BB289" s="17"/>
    </row>
    <row r="290" spans="11:54" s="8" customFormat="1" x14ac:dyDescent="0.15">
      <c r="K290" s="254"/>
      <c r="L290" s="254"/>
      <c r="M290" s="254"/>
      <c r="AY290" s="17"/>
      <c r="AZ290" s="17"/>
      <c r="BA290" s="17"/>
      <c r="BB290" s="17"/>
    </row>
    <row r="291" spans="11:54" s="8" customFormat="1" x14ac:dyDescent="0.15">
      <c r="K291" s="254"/>
      <c r="L291" s="254"/>
      <c r="M291" s="254"/>
      <c r="AY291" s="17"/>
      <c r="AZ291" s="17"/>
      <c r="BA291" s="17"/>
      <c r="BB291" s="17"/>
    </row>
    <row r="292" spans="11:54" s="8" customFormat="1" x14ac:dyDescent="0.15">
      <c r="K292" s="254"/>
      <c r="L292" s="254"/>
      <c r="M292" s="254"/>
      <c r="AY292" s="17"/>
      <c r="AZ292" s="17"/>
      <c r="BA292" s="17"/>
      <c r="BB292" s="17"/>
    </row>
    <row r="293" spans="11:54" s="8" customFormat="1" x14ac:dyDescent="0.15">
      <c r="K293" s="254"/>
      <c r="L293" s="254"/>
      <c r="M293" s="254"/>
      <c r="AY293" s="17"/>
      <c r="AZ293" s="17"/>
      <c r="BA293" s="17"/>
      <c r="BB293" s="17"/>
    </row>
    <row r="294" spans="11:54" s="8" customFormat="1" x14ac:dyDescent="0.15">
      <c r="K294" s="254"/>
      <c r="L294" s="254"/>
      <c r="M294" s="254"/>
      <c r="AY294" s="17"/>
      <c r="AZ294" s="17"/>
      <c r="BA294" s="17"/>
      <c r="BB294" s="17"/>
    </row>
    <row r="295" spans="11:54" s="8" customFormat="1" x14ac:dyDescent="0.15">
      <c r="K295" s="254"/>
      <c r="L295" s="254"/>
      <c r="M295" s="254"/>
      <c r="AY295" s="17"/>
      <c r="AZ295" s="17"/>
      <c r="BA295" s="17"/>
      <c r="BB295" s="17"/>
    </row>
    <row r="296" spans="11:54" s="8" customFormat="1" x14ac:dyDescent="0.15">
      <c r="K296" s="254"/>
      <c r="L296" s="254"/>
      <c r="M296" s="254"/>
      <c r="AY296" s="17"/>
      <c r="AZ296" s="17"/>
      <c r="BA296" s="17"/>
      <c r="BB296" s="17"/>
    </row>
    <row r="297" spans="11:54" s="8" customFormat="1" x14ac:dyDescent="0.15">
      <c r="K297" s="254"/>
      <c r="L297" s="254"/>
      <c r="M297" s="254"/>
      <c r="AY297" s="17"/>
      <c r="AZ297" s="17"/>
      <c r="BA297" s="17"/>
      <c r="BB297" s="17"/>
    </row>
    <row r="298" spans="11:54" s="8" customFormat="1" x14ac:dyDescent="0.15">
      <c r="K298" s="254"/>
      <c r="L298" s="254"/>
      <c r="M298" s="254"/>
      <c r="AY298" s="17"/>
      <c r="AZ298" s="17"/>
      <c r="BA298" s="17"/>
      <c r="BB298" s="17"/>
    </row>
    <row r="299" spans="11:54" s="8" customFormat="1" x14ac:dyDescent="0.15">
      <c r="K299" s="254"/>
      <c r="L299" s="254"/>
      <c r="M299" s="254"/>
      <c r="AY299" s="17"/>
      <c r="AZ299" s="17"/>
      <c r="BA299" s="17"/>
      <c r="BB299" s="17"/>
    </row>
    <row r="300" spans="11:54" s="8" customFormat="1" x14ac:dyDescent="0.15">
      <c r="K300" s="254"/>
      <c r="L300" s="254"/>
      <c r="M300" s="254"/>
      <c r="AY300" s="17"/>
      <c r="AZ300" s="17"/>
      <c r="BA300" s="17"/>
      <c r="BB300" s="17"/>
    </row>
    <row r="301" spans="11:54" s="8" customFormat="1" x14ac:dyDescent="0.15">
      <c r="K301" s="254"/>
      <c r="L301" s="254"/>
      <c r="M301" s="254"/>
      <c r="AY301" s="17"/>
      <c r="AZ301" s="17"/>
      <c r="BA301" s="17"/>
      <c r="BB301" s="17"/>
    </row>
    <row r="302" spans="11:54" s="8" customFormat="1" x14ac:dyDescent="0.15">
      <c r="K302" s="254"/>
      <c r="L302" s="254"/>
      <c r="M302" s="254"/>
      <c r="AY302" s="17"/>
      <c r="AZ302" s="17"/>
      <c r="BA302" s="17"/>
      <c r="BB302" s="17"/>
    </row>
    <row r="303" spans="11:54" s="8" customFormat="1" x14ac:dyDescent="0.15">
      <c r="K303" s="254"/>
      <c r="L303" s="254"/>
      <c r="M303" s="254"/>
      <c r="AY303" s="17"/>
      <c r="AZ303" s="17"/>
      <c r="BA303" s="17"/>
      <c r="BB303" s="17"/>
    </row>
    <row r="304" spans="11:54" s="8" customFormat="1" x14ac:dyDescent="0.15">
      <c r="K304" s="254"/>
      <c r="L304" s="254"/>
      <c r="M304" s="254"/>
      <c r="AY304" s="17"/>
      <c r="AZ304" s="17"/>
      <c r="BA304" s="17"/>
      <c r="BB304" s="17"/>
    </row>
    <row r="305" spans="11:54" s="8" customFormat="1" x14ac:dyDescent="0.15">
      <c r="K305" s="254"/>
      <c r="L305" s="254"/>
      <c r="M305" s="254"/>
      <c r="AY305" s="17"/>
      <c r="AZ305" s="17"/>
      <c r="BA305" s="17"/>
      <c r="BB305" s="17"/>
    </row>
    <row r="306" spans="11:54" s="8" customFormat="1" x14ac:dyDescent="0.15">
      <c r="K306" s="254"/>
      <c r="L306" s="254"/>
      <c r="M306" s="254"/>
      <c r="AY306" s="17"/>
      <c r="AZ306" s="17"/>
      <c r="BA306" s="17"/>
      <c r="BB306" s="17"/>
    </row>
    <row r="307" spans="11:54" s="8" customFormat="1" x14ac:dyDescent="0.15">
      <c r="K307" s="254"/>
      <c r="L307" s="254"/>
      <c r="M307" s="254"/>
      <c r="AY307" s="17"/>
      <c r="AZ307" s="17"/>
      <c r="BA307" s="17"/>
      <c r="BB307" s="17"/>
    </row>
    <row r="308" spans="11:54" s="8" customFormat="1" x14ac:dyDescent="0.15">
      <c r="K308" s="254"/>
      <c r="L308" s="254"/>
      <c r="M308" s="254"/>
      <c r="AY308" s="17"/>
      <c r="AZ308" s="17"/>
      <c r="BA308" s="17"/>
      <c r="BB308" s="17"/>
    </row>
    <row r="309" spans="11:54" s="8" customFormat="1" x14ac:dyDescent="0.15">
      <c r="K309" s="254"/>
      <c r="L309" s="254"/>
      <c r="M309" s="254"/>
      <c r="AY309" s="17"/>
      <c r="AZ309" s="17"/>
      <c r="BA309" s="17"/>
      <c r="BB309" s="17"/>
    </row>
    <row r="310" spans="11:54" s="8" customFormat="1" x14ac:dyDescent="0.15">
      <c r="K310" s="254"/>
      <c r="L310" s="254"/>
      <c r="M310" s="254"/>
      <c r="AY310" s="17"/>
      <c r="AZ310" s="17"/>
      <c r="BA310" s="17"/>
      <c r="BB310" s="17"/>
    </row>
    <row r="311" spans="11:54" s="8" customFormat="1" x14ac:dyDescent="0.15">
      <c r="K311" s="254"/>
      <c r="L311" s="254"/>
      <c r="M311" s="254"/>
      <c r="AY311" s="17"/>
      <c r="AZ311" s="17"/>
      <c r="BA311" s="17"/>
      <c r="BB311" s="17"/>
    </row>
    <row r="312" spans="11:54" s="8" customFormat="1" x14ac:dyDescent="0.15">
      <c r="K312" s="254"/>
      <c r="L312" s="254"/>
      <c r="M312" s="254"/>
      <c r="AY312" s="17"/>
      <c r="AZ312" s="17"/>
      <c r="BA312" s="17"/>
      <c r="BB312" s="17"/>
    </row>
    <row r="313" spans="11:54" s="8" customFormat="1" x14ac:dyDescent="0.15">
      <c r="K313" s="254"/>
      <c r="L313" s="254"/>
      <c r="M313" s="254"/>
      <c r="AY313" s="17"/>
      <c r="AZ313" s="17"/>
      <c r="BA313" s="17"/>
      <c r="BB313" s="17"/>
    </row>
    <row r="314" spans="11:54" s="8" customFormat="1" x14ac:dyDescent="0.15">
      <c r="K314" s="254"/>
      <c r="L314" s="254"/>
      <c r="M314" s="254"/>
      <c r="AY314" s="17"/>
      <c r="AZ314" s="17"/>
      <c r="BA314" s="17"/>
      <c r="BB314" s="17"/>
    </row>
    <row r="315" spans="11:54" s="8" customFormat="1" x14ac:dyDescent="0.15">
      <c r="K315" s="254"/>
      <c r="L315" s="254"/>
      <c r="M315" s="254"/>
      <c r="AY315" s="17"/>
      <c r="AZ315" s="17"/>
      <c r="BA315" s="17"/>
      <c r="BB315" s="17"/>
    </row>
    <row r="316" spans="11:54" s="8" customFormat="1" x14ac:dyDescent="0.15">
      <c r="K316" s="254"/>
      <c r="L316" s="254"/>
      <c r="M316" s="254"/>
      <c r="AY316" s="17"/>
      <c r="AZ316" s="17"/>
      <c r="BA316" s="17"/>
      <c r="BB316" s="17"/>
    </row>
    <row r="317" spans="11:54" s="8" customFormat="1" x14ac:dyDescent="0.15">
      <c r="K317" s="254"/>
      <c r="L317" s="254"/>
      <c r="M317" s="254"/>
      <c r="AY317" s="17"/>
      <c r="AZ317" s="17"/>
      <c r="BA317" s="17"/>
      <c r="BB317" s="17"/>
    </row>
    <row r="318" spans="11:54" s="8" customFormat="1" x14ac:dyDescent="0.15">
      <c r="K318" s="254"/>
      <c r="L318" s="254"/>
      <c r="M318" s="254"/>
      <c r="AY318" s="17"/>
      <c r="AZ318" s="17"/>
      <c r="BA318" s="17"/>
      <c r="BB318" s="17"/>
    </row>
    <row r="319" spans="11:54" s="8" customFormat="1" x14ac:dyDescent="0.15">
      <c r="K319" s="254"/>
      <c r="L319" s="254"/>
      <c r="M319" s="254"/>
      <c r="AY319" s="17"/>
      <c r="AZ319" s="17"/>
      <c r="BA319" s="17"/>
      <c r="BB319" s="17"/>
    </row>
    <row r="320" spans="11:54" s="8" customFormat="1" x14ac:dyDescent="0.15">
      <c r="K320" s="254"/>
      <c r="L320" s="254"/>
      <c r="M320" s="254"/>
      <c r="AY320" s="17"/>
      <c r="AZ320" s="17"/>
      <c r="BA320" s="17"/>
      <c r="BB320" s="17"/>
    </row>
    <row r="321" spans="11:54" s="8" customFormat="1" x14ac:dyDescent="0.15">
      <c r="K321" s="254"/>
      <c r="L321" s="254"/>
      <c r="M321" s="254"/>
      <c r="AY321" s="17"/>
      <c r="AZ321" s="17"/>
      <c r="BA321" s="17"/>
      <c r="BB321" s="17"/>
    </row>
    <row r="322" spans="11:54" s="8" customFormat="1" x14ac:dyDescent="0.15">
      <c r="K322" s="254"/>
      <c r="L322" s="254"/>
      <c r="M322" s="254"/>
      <c r="AY322" s="17"/>
      <c r="AZ322" s="17"/>
      <c r="BA322" s="17"/>
      <c r="BB322" s="17"/>
    </row>
    <row r="323" spans="11:54" s="8" customFormat="1" x14ac:dyDescent="0.15">
      <c r="K323" s="254"/>
      <c r="L323" s="254"/>
      <c r="M323" s="254"/>
      <c r="AY323" s="17"/>
      <c r="AZ323" s="17"/>
      <c r="BA323" s="17"/>
      <c r="BB323" s="17"/>
    </row>
    <row r="324" spans="11:54" s="8" customFormat="1" x14ac:dyDescent="0.15">
      <c r="K324" s="254"/>
      <c r="L324" s="254"/>
      <c r="M324" s="254"/>
      <c r="AY324" s="17"/>
      <c r="AZ324" s="17"/>
      <c r="BA324" s="17"/>
      <c r="BB324" s="17"/>
    </row>
    <row r="325" spans="11:54" s="8" customFormat="1" x14ac:dyDescent="0.15">
      <c r="K325" s="254"/>
      <c r="L325" s="254"/>
      <c r="M325" s="254"/>
      <c r="AY325" s="17"/>
      <c r="AZ325" s="17"/>
      <c r="BA325" s="17"/>
      <c r="BB325" s="17"/>
    </row>
    <row r="326" spans="11:54" s="8" customFormat="1" x14ac:dyDescent="0.15">
      <c r="K326" s="254"/>
      <c r="L326" s="254"/>
      <c r="M326" s="254"/>
      <c r="AY326" s="17"/>
      <c r="AZ326" s="17"/>
      <c r="BA326" s="17"/>
      <c r="BB326" s="17"/>
    </row>
    <row r="327" spans="11:54" s="8" customFormat="1" x14ac:dyDescent="0.15">
      <c r="K327" s="254"/>
      <c r="L327" s="254"/>
      <c r="M327" s="254"/>
      <c r="AY327" s="17"/>
      <c r="AZ327" s="17"/>
      <c r="BA327" s="17"/>
      <c r="BB327" s="17"/>
    </row>
    <row r="328" spans="11:54" s="8" customFormat="1" x14ac:dyDescent="0.15">
      <c r="K328" s="254"/>
      <c r="L328" s="254"/>
      <c r="M328" s="254"/>
      <c r="AY328" s="17"/>
      <c r="AZ328" s="17"/>
      <c r="BA328" s="17"/>
      <c r="BB328" s="17"/>
    </row>
    <row r="329" spans="11:54" s="8" customFormat="1" x14ac:dyDescent="0.15">
      <c r="K329" s="254"/>
      <c r="L329" s="254"/>
      <c r="M329" s="254"/>
      <c r="AY329" s="17"/>
      <c r="AZ329" s="17"/>
      <c r="BA329" s="17"/>
      <c r="BB329" s="17"/>
    </row>
    <row r="330" spans="11:54" s="8" customFormat="1" x14ac:dyDescent="0.15">
      <c r="K330" s="254"/>
      <c r="L330" s="254"/>
      <c r="M330" s="254"/>
      <c r="AY330" s="17"/>
      <c r="AZ330" s="17"/>
      <c r="BA330" s="17"/>
      <c r="BB330" s="17"/>
    </row>
    <row r="331" spans="11:54" s="8" customFormat="1" x14ac:dyDescent="0.15">
      <c r="K331" s="254"/>
      <c r="L331" s="254"/>
      <c r="M331" s="254"/>
      <c r="AY331" s="17"/>
      <c r="AZ331" s="17"/>
      <c r="BA331" s="17"/>
      <c r="BB331" s="17"/>
    </row>
    <row r="332" spans="11:54" s="8" customFormat="1" x14ac:dyDescent="0.15">
      <c r="K332" s="254"/>
      <c r="L332" s="254"/>
      <c r="M332" s="254"/>
      <c r="AY332" s="17"/>
      <c r="AZ332" s="17"/>
      <c r="BA332" s="17"/>
      <c r="BB332" s="17"/>
    </row>
    <row r="333" spans="11:54" s="8" customFormat="1" x14ac:dyDescent="0.15">
      <c r="K333" s="254"/>
      <c r="L333" s="254"/>
      <c r="M333" s="254"/>
      <c r="AY333" s="17"/>
      <c r="AZ333" s="17"/>
      <c r="BA333" s="17"/>
      <c r="BB333" s="17"/>
    </row>
    <row r="334" spans="11:54" s="8" customFormat="1" x14ac:dyDescent="0.15">
      <c r="K334" s="254"/>
      <c r="L334" s="254"/>
      <c r="M334" s="254"/>
      <c r="AY334" s="17"/>
      <c r="AZ334" s="17"/>
      <c r="BA334" s="17"/>
      <c r="BB334" s="17"/>
    </row>
    <row r="335" spans="11:54" s="8" customFormat="1" x14ac:dyDescent="0.15">
      <c r="K335" s="254"/>
      <c r="L335" s="254"/>
      <c r="M335" s="254"/>
      <c r="AY335" s="17"/>
      <c r="AZ335" s="17"/>
      <c r="BA335" s="17"/>
      <c r="BB335" s="17"/>
    </row>
    <row r="336" spans="11:54" s="8" customFormat="1" x14ac:dyDescent="0.15">
      <c r="K336" s="254"/>
      <c r="L336" s="254"/>
      <c r="M336" s="254"/>
      <c r="AY336" s="17"/>
      <c r="AZ336" s="17"/>
      <c r="BA336" s="17"/>
      <c r="BB336" s="17"/>
    </row>
    <row r="337" spans="11:54" s="8" customFormat="1" x14ac:dyDescent="0.15">
      <c r="K337" s="254"/>
      <c r="L337" s="254"/>
      <c r="M337" s="254"/>
      <c r="AY337" s="17"/>
      <c r="AZ337" s="17"/>
      <c r="BA337" s="17"/>
      <c r="BB337" s="17"/>
    </row>
    <row r="338" spans="11:54" s="8" customFormat="1" x14ac:dyDescent="0.15">
      <c r="K338" s="254"/>
      <c r="L338" s="254"/>
      <c r="M338" s="254"/>
      <c r="AY338" s="17"/>
      <c r="AZ338" s="17"/>
      <c r="BA338" s="17"/>
      <c r="BB338" s="17"/>
    </row>
    <row r="339" spans="11:54" s="8" customFormat="1" x14ac:dyDescent="0.15">
      <c r="K339" s="254"/>
      <c r="L339" s="254"/>
      <c r="M339" s="254"/>
      <c r="AY339" s="17"/>
      <c r="AZ339" s="17"/>
      <c r="BA339" s="17"/>
      <c r="BB339" s="17"/>
    </row>
    <row r="340" spans="11:54" s="8" customFormat="1" x14ac:dyDescent="0.15">
      <c r="K340" s="254"/>
      <c r="L340" s="254"/>
      <c r="M340" s="254"/>
      <c r="AY340" s="17"/>
      <c r="AZ340" s="17"/>
      <c r="BA340" s="17"/>
      <c r="BB340" s="17"/>
    </row>
    <row r="341" spans="11:54" s="8" customFormat="1" x14ac:dyDescent="0.15">
      <c r="K341" s="254"/>
      <c r="L341" s="254"/>
      <c r="M341" s="254"/>
      <c r="AY341" s="17"/>
      <c r="AZ341" s="17"/>
      <c r="BA341" s="17"/>
      <c r="BB341" s="17"/>
    </row>
    <row r="342" spans="11:54" s="8" customFormat="1" x14ac:dyDescent="0.15">
      <c r="K342" s="254"/>
      <c r="L342" s="254"/>
      <c r="M342" s="254"/>
      <c r="AY342" s="17"/>
      <c r="AZ342" s="17"/>
      <c r="BA342" s="17"/>
      <c r="BB342" s="17"/>
    </row>
    <row r="343" spans="11:54" s="8" customFormat="1" x14ac:dyDescent="0.15">
      <c r="K343" s="254"/>
      <c r="L343" s="254"/>
      <c r="M343" s="254"/>
      <c r="AY343" s="17"/>
      <c r="AZ343" s="17"/>
      <c r="BA343" s="17"/>
      <c r="BB343" s="17"/>
    </row>
    <row r="344" spans="11:54" s="8" customFormat="1" x14ac:dyDescent="0.15">
      <c r="K344" s="254"/>
      <c r="L344" s="254"/>
      <c r="M344" s="254"/>
      <c r="AY344" s="17"/>
      <c r="AZ344" s="17"/>
      <c r="BA344" s="17"/>
      <c r="BB344" s="17"/>
    </row>
    <row r="345" spans="11:54" s="8" customFormat="1" x14ac:dyDescent="0.15">
      <c r="K345" s="254"/>
      <c r="L345" s="254"/>
      <c r="M345" s="254"/>
      <c r="AY345" s="17"/>
      <c r="AZ345" s="17"/>
      <c r="BA345" s="17"/>
      <c r="BB345" s="17"/>
    </row>
    <row r="346" spans="11:54" s="8" customFormat="1" x14ac:dyDescent="0.15">
      <c r="K346" s="254"/>
      <c r="L346" s="254"/>
      <c r="M346" s="254"/>
      <c r="AY346" s="17"/>
      <c r="AZ346" s="17"/>
      <c r="BA346" s="17"/>
      <c r="BB346" s="17"/>
    </row>
    <row r="347" spans="11:54" s="8" customFormat="1" x14ac:dyDescent="0.15">
      <c r="K347" s="254"/>
      <c r="L347" s="254"/>
      <c r="M347" s="254"/>
      <c r="AY347" s="17"/>
      <c r="AZ347" s="17"/>
      <c r="BA347" s="17"/>
      <c r="BB347" s="17"/>
    </row>
    <row r="348" spans="11:54" s="8" customFormat="1" x14ac:dyDescent="0.15">
      <c r="K348" s="254"/>
      <c r="L348" s="254"/>
      <c r="M348" s="254"/>
      <c r="AY348" s="17"/>
      <c r="AZ348" s="17"/>
      <c r="BA348" s="17"/>
      <c r="BB348" s="17"/>
    </row>
    <row r="349" spans="11:54" s="8" customFormat="1" x14ac:dyDescent="0.15">
      <c r="K349" s="254"/>
      <c r="L349" s="254"/>
      <c r="M349" s="254"/>
      <c r="AY349" s="17"/>
      <c r="AZ349" s="17"/>
      <c r="BA349" s="17"/>
      <c r="BB349" s="17"/>
    </row>
    <row r="350" spans="11:54" s="8" customFormat="1" x14ac:dyDescent="0.15">
      <c r="K350" s="254"/>
      <c r="L350" s="254"/>
      <c r="M350" s="254"/>
      <c r="AY350" s="17"/>
      <c r="AZ350" s="17"/>
      <c r="BA350" s="17"/>
      <c r="BB350" s="17"/>
    </row>
    <row r="351" spans="11:54" s="8" customFormat="1" x14ac:dyDescent="0.15">
      <c r="K351" s="254"/>
      <c r="L351" s="254"/>
      <c r="M351" s="254"/>
      <c r="AY351" s="17"/>
      <c r="AZ351" s="17"/>
      <c r="BA351" s="17"/>
      <c r="BB351" s="17"/>
    </row>
    <row r="352" spans="11:54" s="8" customFormat="1" x14ac:dyDescent="0.15">
      <c r="K352" s="254"/>
      <c r="L352" s="254"/>
      <c r="M352" s="254"/>
      <c r="AY352" s="17"/>
      <c r="AZ352" s="17"/>
      <c r="BA352" s="17"/>
      <c r="BB352" s="17"/>
    </row>
    <row r="353" spans="11:54" s="8" customFormat="1" x14ac:dyDescent="0.15">
      <c r="K353" s="254"/>
      <c r="L353" s="254"/>
      <c r="M353" s="254"/>
      <c r="AY353" s="17"/>
      <c r="AZ353" s="17"/>
      <c r="BA353" s="17"/>
      <c r="BB353" s="17"/>
    </row>
    <row r="354" spans="11:54" s="8" customFormat="1" x14ac:dyDescent="0.15">
      <c r="K354" s="254"/>
      <c r="L354" s="254"/>
      <c r="M354" s="254"/>
      <c r="AY354" s="17"/>
      <c r="AZ354" s="17"/>
      <c r="BA354" s="17"/>
      <c r="BB354" s="17"/>
    </row>
    <row r="355" spans="11:54" s="8" customFormat="1" x14ac:dyDescent="0.15">
      <c r="K355" s="254"/>
      <c r="L355" s="254"/>
      <c r="M355" s="254"/>
      <c r="AY355" s="17"/>
      <c r="AZ355" s="17"/>
      <c r="BA355" s="17"/>
      <c r="BB355" s="17"/>
    </row>
    <row r="356" spans="11:54" s="8" customFormat="1" x14ac:dyDescent="0.15">
      <c r="K356" s="254"/>
      <c r="L356" s="254"/>
      <c r="M356" s="254"/>
      <c r="AY356" s="17"/>
      <c r="AZ356" s="17"/>
      <c r="BA356" s="17"/>
      <c r="BB356" s="17"/>
    </row>
    <row r="357" spans="11:54" s="8" customFormat="1" x14ac:dyDescent="0.15">
      <c r="K357" s="254"/>
      <c r="L357" s="254"/>
      <c r="M357" s="254"/>
      <c r="AY357" s="17"/>
      <c r="AZ357" s="17"/>
      <c r="BA357" s="17"/>
      <c r="BB357" s="17"/>
    </row>
    <row r="358" spans="11:54" s="8" customFormat="1" x14ac:dyDescent="0.15">
      <c r="K358" s="254"/>
      <c r="L358" s="254"/>
      <c r="M358" s="254"/>
      <c r="AY358" s="17"/>
      <c r="AZ358" s="17"/>
      <c r="BA358" s="17"/>
      <c r="BB358" s="17"/>
    </row>
    <row r="359" spans="11:54" s="8" customFormat="1" x14ac:dyDescent="0.15">
      <c r="K359" s="254"/>
      <c r="L359" s="254"/>
      <c r="M359" s="254"/>
      <c r="AY359" s="17"/>
      <c r="AZ359" s="17"/>
      <c r="BA359" s="17"/>
      <c r="BB359" s="17"/>
    </row>
    <row r="360" spans="11:54" s="8" customFormat="1" x14ac:dyDescent="0.15">
      <c r="K360" s="254"/>
      <c r="L360" s="254"/>
      <c r="M360" s="254"/>
      <c r="AY360" s="17"/>
      <c r="AZ360" s="17"/>
      <c r="BA360" s="17"/>
      <c r="BB360" s="17"/>
    </row>
    <row r="361" spans="11:54" s="8" customFormat="1" x14ac:dyDescent="0.15">
      <c r="K361" s="254"/>
      <c r="L361" s="254"/>
      <c r="M361" s="254"/>
      <c r="AY361" s="17"/>
      <c r="AZ361" s="17"/>
      <c r="BA361" s="17"/>
      <c r="BB361" s="17"/>
    </row>
    <row r="362" spans="11:54" s="8" customFormat="1" x14ac:dyDescent="0.15">
      <c r="K362" s="254"/>
      <c r="L362" s="254"/>
      <c r="M362" s="254"/>
      <c r="AY362" s="17"/>
      <c r="AZ362" s="17"/>
      <c r="BA362" s="17"/>
      <c r="BB362" s="17"/>
    </row>
    <row r="363" spans="11:54" s="8" customFormat="1" x14ac:dyDescent="0.15">
      <c r="K363" s="254"/>
      <c r="L363" s="254"/>
      <c r="M363" s="254"/>
      <c r="AY363" s="17"/>
      <c r="AZ363" s="17"/>
      <c r="BA363" s="17"/>
      <c r="BB363" s="1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59999389629810485"/>
  </sheetPr>
  <dimension ref="A1:BQ363"/>
  <sheetViews>
    <sheetView topLeftCell="A27" zoomScale="80" zoomScaleNormal="80" workbookViewId="0">
      <selection activeCell="BL27" sqref="BL27"/>
    </sheetView>
  </sheetViews>
  <sheetFormatPr baseColWidth="10" defaultColWidth="8.83203125" defaultRowHeight="14" x14ac:dyDescent="0.15"/>
  <cols>
    <col min="1" max="7" width="9.1640625" style="7" customWidth="1"/>
    <col min="8" max="8" width="8.83203125" style="7"/>
    <col min="9" max="10" width="19.33203125" style="7" customWidth="1"/>
    <col min="11" max="13" width="16.83203125" style="7" customWidth="1"/>
    <col min="14" max="20" width="15.83203125" style="7" customWidth="1"/>
    <col min="21" max="21" width="16.83203125" style="7" customWidth="1"/>
    <col min="22" max="22" width="25.33203125" style="7" customWidth="1"/>
    <col min="23" max="23" width="17.1640625" style="7" customWidth="1"/>
    <col min="24" max="24" width="26.6640625" style="7" customWidth="1"/>
    <col min="25" max="25" width="22.33203125" style="7" customWidth="1"/>
    <col min="26" max="26" width="18.33203125" style="7" customWidth="1"/>
    <col min="27" max="27" width="21.6640625" style="7" customWidth="1"/>
    <col min="28" max="28" width="18" style="7" customWidth="1"/>
    <col min="29" max="31" width="20.33203125" style="7" customWidth="1"/>
    <col min="32" max="32" width="15.33203125" style="7" customWidth="1"/>
    <col min="33" max="33" width="16.33203125" style="7" customWidth="1"/>
    <col min="34" max="34" width="15" style="7" customWidth="1"/>
    <col min="35" max="40" width="19.6640625" style="7" customWidth="1"/>
    <col min="41" max="41" width="23.1640625" style="7" customWidth="1"/>
    <col min="42" max="50" width="17.83203125" style="7" customWidth="1"/>
    <col min="51" max="51" width="20.33203125" style="7" customWidth="1"/>
    <col min="52" max="52" width="36.33203125" style="7" customWidth="1"/>
    <col min="53" max="55" width="17.83203125" style="7" customWidth="1"/>
    <col min="56" max="61" width="17.83203125" style="8" customWidth="1"/>
    <col min="62" max="62" width="8.83203125" style="8"/>
    <col min="63" max="69" width="17.83203125" style="8" customWidth="1"/>
    <col min="70" max="16384" width="8.83203125" style="8"/>
  </cols>
  <sheetData>
    <row r="1" spans="1:55" x14ac:dyDescent="0.15">
      <c r="A1" s="8"/>
      <c r="B1" s="249"/>
    </row>
    <row r="2" spans="1:55" x14ac:dyDescent="0.15">
      <c r="A2" s="8"/>
      <c r="B2" s="8"/>
      <c r="C2" s="249"/>
      <c r="D2" s="249"/>
      <c r="E2" s="249"/>
      <c r="F2" s="10" t="s">
        <v>368</v>
      </c>
      <c r="G2" s="250"/>
      <c r="H2" s="251" t="s">
        <v>369</v>
      </c>
      <c r="K2" s="8"/>
      <c r="L2" s="252">
        <v>0.3</v>
      </c>
      <c r="M2" s="8"/>
      <c r="N2" s="252"/>
      <c r="O2" s="252"/>
      <c r="P2" s="252"/>
      <c r="Q2" s="252"/>
      <c r="R2" s="252"/>
      <c r="S2" s="252"/>
      <c r="T2" s="252">
        <v>0.3</v>
      </c>
      <c r="U2" s="253"/>
      <c r="V2" s="10"/>
    </row>
    <row r="3" spans="1:55" x14ac:dyDescent="0.15">
      <c r="A3" s="8"/>
      <c r="B3" s="8"/>
      <c r="C3" s="249"/>
      <c r="D3" s="249"/>
      <c r="E3" s="249"/>
      <c r="F3" s="10" t="s">
        <v>370</v>
      </c>
      <c r="G3" s="250"/>
      <c r="H3" s="251" t="s">
        <v>371</v>
      </c>
      <c r="L3" s="254">
        <v>1.35</v>
      </c>
      <c r="N3" s="254"/>
      <c r="O3" s="254"/>
      <c r="P3" s="254"/>
      <c r="Q3" s="254"/>
      <c r="R3" s="254"/>
      <c r="S3" s="254"/>
      <c r="T3" s="254">
        <v>1.35</v>
      </c>
      <c r="U3" s="253"/>
      <c r="V3" s="10"/>
    </row>
    <row r="4" spans="1:55" x14ac:dyDescent="0.15">
      <c r="A4" s="8"/>
      <c r="B4" s="8"/>
      <c r="C4" s="249"/>
      <c r="D4" s="249"/>
      <c r="E4" s="249"/>
      <c r="F4" s="10" t="s">
        <v>372</v>
      </c>
      <c r="G4" s="250"/>
      <c r="H4" s="251" t="s">
        <v>373</v>
      </c>
      <c r="K4" s="8"/>
      <c r="L4" s="252">
        <v>0.7</v>
      </c>
      <c r="M4" s="8"/>
      <c r="N4" s="252"/>
      <c r="O4" s="252"/>
      <c r="P4" s="252"/>
      <c r="Q4" s="252"/>
      <c r="R4" s="252"/>
      <c r="S4" s="252"/>
      <c r="T4" s="252">
        <v>0.7</v>
      </c>
      <c r="U4" s="253"/>
      <c r="V4" s="10"/>
      <c r="AQ4" s="311" t="s">
        <v>571</v>
      </c>
      <c r="AR4" s="311"/>
    </row>
    <row r="5" spans="1:55" x14ac:dyDescent="0.15">
      <c r="F5" s="10" t="s">
        <v>374</v>
      </c>
      <c r="G5" s="250"/>
      <c r="H5" s="8" t="s">
        <v>375</v>
      </c>
      <c r="I5" s="8"/>
      <c r="J5" s="8"/>
      <c r="K5" s="8"/>
      <c r="L5" s="252">
        <v>0.3</v>
      </c>
      <c r="M5" s="8"/>
      <c r="N5" s="8"/>
      <c r="O5" s="8"/>
      <c r="P5" s="8"/>
      <c r="Q5" s="8"/>
      <c r="R5" s="8"/>
      <c r="S5" s="8"/>
      <c r="T5" s="252">
        <v>0.3</v>
      </c>
      <c r="U5" s="255"/>
      <c r="W5" s="10"/>
      <c r="Z5" s="10"/>
      <c r="AA5" s="10"/>
      <c r="AB5" s="10"/>
      <c r="AC5" s="10"/>
      <c r="AD5" s="10"/>
      <c r="AE5" s="10"/>
      <c r="AQ5" s="312">
        <v>2337000190</v>
      </c>
      <c r="AR5" s="311"/>
    </row>
    <row r="6" spans="1:55" x14ac:dyDescent="0.15">
      <c r="F6" s="10" t="s">
        <v>376</v>
      </c>
      <c r="G6" s="250"/>
      <c r="H6" s="251" t="s">
        <v>377</v>
      </c>
      <c r="L6" s="252">
        <v>0.01</v>
      </c>
      <c r="N6" s="252"/>
      <c r="O6" s="252"/>
      <c r="P6" s="252"/>
      <c r="Q6" s="252"/>
      <c r="R6" s="252"/>
      <c r="S6" s="252"/>
      <c r="T6" s="252">
        <v>0.01</v>
      </c>
      <c r="U6" s="252"/>
      <c r="W6" s="10"/>
      <c r="Z6" s="10"/>
      <c r="AA6" s="10"/>
      <c r="AB6" s="10"/>
      <c r="AC6" s="10"/>
      <c r="AD6" s="10"/>
      <c r="AE6" s="10"/>
      <c r="AQ6" s="311"/>
      <c r="AR6" s="311"/>
    </row>
    <row r="7" spans="1:55" x14ac:dyDescent="0.15">
      <c r="F7" s="10" t="s">
        <v>378</v>
      </c>
      <c r="G7" s="250"/>
      <c r="H7" s="251" t="s">
        <v>379</v>
      </c>
      <c r="L7" s="252">
        <v>0.1</v>
      </c>
      <c r="N7" s="252"/>
      <c r="O7" s="252"/>
      <c r="P7" s="252"/>
      <c r="Q7" s="252"/>
      <c r="R7" s="252"/>
      <c r="S7" s="252"/>
      <c r="T7" s="252">
        <v>0.1</v>
      </c>
      <c r="U7" s="252"/>
      <c r="W7" s="10"/>
      <c r="Z7" s="10"/>
      <c r="AA7" s="10"/>
      <c r="AB7" s="10"/>
      <c r="AC7" s="10"/>
      <c r="AD7" s="10"/>
      <c r="AE7" s="10"/>
      <c r="AJ7" s="313"/>
      <c r="AK7" s="313"/>
      <c r="AL7" s="313"/>
      <c r="AM7" s="313" t="s">
        <v>572</v>
      </c>
      <c r="AN7" s="314" t="s">
        <v>573</v>
      </c>
      <c r="AQ7" s="311"/>
      <c r="AR7" s="311"/>
      <c r="AU7" s="9"/>
    </row>
    <row r="8" spans="1:55" x14ac:dyDescent="0.15">
      <c r="F8" s="10" t="s">
        <v>380</v>
      </c>
      <c r="G8" s="250"/>
      <c r="H8" s="251" t="s">
        <v>381</v>
      </c>
      <c r="K8" s="8"/>
      <c r="L8" s="256">
        <v>11525</v>
      </c>
      <c r="M8" s="8"/>
      <c r="N8" s="256"/>
      <c r="O8" s="256"/>
      <c r="P8" s="256"/>
      <c r="Q8" s="256"/>
      <c r="R8" s="256"/>
      <c r="S8" s="256"/>
      <c r="T8" s="256">
        <v>11525</v>
      </c>
      <c r="W8" s="10"/>
      <c r="Z8" s="10"/>
      <c r="AA8" s="10"/>
      <c r="AB8" s="10"/>
      <c r="AC8" s="10"/>
      <c r="AD8" s="10"/>
      <c r="AE8" s="10"/>
      <c r="AJ8" s="313"/>
      <c r="AK8" s="313"/>
      <c r="AL8" s="313" t="s">
        <v>574</v>
      </c>
      <c r="AM8" s="313" t="s">
        <v>575</v>
      </c>
      <c r="AN8" s="314" t="s">
        <v>576</v>
      </c>
      <c r="AQ8" s="311" t="s">
        <v>577</v>
      </c>
      <c r="AR8" s="311"/>
    </row>
    <row r="9" spans="1:55" x14ac:dyDescent="0.15">
      <c r="F9" s="10" t="s">
        <v>382</v>
      </c>
      <c r="G9" s="250"/>
      <c r="H9" s="7" t="s">
        <v>383</v>
      </c>
      <c r="L9" s="252">
        <v>0.1066</v>
      </c>
      <c r="T9" s="252"/>
      <c r="U9" s="252"/>
      <c r="V9" s="258"/>
      <c r="W9" s="10"/>
      <c r="Z9" s="10"/>
      <c r="AA9" s="10"/>
      <c r="AB9" s="10"/>
      <c r="AC9" s="10"/>
      <c r="AD9" s="10"/>
      <c r="AE9" s="10"/>
      <c r="AJ9" s="315" t="s">
        <v>429</v>
      </c>
      <c r="AK9" s="315" t="s">
        <v>578</v>
      </c>
      <c r="AL9" s="315" t="s">
        <v>579</v>
      </c>
      <c r="AM9" s="315" t="s">
        <v>580</v>
      </c>
      <c r="AN9" s="314" t="s">
        <v>581</v>
      </c>
      <c r="AO9" s="10"/>
      <c r="AQ9" s="316">
        <f>AQ17-AQ5</f>
        <v>23103651</v>
      </c>
      <c r="AR9" s="311"/>
    </row>
    <row r="10" spans="1:55" x14ac:dyDescent="0.15">
      <c r="F10" s="259" t="s">
        <v>384</v>
      </c>
      <c r="G10" s="260"/>
      <c r="H10" s="7" t="s">
        <v>385</v>
      </c>
      <c r="I10" s="8"/>
      <c r="J10" s="8"/>
      <c r="K10" s="8"/>
      <c r="L10" s="261">
        <v>8.3299999999999999E-2</v>
      </c>
      <c r="M10" s="8"/>
      <c r="N10" s="8"/>
      <c r="O10" s="8"/>
      <c r="P10" s="8"/>
      <c r="Q10" s="8"/>
      <c r="R10" s="8"/>
      <c r="S10" s="8"/>
      <c r="T10" s="252"/>
      <c r="U10" s="252"/>
      <c r="V10" s="258"/>
      <c r="W10" s="10"/>
      <c r="Z10" s="10"/>
      <c r="AA10" s="10"/>
      <c r="AB10" s="10"/>
      <c r="AC10" s="10"/>
      <c r="AD10" s="10"/>
      <c r="AE10" s="10"/>
      <c r="AJ10" s="315" t="s">
        <v>582</v>
      </c>
      <c r="AK10" s="315" t="s">
        <v>583</v>
      </c>
      <c r="AL10" s="315" t="s">
        <v>584</v>
      </c>
      <c r="AM10" s="315"/>
      <c r="AN10" s="314" t="s">
        <v>585</v>
      </c>
      <c r="AO10" s="10"/>
    </row>
    <row r="11" spans="1:55" x14ac:dyDescent="0.15">
      <c r="F11" s="260"/>
      <c r="G11" s="260"/>
      <c r="I11" s="8"/>
      <c r="J11" s="8"/>
      <c r="K11" s="8"/>
      <c r="L11" s="8"/>
      <c r="M11" s="8"/>
      <c r="N11" s="8"/>
      <c r="O11" s="8"/>
      <c r="P11" s="8"/>
      <c r="Q11" s="8"/>
      <c r="R11" s="8"/>
      <c r="S11" s="8"/>
      <c r="T11" s="252"/>
      <c r="U11" s="252"/>
      <c r="V11" s="258"/>
      <c r="W11" s="10"/>
      <c r="Z11" s="10"/>
      <c r="AA11" s="10"/>
      <c r="AB11" s="10"/>
      <c r="AC11" s="10"/>
      <c r="AD11" s="10"/>
      <c r="AE11" s="10"/>
      <c r="AJ11" s="315" t="s">
        <v>586</v>
      </c>
      <c r="AK11" s="315" t="s">
        <v>494</v>
      </c>
      <c r="AL11" s="315" t="s">
        <v>587</v>
      </c>
      <c r="AM11" s="315"/>
      <c r="AN11" s="315"/>
      <c r="AO11" s="10"/>
      <c r="AZ11" s="9"/>
    </row>
    <row r="12" spans="1:55" hidden="1" x14ac:dyDescent="0.15">
      <c r="F12" s="250" t="s">
        <v>386</v>
      </c>
      <c r="G12" s="250"/>
      <c r="H12" s="7" t="s">
        <v>387</v>
      </c>
      <c r="T12" s="252">
        <v>1.7999999999999999E-2</v>
      </c>
      <c r="W12" s="10"/>
      <c r="Z12" s="10"/>
      <c r="AA12" s="10"/>
      <c r="AB12" s="10"/>
      <c r="AC12" s="10"/>
      <c r="AD12" s="10"/>
      <c r="AE12" s="10"/>
      <c r="AJ12" s="317" t="s">
        <v>583</v>
      </c>
      <c r="AK12" s="317" t="s">
        <v>588</v>
      </c>
      <c r="AL12" s="317" t="s">
        <v>589</v>
      </c>
      <c r="AM12" s="317"/>
      <c r="AN12" s="317"/>
      <c r="AO12" s="317"/>
    </row>
    <row r="13" spans="1:55" hidden="1" x14ac:dyDescent="0.15">
      <c r="F13" s="260" t="s">
        <v>388</v>
      </c>
      <c r="G13" s="260"/>
      <c r="H13" s="7" t="s">
        <v>389</v>
      </c>
      <c r="I13" s="8"/>
      <c r="J13" s="8"/>
      <c r="K13" s="8"/>
      <c r="L13" s="8"/>
      <c r="M13" s="8"/>
      <c r="N13" s="8"/>
      <c r="O13" s="8"/>
      <c r="P13" s="8"/>
      <c r="Q13" s="8"/>
      <c r="R13" s="8"/>
      <c r="S13" s="8"/>
      <c r="T13" s="252">
        <v>0.14399999999999999</v>
      </c>
      <c r="W13" s="10"/>
      <c r="Z13" s="10"/>
      <c r="AA13" s="10"/>
      <c r="AB13" s="10"/>
      <c r="AC13" s="10"/>
      <c r="AD13" s="10"/>
      <c r="AE13" s="10"/>
      <c r="AJ13" s="317" t="s">
        <v>588</v>
      </c>
      <c r="AK13" s="317"/>
      <c r="AL13" s="317"/>
      <c r="AM13" s="317"/>
      <c r="AN13" s="317"/>
      <c r="AO13" s="317"/>
    </row>
    <row r="14" spans="1:55" hidden="1" x14ac:dyDescent="0.15">
      <c r="F14" s="260" t="s">
        <v>390</v>
      </c>
      <c r="G14" s="260"/>
      <c r="H14" s="7" t="s">
        <v>391</v>
      </c>
      <c r="I14" s="8"/>
      <c r="J14" s="8"/>
      <c r="K14" s="8"/>
      <c r="L14" s="8"/>
      <c r="M14" s="8"/>
      <c r="N14" s="8"/>
      <c r="O14" s="8"/>
      <c r="P14" s="8"/>
      <c r="Q14" s="8"/>
      <c r="R14" s="8"/>
      <c r="S14" s="8"/>
      <c r="T14" s="252">
        <v>0.216</v>
      </c>
      <c r="W14" s="10"/>
      <c r="Z14" s="10"/>
      <c r="AA14" s="10"/>
      <c r="AB14" s="10"/>
      <c r="AC14" s="10"/>
      <c r="AD14" s="10"/>
      <c r="AE14" s="10"/>
      <c r="AJ14" s="313"/>
      <c r="AK14" s="313"/>
      <c r="AL14" s="313"/>
      <c r="AM14" s="313"/>
      <c r="AN14" s="313"/>
      <c r="AO14" s="313"/>
    </row>
    <row r="15" spans="1:55" x14ac:dyDescent="0.15">
      <c r="F15" s="260"/>
      <c r="G15" s="260"/>
      <c r="I15" s="8"/>
      <c r="J15" s="8"/>
      <c r="K15" s="8"/>
      <c r="L15" s="8"/>
      <c r="M15" s="8"/>
      <c r="N15" s="8"/>
      <c r="O15" s="8"/>
      <c r="P15" s="8"/>
      <c r="Q15" s="8"/>
      <c r="R15" s="8"/>
      <c r="S15" s="8"/>
      <c r="T15" s="252"/>
      <c r="W15" s="10"/>
      <c r="Z15" s="10"/>
      <c r="AA15" s="10"/>
      <c r="AB15" s="10"/>
      <c r="AC15" s="10"/>
      <c r="AD15" s="10"/>
      <c r="AE15" s="10"/>
      <c r="AJ15" s="317" t="s">
        <v>583</v>
      </c>
      <c r="AK15" s="317" t="s">
        <v>588</v>
      </c>
      <c r="AL15" s="318" t="s">
        <v>590</v>
      </c>
      <c r="AM15" s="317"/>
      <c r="AN15" s="317"/>
    </row>
    <row r="16" spans="1:55" x14ac:dyDescent="0.15">
      <c r="H16" s="262"/>
      <c r="K16" s="263"/>
      <c r="L16" s="263"/>
      <c r="M16" s="263"/>
      <c r="N16" s="254"/>
      <c r="O16" s="254"/>
      <c r="P16" s="254"/>
      <c r="Q16" s="254"/>
      <c r="R16" s="254"/>
      <c r="S16" s="254"/>
      <c r="T16" s="254"/>
      <c r="U16" s="254"/>
      <c r="V16" s="10"/>
      <c r="W16" s="9"/>
      <c r="X16" s="10"/>
      <c r="Y16" s="264"/>
      <c r="Z16" s="10"/>
      <c r="AA16" s="10"/>
      <c r="AB16" s="10"/>
      <c r="AC16" s="265"/>
      <c r="AD16" s="265"/>
      <c r="AE16" s="265"/>
      <c r="AF16" s="9"/>
      <c r="AI16" s="9"/>
      <c r="AJ16" s="317" t="s">
        <v>588</v>
      </c>
      <c r="AK16" s="317"/>
      <c r="AL16" s="317"/>
      <c r="AM16" s="317"/>
      <c r="AN16" s="317"/>
      <c r="AO16" s="9"/>
      <c r="AP16" s="9"/>
      <c r="AQ16" s="9"/>
      <c r="AR16" s="9"/>
      <c r="AS16" s="9"/>
      <c r="AT16" s="9"/>
      <c r="AU16" s="9"/>
      <c r="AV16" s="9"/>
      <c r="AW16" s="9"/>
      <c r="AX16" s="9"/>
      <c r="AY16" s="9"/>
      <c r="AZ16" s="9"/>
      <c r="BA16" s="9"/>
      <c r="BB16" s="266"/>
      <c r="BC16" s="9"/>
    </row>
    <row r="17" spans="1:69" x14ac:dyDescent="0.15">
      <c r="C17" s="9">
        <f>SUM(C27:C195)</f>
        <v>33</v>
      </c>
      <c r="D17" s="9">
        <f>SUM(D27:D195)</f>
        <v>20</v>
      </c>
      <c r="E17" s="9">
        <f>SUM(E27:E195)</f>
        <v>10</v>
      </c>
      <c r="I17" s="267" t="s">
        <v>392</v>
      </c>
      <c r="J17" s="9"/>
      <c r="K17" s="254">
        <f t="shared" ref="K17:W17" si="0">SUM(K27:K195)</f>
        <v>485403.62000000005</v>
      </c>
      <c r="L17" s="254">
        <f>SUM(L27:L195)</f>
        <v>0</v>
      </c>
      <c r="M17" s="254">
        <f t="shared" si="0"/>
        <v>0</v>
      </c>
      <c r="N17" s="9">
        <f>SUM(N27:N195)</f>
        <v>203961</v>
      </c>
      <c r="O17" s="9"/>
      <c r="P17" s="9"/>
      <c r="Q17" s="9"/>
      <c r="R17" s="9">
        <f t="shared" si="0"/>
        <v>2739.9816000000001</v>
      </c>
      <c r="S17" s="9">
        <f t="shared" si="0"/>
        <v>41203</v>
      </c>
      <c r="T17" s="254">
        <f t="shared" si="0"/>
        <v>61188.299999999974</v>
      </c>
      <c r="U17" s="254">
        <f t="shared" si="0"/>
        <v>559632.65159999975</v>
      </c>
      <c r="V17" s="254">
        <f t="shared" si="0"/>
        <v>560940019828.7002</v>
      </c>
      <c r="W17" s="9">
        <f t="shared" si="0"/>
        <v>3569637</v>
      </c>
      <c r="X17" s="264">
        <f>ROUND(V17/W17,2)</f>
        <v>157142.03</v>
      </c>
      <c r="Y17" s="17"/>
      <c r="Z17" s="9">
        <f>SUM(Z27:Z195)</f>
        <v>15510635</v>
      </c>
      <c r="AA17" s="9"/>
      <c r="AB17" s="268">
        <f>SUM(AB27:AB195)</f>
        <v>24.278716000000003</v>
      </c>
      <c r="AC17" s="268">
        <f>SUM(AC27:AC195)</f>
        <v>42.490847000000009</v>
      </c>
      <c r="AD17" s="268"/>
      <c r="AE17" s="268"/>
      <c r="AF17" s="9">
        <f>SUM(AF27:AF195)</f>
        <v>22636</v>
      </c>
      <c r="AI17" s="9">
        <f>SUM(AI27:AI195)</f>
        <v>23720700</v>
      </c>
      <c r="AJ17" s="9"/>
      <c r="AK17" s="9"/>
      <c r="AL17" s="9"/>
      <c r="AM17" s="9">
        <f>SUM(AM27:AM195)</f>
        <v>1465000</v>
      </c>
      <c r="AN17" s="9">
        <f>SUM(AN27:AN195)</f>
        <v>25185700</v>
      </c>
      <c r="AO17" s="9">
        <f>SUM(AO27:AO195)</f>
        <v>2318162634</v>
      </c>
      <c r="AP17" s="9">
        <f>SUM(AP27:AP195)</f>
        <v>2343348334</v>
      </c>
      <c r="AQ17" s="319">
        <f>SUM(AQ27:AQ195)</f>
        <v>2360103841</v>
      </c>
      <c r="AR17" s="9">
        <f t="shared" ref="AR17:AS17" si="1">SUM(AR27:AR195)</f>
        <v>2017587098</v>
      </c>
      <c r="AS17" s="9">
        <f t="shared" si="1"/>
        <v>529791562</v>
      </c>
      <c r="AT17" s="9"/>
      <c r="AU17" s="9">
        <f>SUM(AU27:AU195)</f>
        <v>2139188097.1334</v>
      </c>
      <c r="AV17" s="9">
        <f t="shared" ref="AV17:AX17" si="2">SUM(AV27:AV195)</f>
        <v>54098827.211300001</v>
      </c>
      <c r="AW17" s="9">
        <f t="shared" si="2"/>
        <v>2184789061.2667999</v>
      </c>
      <c r="AX17" s="320">
        <f t="shared" si="2"/>
        <v>2184789061.2667999</v>
      </c>
      <c r="AY17" s="9">
        <f>AX17-AU17</f>
        <v>45600964.133399963</v>
      </c>
      <c r="AZ17" s="321" t="s">
        <v>591</v>
      </c>
      <c r="BA17" s="9" t="s">
        <v>592</v>
      </c>
      <c r="BB17" s="9"/>
      <c r="BC17" s="322" t="s">
        <v>593</v>
      </c>
      <c r="BD17" s="323"/>
      <c r="BE17" s="324"/>
      <c r="BF17" s="323"/>
      <c r="BG17" s="322" t="s">
        <v>594</v>
      </c>
      <c r="BH17" s="324"/>
      <c r="BI17" s="325" t="s">
        <v>595</v>
      </c>
      <c r="BK17" s="322" t="s">
        <v>593</v>
      </c>
      <c r="BL17" s="323"/>
      <c r="BM17" s="324"/>
      <c r="BN17" s="323"/>
      <c r="BO17" s="322" t="s">
        <v>594</v>
      </c>
      <c r="BP17" s="324"/>
      <c r="BQ17" s="325" t="s">
        <v>595</v>
      </c>
    </row>
    <row r="18" spans="1:69" x14ac:dyDescent="0.15">
      <c r="I18" s="9"/>
      <c r="J18" s="9"/>
      <c r="K18" s="10" t="s">
        <v>393</v>
      </c>
      <c r="L18" s="10"/>
      <c r="M18" s="10"/>
      <c r="N18" s="269" t="s">
        <v>394</v>
      </c>
      <c r="O18" s="269"/>
      <c r="P18" s="269"/>
      <c r="Q18" s="269"/>
      <c r="R18" s="269"/>
      <c r="S18" s="269"/>
      <c r="T18" s="270" t="s">
        <v>395</v>
      </c>
      <c r="U18" s="270" t="s">
        <v>396</v>
      </c>
      <c r="V18" s="270" t="s">
        <v>397</v>
      </c>
      <c r="W18" s="270" t="s">
        <v>398</v>
      </c>
      <c r="X18" s="270" t="s">
        <v>399</v>
      </c>
      <c r="Y18" s="270" t="s">
        <v>400</v>
      </c>
      <c r="Z18" s="269" t="s">
        <v>401</v>
      </c>
      <c r="AA18" s="269" t="s">
        <v>402</v>
      </c>
      <c r="AB18" s="269" t="s">
        <v>403</v>
      </c>
      <c r="AC18" s="269" t="s">
        <v>404</v>
      </c>
      <c r="AD18" s="269" t="s">
        <v>405</v>
      </c>
      <c r="AE18" s="269" t="s">
        <v>406</v>
      </c>
      <c r="AF18" s="270" t="s">
        <v>405</v>
      </c>
      <c r="AG18" s="270" t="s">
        <v>406</v>
      </c>
      <c r="AH18" s="270" t="s">
        <v>407</v>
      </c>
      <c r="AI18" s="270" t="s">
        <v>408</v>
      </c>
      <c r="AJ18" s="270"/>
      <c r="AK18" s="270"/>
      <c r="AL18" s="270"/>
      <c r="AM18" s="270"/>
      <c r="AN18" s="270"/>
      <c r="AO18" s="270" t="s">
        <v>409</v>
      </c>
      <c r="AP18" s="270" t="s">
        <v>410</v>
      </c>
      <c r="AQ18" s="270"/>
      <c r="AR18" s="270"/>
      <c r="AS18" s="270"/>
      <c r="AT18" s="270"/>
      <c r="AU18" s="270" t="s">
        <v>411</v>
      </c>
      <c r="AV18" s="270"/>
      <c r="AW18" s="270"/>
      <c r="AX18" s="326"/>
      <c r="AY18" s="270"/>
      <c r="AZ18" s="327">
        <f>COUNTIF(AY27:AY195,"&lt;0")</f>
        <v>0</v>
      </c>
      <c r="BA18" s="328">
        <f>SUMIF(AY27:AY195,"&lt;0")</f>
        <v>0</v>
      </c>
      <c r="BB18" s="273"/>
      <c r="BC18" s="270"/>
      <c r="BK18" s="270"/>
    </row>
    <row r="19" spans="1:69" x14ac:dyDescent="0.15">
      <c r="I19" s="9"/>
      <c r="J19" s="9"/>
      <c r="U19" s="8"/>
      <c r="X19" s="275" t="s">
        <v>412</v>
      </c>
      <c r="Y19" s="275" t="s">
        <v>413</v>
      </c>
      <c r="Z19" s="275" t="s">
        <v>412</v>
      </c>
      <c r="AA19" s="275" t="s">
        <v>414</v>
      </c>
      <c r="AB19" s="275"/>
      <c r="AC19" s="276" t="s">
        <v>0</v>
      </c>
      <c r="AD19" s="276"/>
      <c r="AE19" s="276"/>
      <c r="AO19" s="275" t="s">
        <v>415</v>
      </c>
      <c r="AP19" s="8"/>
      <c r="AQ19" s="8"/>
      <c r="AR19" s="8"/>
      <c r="AS19" s="8"/>
      <c r="AT19" s="8"/>
      <c r="AU19" s="8"/>
      <c r="AV19" s="8"/>
      <c r="AW19" s="8"/>
      <c r="AX19" s="329"/>
      <c r="AY19" s="17"/>
      <c r="AZ19" s="330" t="s">
        <v>596</v>
      </c>
      <c r="BA19" s="331" t="s">
        <v>597</v>
      </c>
      <c r="BB19" s="17"/>
      <c r="BC19" s="332" t="s">
        <v>598</v>
      </c>
      <c r="BD19" s="333"/>
      <c r="BE19" s="333"/>
      <c r="BF19" s="333"/>
      <c r="BG19" s="333"/>
      <c r="BH19" s="333"/>
      <c r="BI19" s="333"/>
      <c r="BK19" s="334" t="s">
        <v>599</v>
      </c>
      <c r="BL19" s="329"/>
      <c r="BM19" s="329"/>
      <c r="BN19" s="329"/>
      <c r="BO19" s="329"/>
      <c r="BP19" s="329"/>
      <c r="BQ19" s="329"/>
    </row>
    <row r="20" spans="1:69" x14ac:dyDescent="0.15">
      <c r="I20" s="9"/>
      <c r="J20" s="9"/>
      <c r="N20" s="276" t="s">
        <v>416</v>
      </c>
      <c r="O20" s="335" t="s">
        <v>600</v>
      </c>
      <c r="P20" s="276"/>
      <c r="Q20" s="276"/>
      <c r="R20" s="336" t="s">
        <v>601</v>
      </c>
      <c r="S20" s="276"/>
      <c r="X20" s="277">
        <f>MEDIAN(X27:X195)</f>
        <v>142612.44</v>
      </c>
      <c r="Y20" s="275" t="s">
        <v>417</v>
      </c>
      <c r="Z20" s="278">
        <f>MEDIAN(Z27:Z195)</f>
        <v>89255</v>
      </c>
      <c r="AA20" s="275" t="s">
        <v>417</v>
      </c>
      <c r="AB20" s="10" t="s">
        <v>418</v>
      </c>
      <c r="AC20" s="10" t="s">
        <v>419</v>
      </c>
      <c r="AD20" s="335" t="s">
        <v>602</v>
      </c>
      <c r="AE20" s="335" t="s">
        <v>603</v>
      </c>
      <c r="AH20" s="10" t="s">
        <v>420</v>
      </c>
      <c r="AO20" s="279" t="s">
        <v>421</v>
      </c>
      <c r="AP20" s="10"/>
      <c r="AQ20" s="10"/>
      <c r="AR20" s="10"/>
      <c r="AS20" s="10"/>
      <c r="AT20" s="10"/>
      <c r="AU20" s="10"/>
      <c r="AV20" s="10"/>
      <c r="AW20" s="10"/>
      <c r="AX20" s="337"/>
      <c r="AY20" s="10"/>
      <c r="AZ20" s="335">
        <f>COUNTIF(AY27:AY195,"&gt;0")</f>
        <v>81</v>
      </c>
      <c r="BA20" s="338">
        <f>SUMIF(AY27:AY195,"&gt;0")</f>
        <v>45600964.133399993</v>
      </c>
      <c r="BB20" s="10"/>
      <c r="BC20" s="10"/>
      <c r="BK20" s="10"/>
    </row>
    <row r="21" spans="1:69" x14ac:dyDescent="0.15">
      <c r="K21" s="10"/>
      <c r="L21" s="10"/>
      <c r="M21" s="10"/>
      <c r="N21" s="280" t="s">
        <v>423</v>
      </c>
      <c r="O21" s="280"/>
      <c r="P21" s="280"/>
      <c r="Q21" s="280"/>
      <c r="R21" s="339" t="s">
        <v>604</v>
      </c>
      <c r="S21" s="280"/>
      <c r="T21" s="8"/>
      <c r="V21" s="10" t="s">
        <v>424</v>
      </c>
      <c r="X21" s="10"/>
      <c r="Y21" s="281">
        <f>ROUND(X20*$T$3,2)</f>
        <v>192526.79</v>
      </c>
      <c r="Z21" s="10" t="s">
        <v>425</v>
      </c>
      <c r="AA21" s="281">
        <f>ROUND(Z20*$T$3,2)</f>
        <v>120494.25</v>
      </c>
      <c r="AB21" s="10" t="s">
        <v>426</v>
      </c>
      <c r="AC21" s="10" t="s">
        <v>427</v>
      </c>
      <c r="AD21" s="335" t="s">
        <v>605</v>
      </c>
      <c r="AE21" s="10"/>
      <c r="AF21" s="10" t="s">
        <v>429</v>
      </c>
      <c r="AG21" s="10" t="s">
        <v>430</v>
      </c>
      <c r="AH21" s="10" t="s">
        <v>431</v>
      </c>
      <c r="AI21" s="10" t="s">
        <v>420</v>
      </c>
      <c r="AJ21" s="10"/>
      <c r="AK21" s="10"/>
      <c r="AL21" s="10"/>
      <c r="AM21" s="10"/>
      <c r="AN21" s="10"/>
      <c r="AO21" s="283">
        <f>T8</f>
        <v>11525</v>
      </c>
      <c r="AS21" s="10" t="s">
        <v>432</v>
      </c>
      <c r="AW21" s="270" t="s">
        <v>606</v>
      </c>
      <c r="AX21" s="326"/>
      <c r="AZ21" s="340" t="s">
        <v>607</v>
      </c>
      <c r="BK21" s="7"/>
    </row>
    <row r="22" spans="1:69" ht="15" x14ac:dyDescent="0.15">
      <c r="K22" s="276" t="s">
        <v>416</v>
      </c>
      <c r="L22" s="276"/>
      <c r="M22" s="276"/>
      <c r="N22" s="280" t="s">
        <v>435</v>
      </c>
      <c r="O22" s="280"/>
      <c r="P22" s="341" t="s">
        <v>608</v>
      </c>
      <c r="Q22" s="280"/>
      <c r="R22" s="339" t="s">
        <v>609</v>
      </c>
      <c r="S22" s="280"/>
      <c r="T22" s="259" t="s">
        <v>437</v>
      </c>
      <c r="U22" s="342" t="s">
        <v>438</v>
      </c>
      <c r="V22" s="10" t="s">
        <v>439</v>
      </c>
      <c r="X22" s="10" t="s">
        <v>440</v>
      </c>
      <c r="Y22" s="275" t="s">
        <v>441</v>
      </c>
      <c r="Z22" s="10" t="s">
        <v>442</v>
      </c>
      <c r="AA22" s="275" t="s">
        <v>441</v>
      </c>
      <c r="AB22" s="10" t="s">
        <v>443</v>
      </c>
      <c r="AC22" s="10" t="s">
        <v>444</v>
      </c>
      <c r="AD22" s="335" t="s">
        <v>610</v>
      </c>
      <c r="AE22" s="10"/>
      <c r="AF22" s="10" t="s">
        <v>447</v>
      </c>
      <c r="AG22" s="10" t="s">
        <v>420</v>
      </c>
      <c r="AH22" s="10" t="s">
        <v>448</v>
      </c>
      <c r="AI22" s="10" t="s">
        <v>431</v>
      </c>
      <c r="AJ22" s="10"/>
      <c r="AK22" s="10"/>
      <c r="AL22" s="10"/>
      <c r="AM22" s="10"/>
      <c r="AN22" s="10"/>
      <c r="AO22" s="10" t="s">
        <v>449</v>
      </c>
      <c r="AP22" s="10" t="s">
        <v>450</v>
      </c>
      <c r="AQ22" s="343" t="s">
        <v>611</v>
      </c>
      <c r="AR22" s="10"/>
      <c r="AS22" s="276" t="s">
        <v>426</v>
      </c>
      <c r="AT22" s="10" t="s">
        <v>450</v>
      </c>
      <c r="AU22" s="8"/>
      <c r="AV22" s="8"/>
      <c r="AW22" s="269" t="s">
        <v>453</v>
      </c>
      <c r="AX22" s="344"/>
      <c r="AY22" s="17"/>
      <c r="AZ22" s="345" t="s">
        <v>612</v>
      </c>
      <c r="BA22" s="17"/>
      <c r="BB22" s="17"/>
      <c r="BC22" s="298">
        <f>SUM(BC27:BC195)</f>
        <v>2221892162.3223014</v>
      </c>
      <c r="BD22" s="298">
        <f t="shared" ref="BD22:BQ22" si="3">SUM(BD27:BD195)</f>
        <v>2258995263.3778</v>
      </c>
      <c r="BE22" s="298">
        <f t="shared" si="3"/>
        <v>2296098364.433301</v>
      </c>
      <c r="BF22" s="298">
        <f t="shared" si="3"/>
        <v>2333201465.4887996</v>
      </c>
      <c r="BG22" s="298">
        <f t="shared" si="3"/>
        <v>2369525273.6104999</v>
      </c>
      <c r="BH22" s="298">
        <f t="shared" si="3"/>
        <v>2361027410.5325999</v>
      </c>
      <c r="BI22" s="298">
        <f t="shared" si="3"/>
        <v>2343348334</v>
      </c>
      <c r="BK22" s="298">
        <f t="shared" si="3"/>
        <v>2223278949.7187014</v>
      </c>
      <c r="BL22" s="298">
        <f t="shared" si="3"/>
        <v>2261768838.1705999</v>
      </c>
      <c r="BM22" s="298">
        <f t="shared" si="3"/>
        <v>2300258726.6225009</v>
      </c>
      <c r="BN22" s="298">
        <f t="shared" si="3"/>
        <v>2338748615.0743999</v>
      </c>
      <c r="BO22" s="298">
        <f t="shared" si="3"/>
        <v>2376459210.5925002</v>
      </c>
      <c r="BP22" s="298">
        <f t="shared" si="3"/>
        <v>2369348134.9109998</v>
      </c>
      <c r="BQ22" s="298">
        <f t="shared" si="3"/>
        <v>2360103841</v>
      </c>
    </row>
    <row r="23" spans="1:69" x14ac:dyDescent="0.15">
      <c r="A23" s="8"/>
      <c r="B23" s="259"/>
      <c r="C23" s="10"/>
      <c r="D23" s="10" t="s">
        <v>455</v>
      </c>
      <c r="E23" s="10"/>
      <c r="F23" s="10" t="s">
        <v>456</v>
      </c>
      <c r="G23" s="10"/>
      <c r="K23" s="10" t="s">
        <v>457</v>
      </c>
      <c r="L23" s="10"/>
      <c r="M23" s="10"/>
      <c r="N23" s="280" t="s">
        <v>458</v>
      </c>
      <c r="O23" s="280"/>
      <c r="P23" s="341" t="s">
        <v>613</v>
      </c>
      <c r="Q23" s="280" t="s">
        <v>460</v>
      </c>
      <c r="R23" s="280"/>
      <c r="S23" s="280"/>
      <c r="T23" s="10" t="s">
        <v>461</v>
      </c>
      <c r="U23" s="342" t="s">
        <v>429</v>
      </c>
      <c r="V23" s="10" t="s">
        <v>462</v>
      </c>
      <c r="W23" s="10" t="s">
        <v>463</v>
      </c>
      <c r="X23" s="10" t="s">
        <v>464</v>
      </c>
      <c r="Y23" s="10" t="s">
        <v>1</v>
      </c>
      <c r="Z23" s="10" t="s">
        <v>465</v>
      </c>
      <c r="AA23" s="10" t="s">
        <v>2</v>
      </c>
      <c r="AB23" s="269" t="s">
        <v>466</v>
      </c>
      <c r="AC23" s="276" t="s">
        <v>467</v>
      </c>
      <c r="AD23" s="276"/>
      <c r="AE23" s="276"/>
      <c r="AF23" s="10" t="s">
        <v>420</v>
      </c>
      <c r="AG23" s="10" t="s">
        <v>431</v>
      </c>
      <c r="AH23" s="10" t="s">
        <v>469</v>
      </c>
      <c r="AI23" s="10" t="s">
        <v>469</v>
      </c>
      <c r="AJ23" s="10"/>
      <c r="AK23" s="10"/>
      <c r="AL23" s="10"/>
      <c r="AM23" s="10"/>
      <c r="AN23" s="10"/>
      <c r="AO23" s="10" t="s">
        <v>470</v>
      </c>
      <c r="AP23" s="276" t="s">
        <v>471</v>
      </c>
      <c r="AQ23" s="343" t="s">
        <v>471</v>
      </c>
      <c r="AR23" s="276" t="s">
        <v>473</v>
      </c>
      <c r="AS23" s="269" t="s">
        <v>474</v>
      </c>
      <c r="AT23" s="276" t="s">
        <v>475</v>
      </c>
      <c r="AU23" s="276" t="s">
        <v>614</v>
      </c>
      <c r="AV23" s="276"/>
      <c r="AW23" s="276" t="s">
        <v>452</v>
      </c>
      <c r="AX23" s="326" t="s">
        <v>606</v>
      </c>
      <c r="AY23" s="335" t="s">
        <v>615</v>
      </c>
      <c r="AZ23" s="335" t="s">
        <v>616</v>
      </c>
      <c r="BA23" s="276" t="s">
        <v>617</v>
      </c>
      <c r="BB23" s="276"/>
      <c r="BC23" s="276"/>
      <c r="BK23" s="276"/>
    </row>
    <row r="24" spans="1:69" x14ac:dyDescent="0.15">
      <c r="B24" s="10" t="s">
        <v>477</v>
      </c>
      <c r="C24" s="276" t="s">
        <v>455</v>
      </c>
      <c r="D24" s="276" t="s">
        <v>478</v>
      </c>
      <c r="E24" s="276" t="s">
        <v>479</v>
      </c>
      <c r="F24" s="276" t="s">
        <v>418</v>
      </c>
      <c r="G24" s="276" t="s">
        <v>480</v>
      </c>
      <c r="H24" s="10" t="s">
        <v>481</v>
      </c>
      <c r="I24" s="7" t="s">
        <v>481</v>
      </c>
      <c r="K24" s="10" t="s">
        <v>429</v>
      </c>
      <c r="L24" s="10"/>
      <c r="M24" s="10"/>
      <c r="N24" s="280" t="s">
        <v>482</v>
      </c>
      <c r="O24" s="280"/>
      <c r="P24" s="280"/>
      <c r="Q24" s="280" t="s">
        <v>483</v>
      </c>
      <c r="R24" s="280"/>
      <c r="S24" s="280" t="s">
        <v>484</v>
      </c>
      <c r="T24" s="276" t="s">
        <v>485</v>
      </c>
      <c r="U24" s="10" t="s">
        <v>486</v>
      </c>
      <c r="V24" s="10" t="s">
        <v>487</v>
      </c>
      <c r="W24" s="10" t="s">
        <v>488</v>
      </c>
      <c r="X24" s="269" t="s">
        <v>489</v>
      </c>
      <c r="Y24" s="10" t="s">
        <v>490</v>
      </c>
      <c r="Z24" s="10" t="s">
        <v>491</v>
      </c>
      <c r="AA24" s="10" t="s">
        <v>492</v>
      </c>
      <c r="AB24" s="286" t="s">
        <v>493</v>
      </c>
      <c r="AC24" s="10" t="s">
        <v>427</v>
      </c>
      <c r="AD24" s="10"/>
      <c r="AE24" s="10"/>
      <c r="AF24" s="10" t="s">
        <v>431</v>
      </c>
      <c r="AG24" s="10" t="s">
        <v>494</v>
      </c>
      <c r="AH24" s="318" t="s">
        <v>618</v>
      </c>
      <c r="AI24" s="276" t="s">
        <v>496</v>
      </c>
      <c r="AJ24" s="276"/>
      <c r="AK24" s="276"/>
      <c r="AL24" s="276"/>
      <c r="AM24" s="276"/>
      <c r="AN24" s="276"/>
      <c r="AO24" s="276" t="s">
        <v>497</v>
      </c>
      <c r="AP24" s="269" t="s">
        <v>619</v>
      </c>
      <c r="AQ24" s="346" t="s">
        <v>620</v>
      </c>
      <c r="AR24" s="269" t="s">
        <v>433</v>
      </c>
      <c r="AS24" s="276" t="s">
        <v>499</v>
      </c>
      <c r="AT24" s="269" t="s">
        <v>500</v>
      </c>
      <c r="AU24" s="269" t="s">
        <v>433</v>
      </c>
      <c r="AV24" s="269" t="s">
        <v>502</v>
      </c>
      <c r="AW24" s="347" t="s">
        <v>503</v>
      </c>
      <c r="AX24" s="344" t="s">
        <v>453</v>
      </c>
      <c r="AY24" s="348" t="s">
        <v>621</v>
      </c>
      <c r="AZ24" s="327">
        <f>SUM(AZ18,AZ20,AZ22)</f>
        <v>81</v>
      </c>
      <c r="BA24" s="349">
        <f>SUM(BA18,BA20)</f>
        <v>45600964.133399993</v>
      </c>
      <c r="BB24" s="350"/>
      <c r="BC24" s="269"/>
      <c r="BK24" s="269"/>
    </row>
    <row r="25" spans="1:69" x14ac:dyDescent="0.15">
      <c r="A25" s="10" t="s">
        <v>3</v>
      </c>
      <c r="B25" s="10" t="s">
        <v>505</v>
      </c>
      <c r="C25" s="276" t="s">
        <v>505</v>
      </c>
      <c r="D25" s="276" t="s">
        <v>479</v>
      </c>
      <c r="E25" s="276" t="s">
        <v>505</v>
      </c>
      <c r="F25" s="10" t="s">
        <v>506</v>
      </c>
      <c r="G25" s="10" t="s">
        <v>622</v>
      </c>
      <c r="H25" s="10" t="s">
        <v>508</v>
      </c>
      <c r="I25" s="7" t="s">
        <v>509</v>
      </c>
      <c r="K25" s="276" t="s">
        <v>588</v>
      </c>
      <c r="L25" s="276"/>
      <c r="M25" s="276"/>
      <c r="N25" s="280">
        <v>2020</v>
      </c>
      <c r="O25" s="280"/>
      <c r="P25" s="280"/>
      <c r="Q25" s="341" t="s">
        <v>623</v>
      </c>
      <c r="R25" s="280"/>
      <c r="S25" s="280">
        <v>2020</v>
      </c>
      <c r="T25" s="10" t="s">
        <v>512</v>
      </c>
      <c r="U25" s="10" t="s">
        <v>513</v>
      </c>
      <c r="V25" s="276" t="s">
        <v>624</v>
      </c>
      <c r="W25" s="10">
        <v>2018</v>
      </c>
      <c r="X25" s="276" t="s">
        <v>515</v>
      </c>
      <c r="Y25" s="276" t="s">
        <v>516</v>
      </c>
      <c r="Z25" s="10">
        <v>2018</v>
      </c>
      <c r="AA25" s="276" t="s">
        <v>516</v>
      </c>
      <c r="AB25" s="276" t="s">
        <v>517</v>
      </c>
      <c r="AC25" s="10" t="s">
        <v>518</v>
      </c>
      <c r="AD25" s="10"/>
      <c r="AE25" s="10"/>
      <c r="AF25" s="276" t="s">
        <v>588</v>
      </c>
      <c r="AG25" s="276" t="s">
        <v>588</v>
      </c>
      <c r="AH25" s="351" t="s">
        <v>625</v>
      </c>
      <c r="AI25" s="276" t="s">
        <v>520</v>
      </c>
      <c r="AJ25" s="276"/>
      <c r="AK25" s="276"/>
      <c r="AL25" s="276"/>
      <c r="AM25" s="276"/>
      <c r="AN25" s="276"/>
      <c r="AO25" s="10" t="s">
        <v>521</v>
      </c>
      <c r="AP25" s="317" t="s">
        <v>626</v>
      </c>
      <c r="AQ25" s="276"/>
      <c r="AR25" s="276" t="s">
        <v>523</v>
      </c>
      <c r="AS25" s="286" t="s">
        <v>524</v>
      </c>
      <c r="AT25" s="270" t="s">
        <v>525</v>
      </c>
      <c r="AU25" s="276" t="s">
        <v>452</v>
      </c>
      <c r="AV25" s="276" t="s">
        <v>527</v>
      </c>
      <c r="AW25" s="276" t="s">
        <v>528</v>
      </c>
      <c r="AX25" s="352" t="s">
        <v>452</v>
      </c>
      <c r="AY25" s="276"/>
      <c r="AZ25" s="276"/>
      <c r="BA25" s="276"/>
      <c r="BB25" s="276"/>
      <c r="BC25" s="276" t="s">
        <v>627</v>
      </c>
      <c r="BD25" s="276" t="s">
        <v>628</v>
      </c>
      <c r="BE25" s="276" t="s">
        <v>629</v>
      </c>
      <c r="BF25" s="276" t="s">
        <v>630</v>
      </c>
      <c r="BG25" s="276" t="s">
        <v>631</v>
      </c>
      <c r="BH25" s="276" t="s">
        <v>632</v>
      </c>
      <c r="BI25" s="276" t="s">
        <v>633</v>
      </c>
      <c r="BK25" s="276" t="s">
        <v>627</v>
      </c>
      <c r="BL25" s="276" t="s">
        <v>628</v>
      </c>
      <c r="BM25" s="276" t="s">
        <v>629</v>
      </c>
      <c r="BN25" s="276" t="s">
        <v>630</v>
      </c>
      <c r="BO25" s="276" t="s">
        <v>631</v>
      </c>
      <c r="BP25" s="276" t="s">
        <v>632</v>
      </c>
      <c r="BQ25" s="276" t="s">
        <v>633</v>
      </c>
    </row>
    <row r="26" spans="1:69" x14ac:dyDescent="0.15">
      <c r="C26" s="251"/>
      <c r="D26" s="251"/>
      <c r="E26" s="251"/>
      <c r="F26" s="251"/>
      <c r="G26" s="251"/>
      <c r="Q26" s="353" t="s">
        <v>634</v>
      </c>
      <c r="AP26" s="335" t="s">
        <v>635</v>
      </c>
      <c r="AQ26" s="335"/>
      <c r="AX26" s="354" t="s">
        <v>620</v>
      </c>
    </row>
    <row r="27" spans="1:69" ht="15" x14ac:dyDescent="0.2">
      <c r="A27" s="10" t="s">
        <v>4</v>
      </c>
      <c r="B27" s="10"/>
      <c r="C27" s="276"/>
      <c r="D27" s="276"/>
      <c r="E27" s="276"/>
      <c r="F27" s="8">
        <v>7</v>
      </c>
      <c r="G27" s="355">
        <v>63</v>
      </c>
      <c r="H27" s="10">
        <v>1</v>
      </c>
      <c r="I27" s="7" t="s">
        <v>5</v>
      </c>
      <c r="J27" s="287"/>
      <c r="K27" s="356">
        <v>386.97</v>
      </c>
      <c r="L27" s="355"/>
      <c r="M27" s="289"/>
      <c r="N27" s="357">
        <v>92</v>
      </c>
      <c r="O27" s="290">
        <f t="shared" ref="O27:O90" si="4">N27/K27</f>
        <v>0.23774452799958651</v>
      </c>
      <c r="P27" s="290">
        <f>IF(O27&gt;0.6,+O27-0.6,0)</f>
        <v>0</v>
      </c>
      <c r="Q27" s="291">
        <f t="shared" ref="Q27:Q90" si="5">P27*K27</f>
        <v>0</v>
      </c>
      <c r="R27" s="291">
        <f>Q27*0.15</f>
        <v>0</v>
      </c>
      <c r="S27" s="357">
        <v>3</v>
      </c>
      <c r="T27" s="292">
        <f t="shared" ref="T27:T90" si="6">ROUND(N27*$T$2,2)</f>
        <v>27.6</v>
      </c>
      <c r="U27" s="254">
        <f>K27+T27+0.25*S27+0.15*Q27</f>
        <v>415.32000000000005</v>
      </c>
      <c r="V27" s="356">
        <v>384616220</v>
      </c>
      <c r="W27" s="357">
        <v>3223</v>
      </c>
      <c r="X27" s="264">
        <f t="shared" ref="X27:X90" si="7">ROUND(V27/W27,2)</f>
        <v>119334.85</v>
      </c>
      <c r="Y27" s="293">
        <f t="shared" ref="Y27:Y90" si="8">(ROUND(X27/$Y$21,6))</f>
        <v>0.61983500000000002</v>
      </c>
      <c r="Z27" s="357">
        <v>101098</v>
      </c>
      <c r="AA27" s="293">
        <f t="shared" ref="AA27:AA90" si="9">(ROUND(Z27/$AA$21,6))</f>
        <v>0.839028</v>
      </c>
      <c r="AB27" s="293">
        <f t="shared" ref="AB27:AB90" si="10">ROUND(1-((Y27*$T$4)+(AA27*$T$5)),6)</f>
        <v>0.31440699999999999</v>
      </c>
      <c r="AC27" s="294">
        <f t="shared" ref="AC27:AC90" si="11">IF(C27=1,MAX($T$7,AB27),MAX($T$6,AB27))</f>
        <v>0.31440699999999999</v>
      </c>
      <c r="AD27" s="295">
        <f>IF(G27&gt;=1,IF(G27&lt;=5,0.06,IF(G27&lt;=10,0.05,IF(G27&lt;=15,0.04,IF(G27&lt;=19,0.03,0)))),0)</f>
        <v>0</v>
      </c>
      <c r="AE27" s="296">
        <f>+AD27+AC27</f>
        <v>0.31440699999999999</v>
      </c>
      <c r="AF27" s="357">
        <v>234</v>
      </c>
      <c r="AG27" s="357">
        <v>6</v>
      </c>
      <c r="AH27" s="254">
        <f>ROUND(AG27*100,2)</f>
        <v>600</v>
      </c>
      <c r="AI27" s="9">
        <f t="shared" ref="AI27:AI90" si="12">ROUND(AF27*AH27,0)</f>
        <v>140400</v>
      </c>
      <c r="AJ27" s="9">
        <v>0</v>
      </c>
      <c r="AK27" s="9">
        <f>IF(AJ27&gt;0,4,0)</f>
        <v>0</v>
      </c>
      <c r="AL27" s="9">
        <f>ROUND(AK27*100,2)</f>
        <v>0</v>
      </c>
      <c r="AM27" s="9">
        <f>ROUND(AJ27*AL27,0)</f>
        <v>0</v>
      </c>
      <c r="AN27" s="9">
        <f>AI27+AM27</f>
        <v>140400</v>
      </c>
      <c r="AO27" s="9">
        <f t="shared" ref="AO27:AO90" si="13">ROUND(U27*AE27*$AO$21,0)</f>
        <v>1504929</v>
      </c>
      <c r="AP27" s="9">
        <f>IF(AO27=0, 0,AN27+AO27)</f>
        <v>1645329</v>
      </c>
      <c r="AQ27" s="9">
        <f>IF(AND(C27=1,AP27&lt;AR27),AR27,AP27)</f>
        <v>1645329</v>
      </c>
      <c r="AR27" s="291">
        <v>2331185</v>
      </c>
      <c r="AS27" s="9">
        <f>ABS(SUM(AR27,-AP27))</f>
        <v>685856</v>
      </c>
      <c r="AT27" s="297" t="str">
        <f>IF(AP27&gt;AR27,"Yes","No")</f>
        <v>No</v>
      </c>
      <c r="AU27" s="357">
        <v>2004782</v>
      </c>
      <c r="AV27" s="291">
        <f t="shared" ref="AV27:AV90" si="14">IF(AT27="Yes",+AS27*$L$9,+AS27*$L$10)</f>
        <v>57131.804799999998</v>
      </c>
      <c r="AW27" s="291">
        <f>IF(AT27="Yes",+AU27+AV27,+AU27)</f>
        <v>2004782</v>
      </c>
      <c r="AX27" s="291">
        <f t="shared" ref="AX27:AX90" si="15">IF(C27=1,MAX(AW27,AR27),AW27)</f>
        <v>2004782</v>
      </c>
      <c r="AY27" s="358">
        <f>AX27-AU27</f>
        <v>0</v>
      </c>
      <c r="AZ27" s="301"/>
      <c r="BA27" s="301"/>
      <c r="BB27" s="302"/>
      <c r="BC27" s="291">
        <f>IF(AT27="Yes",AX27+AV27,AX27-AV27)</f>
        <v>1947650.1952</v>
      </c>
      <c r="BD27" s="298">
        <f>IF($AT27="Yes",BC27+$AV27,BC27-$AV27)</f>
        <v>1890518.3903999999</v>
      </c>
      <c r="BE27" s="298">
        <f t="shared" ref="BE27:BF27" si="16">IF($AT27="Yes",BD27+$AV27,BD27-$AV27)</f>
        <v>1833386.5855999999</v>
      </c>
      <c r="BF27" s="298">
        <f t="shared" si="16"/>
        <v>1776254.7807999998</v>
      </c>
      <c r="BG27" s="298">
        <f>IF($AT27="Yes",$AP27,BF27-$AV27)</f>
        <v>1719122.9759999998</v>
      </c>
      <c r="BH27" s="298">
        <f t="shared" ref="BH27" si="17">IF($AT27="Yes",$AP27,BG27-$AV27)</f>
        <v>1661991.1711999997</v>
      </c>
      <c r="BI27" s="298">
        <f>AP27</f>
        <v>1645329</v>
      </c>
      <c r="BK27" s="298">
        <f>IF($C27=1,MAX(BC27,$AR27),BC27)</f>
        <v>1947650.1952</v>
      </c>
      <c r="BL27" s="298">
        <f t="shared" ref="BL27:BP27" si="18">IF($C27=1,MAX(BD27,$AR27),BD27)</f>
        <v>1890518.3903999999</v>
      </c>
      <c r="BM27" s="298">
        <f t="shared" si="18"/>
        <v>1833386.5855999999</v>
      </c>
      <c r="BN27" s="298">
        <f t="shared" si="18"/>
        <v>1776254.7807999998</v>
      </c>
      <c r="BO27" s="298">
        <f t="shared" si="18"/>
        <v>1719122.9759999998</v>
      </c>
      <c r="BP27" s="298">
        <f t="shared" si="18"/>
        <v>1661991.1711999997</v>
      </c>
      <c r="BQ27" s="298">
        <f>AQ27</f>
        <v>1645329</v>
      </c>
    </row>
    <row r="28" spans="1:69" ht="15" x14ac:dyDescent="0.2">
      <c r="A28" s="10" t="s">
        <v>6</v>
      </c>
      <c r="B28" s="299"/>
      <c r="C28" s="276">
        <v>1</v>
      </c>
      <c r="D28" s="276">
        <v>1</v>
      </c>
      <c r="E28" s="276"/>
      <c r="F28" s="8">
        <v>10</v>
      </c>
      <c r="G28" s="359">
        <v>10</v>
      </c>
      <c r="H28" s="10">
        <v>2</v>
      </c>
      <c r="I28" s="7" t="s">
        <v>7</v>
      </c>
      <c r="J28" s="287"/>
      <c r="K28" s="356">
        <v>2388.0700000000002</v>
      </c>
      <c r="L28" s="359"/>
      <c r="M28" s="289"/>
      <c r="N28" s="357">
        <v>1585</v>
      </c>
      <c r="O28" s="290">
        <f t="shared" si="4"/>
        <v>0.66371588772523415</v>
      </c>
      <c r="P28" s="290">
        <f t="shared" ref="P28:P91" si="19">IF(O28&gt;0.6,+O28-0.6,0)</f>
        <v>6.3715887725234177E-2</v>
      </c>
      <c r="Q28" s="291">
        <f t="shared" si="5"/>
        <v>152.15799999999999</v>
      </c>
      <c r="R28" s="291">
        <f t="shared" ref="R28:R91" si="20">Q28*0.15</f>
        <v>22.823699999999999</v>
      </c>
      <c r="S28" s="357">
        <v>133</v>
      </c>
      <c r="T28" s="292">
        <f t="shared" si="6"/>
        <v>475.5</v>
      </c>
      <c r="U28" s="254">
        <f t="shared" ref="U28:U91" si="21">K28+T28+0.25*S28+0.15*Q28</f>
        <v>2919.6437000000001</v>
      </c>
      <c r="V28" s="356">
        <v>1478593672.6700001</v>
      </c>
      <c r="W28" s="357">
        <v>18860</v>
      </c>
      <c r="X28" s="264">
        <f t="shared" si="7"/>
        <v>78398.39</v>
      </c>
      <c r="Y28" s="293">
        <f t="shared" si="8"/>
        <v>0.40720800000000001</v>
      </c>
      <c r="Z28" s="357">
        <v>53540</v>
      </c>
      <c r="AA28" s="293">
        <f t="shared" si="9"/>
        <v>0.44433699999999998</v>
      </c>
      <c r="AB28" s="293">
        <f t="shared" si="10"/>
        <v>0.58165299999999998</v>
      </c>
      <c r="AC28" s="294">
        <f t="shared" si="11"/>
        <v>0.58165299999999998</v>
      </c>
      <c r="AD28" s="295">
        <f t="shared" ref="AD28:AD91" si="22">IF(G28&gt;=1,IF(G28&lt;=5,0.06,IF(G28&lt;=10,0.05,IF(G28&lt;=15,0.04,IF(G28&lt;=19,0.03,0)))),0)</f>
        <v>0.05</v>
      </c>
      <c r="AE28" s="296">
        <f t="shared" ref="AE28:AE91" si="23">+AD28+AC28</f>
        <v>0.63165300000000002</v>
      </c>
      <c r="AF28" s="357">
        <v>0</v>
      </c>
      <c r="AG28" s="357">
        <v>0</v>
      </c>
      <c r="AH28" s="254">
        <f t="shared" ref="AH28:AH91" si="24">ROUND(AG28*100,2)</f>
        <v>0</v>
      </c>
      <c r="AI28" s="9">
        <f t="shared" si="12"/>
        <v>0</v>
      </c>
      <c r="AJ28" s="9">
        <v>0</v>
      </c>
      <c r="AK28" s="9">
        <f t="shared" ref="AK28:AK91" si="25">IF(AJ28&gt;0,4,0)</f>
        <v>0</v>
      </c>
      <c r="AL28" s="9">
        <f t="shared" ref="AL28:AL91" si="26">ROUND(AK28*100,2)</f>
        <v>0</v>
      </c>
      <c r="AM28" s="9">
        <f t="shared" ref="AM28:AM91" si="27">ROUND(AJ28*AL28,0)</f>
        <v>0</v>
      </c>
      <c r="AN28" s="9">
        <f t="shared" ref="AN28:AN91" si="28">AI28+AM28</f>
        <v>0</v>
      </c>
      <c r="AO28" s="9">
        <f t="shared" si="13"/>
        <v>21254425</v>
      </c>
      <c r="AP28" s="9">
        <f t="shared" ref="AP28:AP91" si="29">IF(AO28=0, 0,AN28+AO28)</f>
        <v>21254425</v>
      </c>
      <c r="AQ28" s="9">
        <f t="shared" ref="AQ28:AQ91" si="30">IF(AND(C28=1,AP28&lt;AR28),AR28,AP28)</f>
        <v>21254425</v>
      </c>
      <c r="AR28" s="291">
        <v>16473543</v>
      </c>
      <c r="AS28" s="9">
        <f t="shared" ref="AS28:AS91" si="31">ABS(SUM(AR28,-AP28))</f>
        <v>4780882</v>
      </c>
      <c r="AT28" s="297" t="str">
        <f t="shared" ref="AT28:AT91" si="32">IF(AP28&gt;AR28,"Yes","No")</f>
        <v>Yes</v>
      </c>
      <c r="AU28" s="357">
        <v>18448070.021200001</v>
      </c>
      <c r="AV28" s="291">
        <f t="shared" si="14"/>
        <v>509642.02120000002</v>
      </c>
      <c r="AW28" s="291">
        <f t="shared" ref="AW28:AW91" si="33">IF(AT28="Yes",+AU28+AV28,+AU28)</f>
        <v>18957712.042400002</v>
      </c>
      <c r="AX28" s="291">
        <f t="shared" si="15"/>
        <v>18957712.042400002</v>
      </c>
      <c r="AY28" s="358">
        <f t="shared" ref="AY28:AY91" si="34">AX28-AU28</f>
        <v>509642.02120000124</v>
      </c>
      <c r="AZ28" s="301"/>
      <c r="BA28" s="301"/>
      <c r="BB28" s="302"/>
      <c r="BC28" s="291">
        <f t="shared" ref="BC28:BC91" si="35">IF(AT28="Yes",AX28+AV28,AX28-AV28)</f>
        <v>19467354.063600004</v>
      </c>
      <c r="BD28" s="298">
        <f t="shared" ref="BD28:BF43" si="36">IF($AT28="Yes",BC28+$AV28,BC28-$AV28)</f>
        <v>19976996.084800005</v>
      </c>
      <c r="BE28" s="298">
        <f t="shared" si="36"/>
        <v>20486638.106000006</v>
      </c>
      <c r="BF28" s="298">
        <f t="shared" si="36"/>
        <v>20996280.127200007</v>
      </c>
      <c r="BG28" s="298">
        <f t="shared" ref="BG28:BH43" si="37">IF($AT28="Yes",$AP28,BF28-$AV28)</f>
        <v>21254425</v>
      </c>
      <c r="BH28" s="298">
        <f t="shared" si="37"/>
        <v>21254425</v>
      </c>
      <c r="BI28" s="298">
        <f t="shared" ref="BI28:BI91" si="38">AP28</f>
        <v>21254425</v>
      </c>
      <c r="BK28" s="298">
        <f t="shared" ref="BK28:BK91" si="39">IF(C28=1,MAX(BC28,$AR28),BC28)</f>
        <v>19467354.063600004</v>
      </c>
      <c r="BL28" s="298">
        <f t="shared" ref="BL28:BL91" si="40">IF($C28=1,MAX(BD28,$AR28),BD28)</f>
        <v>19976996.084800005</v>
      </c>
      <c r="BM28" s="298">
        <f t="shared" ref="BM28:BM91" si="41">IF($C28=1,MAX(BE28,$AR28),BE28)</f>
        <v>20486638.106000006</v>
      </c>
      <c r="BN28" s="298">
        <f t="shared" ref="BN28:BN91" si="42">IF($C28=1,MAX(BF28,$AR28),BF28)</f>
        <v>20996280.127200007</v>
      </c>
      <c r="BO28" s="298">
        <f t="shared" ref="BO28:BO91" si="43">IF($C28=1,MAX(BG28,$AR28),BG28)</f>
        <v>21254425</v>
      </c>
      <c r="BP28" s="298">
        <f t="shared" ref="BP28:BP91" si="44">IF($C28=1,MAX(BH28,$AR28),BH28)</f>
        <v>21254425</v>
      </c>
      <c r="BQ28" s="298">
        <f t="shared" ref="BQ28:BQ91" si="45">AQ28</f>
        <v>21254425</v>
      </c>
    </row>
    <row r="29" spans="1:69" ht="15" x14ac:dyDescent="0.2">
      <c r="A29" s="10" t="s">
        <v>8</v>
      </c>
      <c r="B29" s="10"/>
      <c r="C29" s="276"/>
      <c r="D29" s="276"/>
      <c r="E29" s="276"/>
      <c r="F29" s="8">
        <v>8</v>
      </c>
      <c r="G29" s="355">
        <v>46</v>
      </c>
      <c r="H29" s="10">
        <v>3</v>
      </c>
      <c r="I29" s="7" t="s">
        <v>9</v>
      </c>
      <c r="J29" s="287"/>
      <c r="K29" s="356">
        <v>517.82000000000005</v>
      </c>
      <c r="L29" s="355"/>
      <c r="M29" s="289"/>
      <c r="N29" s="357">
        <v>190</v>
      </c>
      <c r="O29" s="290">
        <f t="shared" si="4"/>
        <v>0.36692286895060056</v>
      </c>
      <c r="P29" s="290">
        <f t="shared" si="19"/>
        <v>0</v>
      </c>
      <c r="Q29" s="291">
        <f t="shared" si="5"/>
        <v>0</v>
      </c>
      <c r="R29" s="291">
        <f t="shared" si="20"/>
        <v>0</v>
      </c>
      <c r="S29" s="357">
        <v>6</v>
      </c>
      <c r="T29" s="292">
        <f t="shared" si="6"/>
        <v>57</v>
      </c>
      <c r="U29" s="254">
        <f t="shared" si="21"/>
        <v>576.32000000000005</v>
      </c>
      <c r="V29" s="356">
        <v>454121204.32999998</v>
      </c>
      <c r="W29" s="357">
        <v>4234</v>
      </c>
      <c r="X29" s="264">
        <f t="shared" si="7"/>
        <v>107255.83</v>
      </c>
      <c r="Y29" s="293">
        <f t="shared" si="8"/>
        <v>0.55709600000000004</v>
      </c>
      <c r="Z29" s="357">
        <v>68269</v>
      </c>
      <c r="AA29" s="293">
        <f t="shared" si="9"/>
        <v>0.56657500000000005</v>
      </c>
      <c r="AB29" s="293">
        <f t="shared" si="10"/>
        <v>0.44006000000000001</v>
      </c>
      <c r="AC29" s="294">
        <f t="shared" si="11"/>
        <v>0.44006000000000001</v>
      </c>
      <c r="AD29" s="295">
        <f t="shared" si="22"/>
        <v>0</v>
      </c>
      <c r="AE29" s="296">
        <f t="shared" si="23"/>
        <v>0.44006000000000001</v>
      </c>
      <c r="AF29" s="357">
        <v>165</v>
      </c>
      <c r="AG29" s="357">
        <v>4</v>
      </c>
      <c r="AH29" s="254">
        <f t="shared" si="24"/>
        <v>400</v>
      </c>
      <c r="AI29" s="9">
        <f t="shared" si="12"/>
        <v>66000</v>
      </c>
      <c r="AJ29" s="9">
        <v>0</v>
      </c>
      <c r="AK29" s="9">
        <f t="shared" si="25"/>
        <v>0</v>
      </c>
      <c r="AL29" s="9">
        <f t="shared" si="26"/>
        <v>0</v>
      </c>
      <c r="AM29" s="9">
        <f t="shared" si="27"/>
        <v>0</v>
      </c>
      <c r="AN29" s="9">
        <f t="shared" si="28"/>
        <v>66000</v>
      </c>
      <c r="AO29" s="9">
        <f t="shared" si="13"/>
        <v>2922917</v>
      </c>
      <c r="AP29" s="9">
        <f t="shared" si="29"/>
        <v>2988917</v>
      </c>
      <c r="AQ29" s="9">
        <f t="shared" si="30"/>
        <v>2988917</v>
      </c>
      <c r="AR29" s="291">
        <v>3859564</v>
      </c>
      <c r="AS29" s="9">
        <f t="shared" si="31"/>
        <v>870647</v>
      </c>
      <c r="AT29" s="297" t="str">
        <f t="shared" si="32"/>
        <v>No</v>
      </c>
      <c r="AU29" s="357">
        <v>3459062</v>
      </c>
      <c r="AV29" s="291">
        <f t="shared" si="14"/>
        <v>72524.895099999994</v>
      </c>
      <c r="AW29" s="291">
        <f t="shared" si="33"/>
        <v>3459062</v>
      </c>
      <c r="AX29" s="291">
        <f t="shared" si="15"/>
        <v>3459062</v>
      </c>
      <c r="AY29" s="358">
        <f t="shared" si="34"/>
        <v>0</v>
      </c>
      <c r="AZ29" s="301"/>
      <c r="BA29" s="301"/>
      <c r="BB29" s="302"/>
      <c r="BC29" s="291">
        <f t="shared" si="35"/>
        <v>3386537.1049000002</v>
      </c>
      <c r="BD29" s="298">
        <f t="shared" si="36"/>
        <v>3314012.2098000003</v>
      </c>
      <c r="BE29" s="298">
        <f t="shared" si="36"/>
        <v>3241487.3147000005</v>
      </c>
      <c r="BF29" s="298">
        <f t="shared" si="36"/>
        <v>3168962.4196000006</v>
      </c>
      <c r="BG29" s="298">
        <f t="shared" si="37"/>
        <v>3096437.5245000008</v>
      </c>
      <c r="BH29" s="298">
        <f t="shared" si="37"/>
        <v>3023912.6294000009</v>
      </c>
      <c r="BI29" s="298">
        <f t="shared" si="38"/>
        <v>2988917</v>
      </c>
      <c r="BK29" s="298">
        <f t="shared" si="39"/>
        <v>3386537.1049000002</v>
      </c>
      <c r="BL29" s="298">
        <f t="shared" si="40"/>
        <v>3314012.2098000003</v>
      </c>
      <c r="BM29" s="298">
        <f t="shared" si="41"/>
        <v>3241487.3147000005</v>
      </c>
      <c r="BN29" s="298">
        <f t="shared" si="42"/>
        <v>3168962.4196000006</v>
      </c>
      <c r="BO29" s="298">
        <f t="shared" si="43"/>
        <v>3096437.5245000008</v>
      </c>
      <c r="BP29" s="298">
        <f t="shared" si="44"/>
        <v>3023912.6294000009</v>
      </c>
      <c r="BQ29" s="298">
        <f t="shared" si="45"/>
        <v>2988917</v>
      </c>
    </row>
    <row r="30" spans="1:69" ht="15" x14ac:dyDescent="0.2">
      <c r="A30" s="10" t="s">
        <v>10</v>
      </c>
      <c r="B30" s="10"/>
      <c r="C30" s="276"/>
      <c r="D30" s="276"/>
      <c r="E30" s="276"/>
      <c r="F30" s="8">
        <v>2</v>
      </c>
      <c r="G30" s="355">
        <v>153</v>
      </c>
      <c r="H30" s="10">
        <v>4</v>
      </c>
      <c r="I30" s="7" t="s">
        <v>11</v>
      </c>
      <c r="J30" s="287"/>
      <c r="K30" s="356">
        <v>3133.65</v>
      </c>
      <c r="L30" s="355"/>
      <c r="M30" s="289"/>
      <c r="N30" s="357">
        <v>179</v>
      </c>
      <c r="O30" s="290">
        <f t="shared" si="4"/>
        <v>5.7121886617841809E-2</v>
      </c>
      <c r="P30" s="290">
        <f t="shared" si="19"/>
        <v>0</v>
      </c>
      <c r="Q30" s="291">
        <f t="shared" si="5"/>
        <v>0</v>
      </c>
      <c r="R30" s="291">
        <f t="shared" si="20"/>
        <v>0</v>
      </c>
      <c r="S30" s="357">
        <v>92</v>
      </c>
      <c r="T30" s="292">
        <f t="shared" si="6"/>
        <v>53.7</v>
      </c>
      <c r="U30" s="254">
        <f t="shared" si="21"/>
        <v>3210.35</v>
      </c>
      <c r="V30" s="356">
        <v>3689662670.6700001</v>
      </c>
      <c r="W30" s="357">
        <v>18338</v>
      </c>
      <c r="X30" s="264">
        <f t="shared" si="7"/>
        <v>201203.11</v>
      </c>
      <c r="Y30" s="293">
        <f t="shared" si="8"/>
        <v>1.0450660000000001</v>
      </c>
      <c r="Z30" s="357">
        <v>132500</v>
      </c>
      <c r="AA30" s="293">
        <f t="shared" si="9"/>
        <v>1.0996379999999999</v>
      </c>
      <c r="AB30" s="293">
        <f t="shared" si="10"/>
        <v>-6.1438E-2</v>
      </c>
      <c r="AC30" s="294">
        <f t="shared" si="11"/>
        <v>0.01</v>
      </c>
      <c r="AD30" s="295">
        <f t="shared" si="22"/>
        <v>0</v>
      </c>
      <c r="AE30" s="296">
        <f t="shared" si="23"/>
        <v>0.01</v>
      </c>
      <c r="AF30" s="357">
        <v>0</v>
      </c>
      <c r="AG30" s="357">
        <v>0</v>
      </c>
      <c r="AH30" s="254">
        <f t="shared" si="24"/>
        <v>0</v>
      </c>
      <c r="AI30" s="9">
        <f t="shared" si="12"/>
        <v>0</v>
      </c>
      <c r="AJ30" s="9">
        <v>0</v>
      </c>
      <c r="AK30" s="9">
        <f t="shared" si="25"/>
        <v>0</v>
      </c>
      <c r="AL30" s="9">
        <f t="shared" si="26"/>
        <v>0</v>
      </c>
      <c r="AM30" s="9">
        <f t="shared" si="27"/>
        <v>0</v>
      </c>
      <c r="AN30" s="9">
        <f t="shared" si="28"/>
        <v>0</v>
      </c>
      <c r="AO30" s="9">
        <f t="shared" si="13"/>
        <v>369993</v>
      </c>
      <c r="AP30" s="9">
        <f t="shared" si="29"/>
        <v>369993</v>
      </c>
      <c r="AQ30" s="9">
        <f t="shared" si="30"/>
        <v>369993</v>
      </c>
      <c r="AR30" s="291">
        <v>731456</v>
      </c>
      <c r="AS30" s="9">
        <f t="shared" si="31"/>
        <v>361463</v>
      </c>
      <c r="AT30" s="297" t="str">
        <f t="shared" si="32"/>
        <v>No</v>
      </c>
      <c r="AU30" s="357">
        <v>584016</v>
      </c>
      <c r="AV30" s="291">
        <f t="shared" si="14"/>
        <v>30109.867900000001</v>
      </c>
      <c r="AW30" s="291">
        <f t="shared" si="33"/>
        <v>584016</v>
      </c>
      <c r="AX30" s="291">
        <f t="shared" si="15"/>
        <v>584016</v>
      </c>
      <c r="AY30" s="358">
        <f t="shared" si="34"/>
        <v>0</v>
      </c>
      <c r="AZ30" s="301"/>
      <c r="BA30" s="301"/>
      <c r="BB30" s="302"/>
      <c r="BC30" s="291">
        <f t="shared" si="35"/>
        <v>553906.13210000005</v>
      </c>
      <c r="BD30" s="298">
        <f t="shared" si="36"/>
        <v>523796.26420000003</v>
      </c>
      <c r="BE30" s="298">
        <f t="shared" si="36"/>
        <v>493686.39630000002</v>
      </c>
      <c r="BF30" s="298">
        <f t="shared" si="36"/>
        <v>463576.52840000001</v>
      </c>
      <c r="BG30" s="298">
        <f t="shared" si="37"/>
        <v>433466.6605</v>
      </c>
      <c r="BH30" s="298">
        <f t="shared" si="37"/>
        <v>403356.79259999999</v>
      </c>
      <c r="BI30" s="298">
        <f t="shared" si="38"/>
        <v>369993</v>
      </c>
      <c r="BK30" s="298">
        <f t="shared" si="39"/>
        <v>553906.13210000005</v>
      </c>
      <c r="BL30" s="298">
        <f t="shared" si="40"/>
        <v>523796.26420000003</v>
      </c>
      <c r="BM30" s="298">
        <f t="shared" si="41"/>
        <v>493686.39630000002</v>
      </c>
      <c r="BN30" s="298">
        <f t="shared" si="42"/>
        <v>463576.52840000001</v>
      </c>
      <c r="BO30" s="298">
        <f t="shared" si="43"/>
        <v>433466.6605</v>
      </c>
      <c r="BP30" s="298">
        <f t="shared" si="44"/>
        <v>403356.79259999999</v>
      </c>
      <c r="BQ30" s="298">
        <f t="shared" si="45"/>
        <v>369993</v>
      </c>
    </row>
    <row r="31" spans="1:69" ht="15" x14ac:dyDescent="0.2">
      <c r="A31" s="10" t="s">
        <v>4</v>
      </c>
      <c r="B31" s="10"/>
      <c r="C31" s="276"/>
      <c r="D31" s="276"/>
      <c r="E31" s="276"/>
      <c r="F31" s="8">
        <v>5</v>
      </c>
      <c r="G31" s="355">
        <v>91</v>
      </c>
      <c r="H31" s="10">
        <v>5</v>
      </c>
      <c r="I31" s="7" t="s">
        <v>12</v>
      </c>
      <c r="J31" s="287"/>
      <c r="K31" s="356">
        <v>476.42</v>
      </c>
      <c r="L31" s="355"/>
      <c r="M31" s="289"/>
      <c r="N31" s="357">
        <v>94</v>
      </c>
      <c r="O31" s="290">
        <f t="shared" si="4"/>
        <v>0.19730489903866336</v>
      </c>
      <c r="P31" s="290">
        <f t="shared" si="19"/>
        <v>0</v>
      </c>
      <c r="Q31" s="291">
        <f t="shared" si="5"/>
        <v>0</v>
      </c>
      <c r="R31" s="291">
        <f t="shared" si="20"/>
        <v>0</v>
      </c>
      <c r="S31" s="357">
        <v>1</v>
      </c>
      <c r="T31" s="292">
        <f t="shared" si="6"/>
        <v>28.2</v>
      </c>
      <c r="U31" s="254">
        <f t="shared" si="21"/>
        <v>504.87</v>
      </c>
      <c r="V31" s="356">
        <v>524371704</v>
      </c>
      <c r="W31" s="357">
        <v>3671</v>
      </c>
      <c r="X31" s="264">
        <f t="shared" si="7"/>
        <v>142841.65</v>
      </c>
      <c r="Y31" s="293">
        <f t="shared" si="8"/>
        <v>0.74193100000000001</v>
      </c>
      <c r="Z31" s="357">
        <v>111071</v>
      </c>
      <c r="AA31" s="293">
        <f t="shared" si="9"/>
        <v>0.92179500000000003</v>
      </c>
      <c r="AB31" s="293">
        <f t="shared" si="10"/>
        <v>0.20411000000000001</v>
      </c>
      <c r="AC31" s="294">
        <f t="shared" si="11"/>
        <v>0.20411000000000001</v>
      </c>
      <c r="AD31" s="295">
        <f t="shared" si="22"/>
        <v>0</v>
      </c>
      <c r="AE31" s="296">
        <f t="shared" si="23"/>
        <v>0.20411000000000001</v>
      </c>
      <c r="AF31" s="357">
        <v>279</v>
      </c>
      <c r="AG31" s="357">
        <v>6</v>
      </c>
      <c r="AH31" s="254">
        <f t="shared" si="24"/>
        <v>600</v>
      </c>
      <c r="AI31" s="9">
        <f t="shared" si="12"/>
        <v>167400</v>
      </c>
      <c r="AJ31" s="9">
        <v>0</v>
      </c>
      <c r="AK31" s="9">
        <f t="shared" si="25"/>
        <v>0</v>
      </c>
      <c r="AL31" s="9">
        <f t="shared" si="26"/>
        <v>0</v>
      </c>
      <c r="AM31" s="9">
        <f t="shared" si="27"/>
        <v>0</v>
      </c>
      <c r="AN31" s="9">
        <f t="shared" si="28"/>
        <v>167400</v>
      </c>
      <c r="AO31" s="9">
        <f t="shared" si="13"/>
        <v>1187640</v>
      </c>
      <c r="AP31" s="9">
        <f t="shared" si="29"/>
        <v>1355040</v>
      </c>
      <c r="AQ31" s="9">
        <f t="shared" si="30"/>
        <v>1355040</v>
      </c>
      <c r="AR31" s="291">
        <v>1633686</v>
      </c>
      <c r="AS31" s="9">
        <f t="shared" si="31"/>
        <v>278646</v>
      </c>
      <c r="AT31" s="297" t="str">
        <f t="shared" si="32"/>
        <v>No</v>
      </c>
      <c r="AU31" s="357">
        <v>1494242</v>
      </c>
      <c r="AV31" s="291">
        <f t="shared" si="14"/>
        <v>23211.211800000001</v>
      </c>
      <c r="AW31" s="291">
        <f t="shared" si="33"/>
        <v>1494242</v>
      </c>
      <c r="AX31" s="291">
        <f t="shared" si="15"/>
        <v>1494242</v>
      </c>
      <c r="AY31" s="358">
        <f t="shared" si="34"/>
        <v>0</v>
      </c>
      <c r="AZ31" s="301"/>
      <c r="BA31" s="301"/>
      <c r="BB31" s="302"/>
      <c r="BC31" s="291">
        <f t="shared" si="35"/>
        <v>1471030.7882000001</v>
      </c>
      <c r="BD31" s="298">
        <f t="shared" si="36"/>
        <v>1447819.5764000001</v>
      </c>
      <c r="BE31" s="298">
        <f t="shared" si="36"/>
        <v>1424608.3646000002</v>
      </c>
      <c r="BF31" s="298">
        <f t="shared" si="36"/>
        <v>1401397.1528000003</v>
      </c>
      <c r="BG31" s="298">
        <f t="shared" si="37"/>
        <v>1378185.9410000003</v>
      </c>
      <c r="BH31" s="298">
        <f t="shared" si="37"/>
        <v>1354974.7292000004</v>
      </c>
      <c r="BI31" s="298">
        <f t="shared" si="38"/>
        <v>1355040</v>
      </c>
      <c r="BK31" s="298">
        <f t="shared" si="39"/>
        <v>1471030.7882000001</v>
      </c>
      <c r="BL31" s="298">
        <f t="shared" si="40"/>
        <v>1447819.5764000001</v>
      </c>
      <c r="BM31" s="298">
        <f t="shared" si="41"/>
        <v>1424608.3646000002</v>
      </c>
      <c r="BN31" s="298">
        <f t="shared" si="42"/>
        <v>1401397.1528000003</v>
      </c>
      <c r="BO31" s="298">
        <f t="shared" si="43"/>
        <v>1378185.9410000003</v>
      </c>
      <c r="BP31" s="298">
        <f t="shared" si="44"/>
        <v>1354974.7292000004</v>
      </c>
      <c r="BQ31" s="298">
        <f t="shared" si="45"/>
        <v>1355040</v>
      </c>
    </row>
    <row r="32" spans="1:69" ht="15" x14ac:dyDescent="0.2">
      <c r="A32" s="10" t="s">
        <v>8</v>
      </c>
      <c r="B32" s="10"/>
      <c r="C32" s="276"/>
      <c r="D32" s="276"/>
      <c r="E32" s="276"/>
      <c r="F32" s="8">
        <v>7</v>
      </c>
      <c r="G32" s="360">
        <v>48</v>
      </c>
      <c r="H32" s="10">
        <v>6</v>
      </c>
      <c r="I32" s="7" t="s">
        <v>13</v>
      </c>
      <c r="J32" s="287"/>
      <c r="K32" s="356">
        <v>724.27</v>
      </c>
      <c r="L32" s="360"/>
      <c r="M32" s="289"/>
      <c r="N32" s="357">
        <v>190</v>
      </c>
      <c r="O32" s="290">
        <f t="shared" si="4"/>
        <v>0.26233310781890734</v>
      </c>
      <c r="P32" s="290">
        <f t="shared" si="19"/>
        <v>0</v>
      </c>
      <c r="Q32" s="291">
        <f t="shared" si="5"/>
        <v>0</v>
      </c>
      <c r="R32" s="291">
        <f t="shared" si="20"/>
        <v>0</v>
      </c>
      <c r="S32" s="357">
        <v>11</v>
      </c>
      <c r="T32" s="292">
        <f t="shared" si="6"/>
        <v>57</v>
      </c>
      <c r="U32" s="254">
        <f t="shared" si="21"/>
        <v>784.02</v>
      </c>
      <c r="V32" s="356">
        <v>713944682.33000004</v>
      </c>
      <c r="W32" s="357">
        <v>6115</v>
      </c>
      <c r="X32" s="264">
        <f t="shared" si="7"/>
        <v>116753.01</v>
      </c>
      <c r="Y32" s="293">
        <f t="shared" si="8"/>
        <v>0.60642499999999999</v>
      </c>
      <c r="Z32" s="357">
        <v>86842</v>
      </c>
      <c r="AA32" s="293">
        <f t="shared" si="9"/>
        <v>0.72071499999999999</v>
      </c>
      <c r="AB32" s="293">
        <f t="shared" si="10"/>
        <v>0.359288</v>
      </c>
      <c r="AC32" s="294">
        <f t="shared" si="11"/>
        <v>0.359288</v>
      </c>
      <c r="AD32" s="295">
        <f t="shared" si="22"/>
        <v>0</v>
      </c>
      <c r="AE32" s="296">
        <f t="shared" si="23"/>
        <v>0.359288</v>
      </c>
      <c r="AF32" s="357">
        <v>725</v>
      </c>
      <c r="AG32" s="357">
        <v>13</v>
      </c>
      <c r="AH32" s="254">
        <f t="shared" si="24"/>
        <v>1300</v>
      </c>
      <c r="AI32" s="9">
        <f t="shared" si="12"/>
        <v>942500</v>
      </c>
      <c r="AJ32" s="9">
        <v>0</v>
      </c>
      <c r="AK32" s="9">
        <f t="shared" si="25"/>
        <v>0</v>
      </c>
      <c r="AL32" s="9">
        <f t="shared" si="26"/>
        <v>0</v>
      </c>
      <c r="AM32" s="9">
        <f t="shared" si="27"/>
        <v>0</v>
      </c>
      <c r="AN32" s="9">
        <f t="shared" si="28"/>
        <v>942500</v>
      </c>
      <c r="AO32" s="9">
        <f t="shared" si="13"/>
        <v>3246465</v>
      </c>
      <c r="AP32" s="9">
        <f t="shared" si="29"/>
        <v>4188965</v>
      </c>
      <c r="AQ32" s="9">
        <f t="shared" si="30"/>
        <v>4188965</v>
      </c>
      <c r="AR32" s="291">
        <v>4067920</v>
      </c>
      <c r="AS32" s="9">
        <f t="shared" si="31"/>
        <v>121045</v>
      </c>
      <c r="AT32" s="297" t="str">
        <f t="shared" si="32"/>
        <v>Yes</v>
      </c>
      <c r="AU32" s="357">
        <v>3959463.3969999999</v>
      </c>
      <c r="AV32" s="291">
        <f t="shared" si="14"/>
        <v>12903.397000000001</v>
      </c>
      <c r="AW32" s="291">
        <f t="shared" si="33"/>
        <v>3972366.7939999998</v>
      </c>
      <c r="AX32" s="291">
        <f t="shared" si="15"/>
        <v>3972366.7939999998</v>
      </c>
      <c r="AY32" s="358">
        <f t="shared" si="34"/>
        <v>12903.396999999881</v>
      </c>
      <c r="AZ32" s="301"/>
      <c r="BA32" s="301"/>
      <c r="BB32" s="302"/>
      <c r="BC32" s="291">
        <f t="shared" si="35"/>
        <v>3985270.1909999996</v>
      </c>
      <c r="BD32" s="298">
        <f t="shared" si="36"/>
        <v>3998173.5879999995</v>
      </c>
      <c r="BE32" s="298">
        <f t="shared" si="36"/>
        <v>4011076.9849999994</v>
      </c>
      <c r="BF32" s="298">
        <f t="shared" si="36"/>
        <v>4023980.3819999993</v>
      </c>
      <c r="BG32" s="298">
        <f t="shared" si="37"/>
        <v>4188965</v>
      </c>
      <c r="BH32" s="298">
        <f t="shared" si="37"/>
        <v>4188965</v>
      </c>
      <c r="BI32" s="298">
        <f t="shared" si="38"/>
        <v>4188965</v>
      </c>
      <c r="BK32" s="298">
        <f t="shared" si="39"/>
        <v>3985270.1909999996</v>
      </c>
      <c r="BL32" s="298">
        <f t="shared" si="40"/>
        <v>3998173.5879999995</v>
      </c>
      <c r="BM32" s="298">
        <f t="shared" si="41"/>
        <v>4011076.9849999994</v>
      </c>
      <c r="BN32" s="298">
        <f t="shared" si="42"/>
        <v>4023980.3819999993</v>
      </c>
      <c r="BO32" s="298">
        <f t="shared" si="43"/>
        <v>4188965</v>
      </c>
      <c r="BP32" s="298">
        <f t="shared" si="44"/>
        <v>4188965</v>
      </c>
      <c r="BQ32" s="298">
        <f t="shared" si="45"/>
        <v>4188965</v>
      </c>
    </row>
    <row r="33" spans="1:69" ht="15" x14ac:dyDescent="0.2">
      <c r="A33" s="10" t="s">
        <v>14</v>
      </c>
      <c r="B33" s="10"/>
      <c r="C33" s="276"/>
      <c r="D33" s="276"/>
      <c r="E33" s="276"/>
      <c r="F33" s="8">
        <v>4</v>
      </c>
      <c r="G33" s="355">
        <v>100</v>
      </c>
      <c r="H33" s="10">
        <v>7</v>
      </c>
      <c r="I33" s="7" t="s">
        <v>15</v>
      </c>
      <c r="J33" s="287"/>
      <c r="K33" s="356">
        <v>2741.09</v>
      </c>
      <c r="L33" s="355"/>
      <c r="M33" s="289"/>
      <c r="N33" s="357">
        <v>565</v>
      </c>
      <c r="O33" s="290">
        <f t="shared" si="4"/>
        <v>0.20612238197213517</v>
      </c>
      <c r="P33" s="290">
        <f t="shared" si="19"/>
        <v>0</v>
      </c>
      <c r="Q33" s="291">
        <f t="shared" si="5"/>
        <v>0</v>
      </c>
      <c r="R33" s="291">
        <f t="shared" si="20"/>
        <v>0</v>
      </c>
      <c r="S33" s="357">
        <v>94</v>
      </c>
      <c r="T33" s="292">
        <f t="shared" si="6"/>
        <v>169.5</v>
      </c>
      <c r="U33" s="254">
        <f t="shared" si="21"/>
        <v>2934.09</v>
      </c>
      <c r="V33" s="356">
        <v>3349698440.6700001</v>
      </c>
      <c r="W33" s="357">
        <v>20519</v>
      </c>
      <c r="X33" s="264">
        <f t="shared" si="7"/>
        <v>163248.62</v>
      </c>
      <c r="Y33" s="293">
        <f t="shared" si="8"/>
        <v>0.84792699999999999</v>
      </c>
      <c r="Z33" s="357">
        <v>95996</v>
      </c>
      <c r="AA33" s="293">
        <f t="shared" si="9"/>
        <v>0.79668499999999998</v>
      </c>
      <c r="AB33" s="293">
        <f t="shared" si="10"/>
        <v>0.16744600000000001</v>
      </c>
      <c r="AC33" s="294">
        <f t="shared" si="11"/>
        <v>0.16744600000000001</v>
      </c>
      <c r="AD33" s="295">
        <f t="shared" si="22"/>
        <v>0</v>
      </c>
      <c r="AE33" s="296">
        <f t="shared" si="23"/>
        <v>0.16744600000000001</v>
      </c>
      <c r="AF33" s="357">
        <v>0</v>
      </c>
      <c r="AG33" s="357">
        <v>0</v>
      </c>
      <c r="AH33" s="254">
        <f t="shared" si="24"/>
        <v>0</v>
      </c>
      <c r="AI33" s="9">
        <f t="shared" si="12"/>
        <v>0</v>
      </c>
      <c r="AJ33" s="9">
        <v>0</v>
      </c>
      <c r="AK33" s="9">
        <f t="shared" si="25"/>
        <v>0</v>
      </c>
      <c r="AL33" s="9">
        <f t="shared" si="26"/>
        <v>0</v>
      </c>
      <c r="AM33" s="9">
        <f t="shared" si="27"/>
        <v>0</v>
      </c>
      <c r="AN33" s="9">
        <f t="shared" si="28"/>
        <v>0</v>
      </c>
      <c r="AO33" s="9">
        <f t="shared" si="13"/>
        <v>5662251</v>
      </c>
      <c r="AP33" s="9">
        <f t="shared" si="29"/>
        <v>5662251</v>
      </c>
      <c r="AQ33" s="9">
        <f t="shared" si="30"/>
        <v>5662251</v>
      </c>
      <c r="AR33" s="291">
        <v>6215712</v>
      </c>
      <c r="AS33" s="9">
        <f t="shared" si="31"/>
        <v>553461</v>
      </c>
      <c r="AT33" s="297" t="str">
        <f t="shared" si="32"/>
        <v>No</v>
      </c>
      <c r="AU33" s="357">
        <v>5870600</v>
      </c>
      <c r="AV33" s="291">
        <f t="shared" si="14"/>
        <v>46103.301299999999</v>
      </c>
      <c r="AW33" s="291">
        <f t="shared" si="33"/>
        <v>5870600</v>
      </c>
      <c r="AX33" s="291">
        <f t="shared" si="15"/>
        <v>5870600</v>
      </c>
      <c r="AY33" s="358">
        <f t="shared" si="34"/>
        <v>0</v>
      </c>
      <c r="AZ33" s="301"/>
      <c r="BA33" s="301"/>
      <c r="BB33" s="302"/>
      <c r="BC33" s="291">
        <f t="shared" si="35"/>
        <v>5824496.6986999996</v>
      </c>
      <c r="BD33" s="298">
        <f t="shared" si="36"/>
        <v>5778393.3973999992</v>
      </c>
      <c r="BE33" s="298">
        <f t="shared" si="36"/>
        <v>5732290.0960999988</v>
      </c>
      <c r="BF33" s="298">
        <f t="shared" si="36"/>
        <v>5686186.7947999984</v>
      </c>
      <c r="BG33" s="298">
        <f t="shared" si="37"/>
        <v>5640083.493499998</v>
      </c>
      <c r="BH33" s="298">
        <f t="shared" si="37"/>
        <v>5593980.1921999976</v>
      </c>
      <c r="BI33" s="298">
        <f t="shared" si="38"/>
        <v>5662251</v>
      </c>
      <c r="BK33" s="298">
        <f t="shared" si="39"/>
        <v>5824496.6986999996</v>
      </c>
      <c r="BL33" s="298">
        <f t="shared" si="40"/>
        <v>5778393.3973999992</v>
      </c>
      <c r="BM33" s="298">
        <f t="shared" si="41"/>
        <v>5732290.0960999988</v>
      </c>
      <c r="BN33" s="298">
        <f t="shared" si="42"/>
        <v>5686186.7947999984</v>
      </c>
      <c r="BO33" s="298">
        <f t="shared" si="43"/>
        <v>5640083.493499998</v>
      </c>
      <c r="BP33" s="298">
        <f t="shared" si="44"/>
        <v>5593980.1921999976</v>
      </c>
      <c r="BQ33" s="298">
        <f t="shared" si="45"/>
        <v>5662251</v>
      </c>
    </row>
    <row r="34" spans="1:69" ht="15" x14ac:dyDescent="0.2">
      <c r="A34" s="10" t="s">
        <v>4</v>
      </c>
      <c r="B34" s="10"/>
      <c r="C34" s="276"/>
      <c r="D34" s="276"/>
      <c r="E34" s="276"/>
      <c r="F34" s="8">
        <v>3</v>
      </c>
      <c r="G34" s="355">
        <v>119</v>
      </c>
      <c r="H34" s="10">
        <v>8</v>
      </c>
      <c r="I34" s="7" t="s">
        <v>16</v>
      </c>
      <c r="J34" s="287"/>
      <c r="K34" s="356">
        <v>755.64</v>
      </c>
      <c r="L34" s="355"/>
      <c r="M34" s="289"/>
      <c r="N34" s="357">
        <v>83</v>
      </c>
      <c r="O34" s="290">
        <f t="shared" si="4"/>
        <v>0.10984066486686782</v>
      </c>
      <c r="P34" s="290">
        <f t="shared" si="19"/>
        <v>0</v>
      </c>
      <c r="Q34" s="291">
        <f t="shared" si="5"/>
        <v>0</v>
      </c>
      <c r="R34" s="291">
        <f t="shared" si="20"/>
        <v>0</v>
      </c>
      <c r="S34" s="357">
        <v>11</v>
      </c>
      <c r="T34" s="292">
        <f t="shared" si="6"/>
        <v>24.9</v>
      </c>
      <c r="U34" s="254">
        <f t="shared" si="21"/>
        <v>783.29</v>
      </c>
      <c r="V34" s="356">
        <v>824860372.66999996</v>
      </c>
      <c r="W34" s="357">
        <v>5504</v>
      </c>
      <c r="X34" s="264">
        <f t="shared" si="7"/>
        <v>149865.62</v>
      </c>
      <c r="Y34" s="293">
        <f t="shared" si="8"/>
        <v>0.77841400000000005</v>
      </c>
      <c r="Z34" s="357">
        <v>119653</v>
      </c>
      <c r="AA34" s="293">
        <f t="shared" si="9"/>
        <v>0.99301799999999996</v>
      </c>
      <c r="AB34" s="293">
        <f t="shared" si="10"/>
        <v>0.15720500000000001</v>
      </c>
      <c r="AC34" s="294">
        <f t="shared" si="11"/>
        <v>0.15720500000000001</v>
      </c>
      <c r="AD34" s="295">
        <f t="shared" si="22"/>
        <v>0</v>
      </c>
      <c r="AE34" s="296">
        <f t="shared" si="23"/>
        <v>0.15720500000000001</v>
      </c>
      <c r="AF34" s="357">
        <v>390</v>
      </c>
      <c r="AG34" s="357">
        <v>6</v>
      </c>
      <c r="AH34" s="254">
        <f t="shared" si="24"/>
        <v>600</v>
      </c>
      <c r="AI34" s="9">
        <f t="shared" si="12"/>
        <v>234000</v>
      </c>
      <c r="AJ34" s="9">
        <v>0</v>
      </c>
      <c r="AK34" s="9">
        <f t="shared" si="25"/>
        <v>0</v>
      </c>
      <c r="AL34" s="9">
        <f t="shared" si="26"/>
        <v>0</v>
      </c>
      <c r="AM34" s="9">
        <f t="shared" si="27"/>
        <v>0</v>
      </c>
      <c r="AN34" s="9">
        <f t="shared" si="28"/>
        <v>234000</v>
      </c>
      <c r="AO34" s="9">
        <f t="shared" si="13"/>
        <v>1419155</v>
      </c>
      <c r="AP34" s="9">
        <f t="shared" si="29"/>
        <v>1653155</v>
      </c>
      <c r="AQ34" s="9">
        <f t="shared" si="30"/>
        <v>1653155</v>
      </c>
      <c r="AR34" s="291">
        <v>2000209</v>
      </c>
      <c r="AS34" s="9">
        <f t="shared" si="31"/>
        <v>347054</v>
      </c>
      <c r="AT34" s="297" t="str">
        <f t="shared" si="32"/>
        <v>No</v>
      </c>
      <c r="AU34" s="357">
        <v>1764574</v>
      </c>
      <c r="AV34" s="291">
        <f t="shared" si="14"/>
        <v>28909.5982</v>
      </c>
      <c r="AW34" s="291">
        <f t="shared" si="33"/>
        <v>1764574</v>
      </c>
      <c r="AX34" s="291">
        <f t="shared" si="15"/>
        <v>1764574</v>
      </c>
      <c r="AY34" s="358">
        <f t="shared" si="34"/>
        <v>0</v>
      </c>
      <c r="AZ34" s="301"/>
      <c r="BA34" s="301"/>
      <c r="BB34" s="302"/>
      <c r="BC34" s="291">
        <f t="shared" si="35"/>
        <v>1735664.4018000001</v>
      </c>
      <c r="BD34" s="298">
        <f t="shared" si="36"/>
        <v>1706754.8036000002</v>
      </c>
      <c r="BE34" s="298">
        <f t="shared" si="36"/>
        <v>1677845.2054000003</v>
      </c>
      <c r="BF34" s="298">
        <f t="shared" si="36"/>
        <v>1648935.6072000004</v>
      </c>
      <c r="BG34" s="298">
        <f t="shared" si="37"/>
        <v>1620026.0090000005</v>
      </c>
      <c r="BH34" s="298">
        <f t="shared" si="37"/>
        <v>1591116.4108000007</v>
      </c>
      <c r="BI34" s="298">
        <f t="shared" si="38"/>
        <v>1653155</v>
      </c>
      <c r="BK34" s="298">
        <f t="shared" si="39"/>
        <v>1735664.4018000001</v>
      </c>
      <c r="BL34" s="298">
        <f t="shared" si="40"/>
        <v>1706754.8036000002</v>
      </c>
      <c r="BM34" s="298">
        <f t="shared" si="41"/>
        <v>1677845.2054000003</v>
      </c>
      <c r="BN34" s="298">
        <f t="shared" si="42"/>
        <v>1648935.6072000004</v>
      </c>
      <c r="BO34" s="298">
        <f t="shared" si="43"/>
        <v>1620026.0090000005</v>
      </c>
      <c r="BP34" s="298">
        <f t="shared" si="44"/>
        <v>1591116.4108000007</v>
      </c>
      <c r="BQ34" s="298">
        <f t="shared" si="45"/>
        <v>1653155</v>
      </c>
    </row>
    <row r="35" spans="1:69" ht="15" x14ac:dyDescent="0.2">
      <c r="A35" s="10" t="s">
        <v>14</v>
      </c>
      <c r="B35" s="10"/>
      <c r="C35" s="276"/>
      <c r="D35" s="276"/>
      <c r="E35" s="276"/>
      <c r="F35" s="8">
        <v>4</v>
      </c>
      <c r="G35" s="355">
        <v>73</v>
      </c>
      <c r="H35" s="10">
        <v>9</v>
      </c>
      <c r="I35" s="7" t="s">
        <v>17</v>
      </c>
      <c r="J35" s="287"/>
      <c r="K35" s="356">
        <v>3056.47</v>
      </c>
      <c r="L35" s="355"/>
      <c r="M35" s="289"/>
      <c r="N35" s="357">
        <v>991</v>
      </c>
      <c r="O35" s="290">
        <f t="shared" si="4"/>
        <v>0.32423023945924551</v>
      </c>
      <c r="P35" s="290">
        <f t="shared" si="19"/>
        <v>0</v>
      </c>
      <c r="Q35" s="291">
        <f t="shared" si="5"/>
        <v>0</v>
      </c>
      <c r="R35" s="291">
        <f t="shared" si="20"/>
        <v>0</v>
      </c>
      <c r="S35" s="357">
        <v>183</v>
      </c>
      <c r="T35" s="292">
        <f t="shared" si="6"/>
        <v>297.3</v>
      </c>
      <c r="U35" s="254">
        <f t="shared" si="21"/>
        <v>3399.52</v>
      </c>
      <c r="V35" s="356">
        <v>2974067644.6700001</v>
      </c>
      <c r="W35" s="357">
        <v>19551</v>
      </c>
      <c r="X35" s="264">
        <f t="shared" si="7"/>
        <v>152118.44</v>
      </c>
      <c r="Y35" s="293">
        <f t="shared" si="8"/>
        <v>0.79011600000000004</v>
      </c>
      <c r="Z35" s="357">
        <v>101473</v>
      </c>
      <c r="AA35" s="293">
        <f t="shared" si="9"/>
        <v>0.84214</v>
      </c>
      <c r="AB35" s="293">
        <f t="shared" si="10"/>
        <v>0.19427700000000001</v>
      </c>
      <c r="AC35" s="294">
        <f t="shared" si="11"/>
        <v>0.19427700000000001</v>
      </c>
      <c r="AD35" s="295">
        <f t="shared" si="22"/>
        <v>0</v>
      </c>
      <c r="AE35" s="296">
        <f t="shared" si="23"/>
        <v>0.19427700000000001</v>
      </c>
      <c r="AF35" s="357">
        <v>0</v>
      </c>
      <c r="AG35" s="357">
        <v>0</v>
      </c>
      <c r="AH35" s="254">
        <f t="shared" si="24"/>
        <v>0</v>
      </c>
      <c r="AI35" s="9">
        <f t="shared" si="12"/>
        <v>0</v>
      </c>
      <c r="AJ35" s="9">
        <v>0</v>
      </c>
      <c r="AK35" s="9">
        <f t="shared" si="25"/>
        <v>0</v>
      </c>
      <c r="AL35" s="9">
        <f t="shared" si="26"/>
        <v>0</v>
      </c>
      <c r="AM35" s="9">
        <f t="shared" si="27"/>
        <v>0</v>
      </c>
      <c r="AN35" s="9">
        <f t="shared" si="28"/>
        <v>0</v>
      </c>
      <c r="AO35" s="9">
        <f t="shared" si="13"/>
        <v>7611670</v>
      </c>
      <c r="AP35" s="9">
        <f t="shared" si="29"/>
        <v>7611670</v>
      </c>
      <c r="AQ35" s="9">
        <f t="shared" si="30"/>
        <v>7611670</v>
      </c>
      <c r="AR35" s="291">
        <v>8087732</v>
      </c>
      <c r="AS35" s="9">
        <f t="shared" si="31"/>
        <v>476062</v>
      </c>
      <c r="AT35" s="297" t="str">
        <f t="shared" si="32"/>
        <v>No</v>
      </c>
      <c r="AU35" s="357">
        <v>7880729</v>
      </c>
      <c r="AV35" s="291">
        <f t="shared" si="14"/>
        <v>39655.964599999999</v>
      </c>
      <c r="AW35" s="291">
        <f t="shared" si="33"/>
        <v>7880729</v>
      </c>
      <c r="AX35" s="291">
        <f t="shared" si="15"/>
        <v>7880729</v>
      </c>
      <c r="AY35" s="358">
        <f t="shared" si="34"/>
        <v>0</v>
      </c>
      <c r="AZ35" s="301"/>
      <c r="BA35" s="301"/>
      <c r="BB35" s="302"/>
      <c r="BC35" s="291">
        <f t="shared" si="35"/>
        <v>7841073.0354000004</v>
      </c>
      <c r="BD35" s="298">
        <f t="shared" si="36"/>
        <v>7801417.0708000008</v>
      </c>
      <c r="BE35" s="298">
        <f t="shared" si="36"/>
        <v>7761761.1062000012</v>
      </c>
      <c r="BF35" s="298">
        <f t="shared" si="36"/>
        <v>7722105.1416000016</v>
      </c>
      <c r="BG35" s="298">
        <f t="shared" si="37"/>
        <v>7682449.177000002</v>
      </c>
      <c r="BH35" s="298">
        <f t="shared" si="37"/>
        <v>7642793.2124000024</v>
      </c>
      <c r="BI35" s="298">
        <f t="shared" si="38"/>
        <v>7611670</v>
      </c>
      <c r="BK35" s="298">
        <f t="shared" si="39"/>
        <v>7841073.0354000004</v>
      </c>
      <c r="BL35" s="298">
        <f t="shared" si="40"/>
        <v>7801417.0708000008</v>
      </c>
      <c r="BM35" s="298">
        <f t="shared" si="41"/>
        <v>7761761.1062000012</v>
      </c>
      <c r="BN35" s="298">
        <f t="shared" si="42"/>
        <v>7722105.1416000016</v>
      </c>
      <c r="BO35" s="298">
        <f t="shared" si="43"/>
        <v>7682449.177000002</v>
      </c>
      <c r="BP35" s="298">
        <f t="shared" si="44"/>
        <v>7642793.2124000024</v>
      </c>
      <c r="BQ35" s="298">
        <f t="shared" si="45"/>
        <v>7611670</v>
      </c>
    </row>
    <row r="36" spans="1:69" ht="15" x14ac:dyDescent="0.2">
      <c r="A36" s="10" t="s">
        <v>4</v>
      </c>
      <c r="B36" s="10"/>
      <c r="C36" s="276"/>
      <c r="D36" s="276"/>
      <c r="E36" s="276"/>
      <c r="F36" s="8">
        <v>5</v>
      </c>
      <c r="G36" s="355">
        <v>102</v>
      </c>
      <c r="H36" s="10">
        <v>10</v>
      </c>
      <c r="I36" s="7" t="s">
        <v>18</v>
      </c>
      <c r="J36" s="287"/>
      <c r="K36" s="356">
        <v>363.14</v>
      </c>
      <c r="L36" s="355"/>
      <c r="M36" s="289"/>
      <c r="N36" s="357">
        <v>100</v>
      </c>
      <c r="O36" s="290">
        <f t="shared" si="4"/>
        <v>0.27537588808723912</v>
      </c>
      <c r="P36" s="290">
        <f t="shared" si="19"/>
        <v>0</v>
      </c>
      <c r="Q36" s="291">
        <f t="shared" si="5"/>
        <v>0</v>
      </c>
      <c r="R36" s="291">
        <f t="shared" si="20"/>
        <v>0</v>
      </c>
      <c r="S36" s="357">
        <v>3</v>
      </c>
      <c r="T36" s="292">
        <f t="shared" si="6"/>
        <v>30</v>
      </c>
      <c r="U36" s="254">
        <f t="shared" si="21"/>
        <v>393.89</v>
      </c>
      <c r="V36" s="356">
        <v>523151700.67000002</v>
      </c>
      <c r="W36" s="357">
        <v>3452</v>
      </c>
      <c r="X36" s="264">
        <f t="shared" si="7"/>
        <v>151550.32</v>
      </c>
      <c r="Y36" s="293">
        <f t="shared" si="8"/>
        <v>0.787165</v>
      </c>
      <c r="Z36" s="357">
        <v>93750</v>
      </c>
      <c r="AA36" s="293">
        <f t="shared" si="9"/>
        <v>0.77804499999999999</v>
      </c>
      <c r="AB36" s="293">
        <f t="shared" si="10"/>
        <v>0.21557100000000001</v>
      </c>
      <c r="AC36" s="294">
        <f t="shared" si="11"/>
        <v>0.21557100000000001</v>
      </c>
      <c r="AD36" s="295">
        <f t="shared" si="22"/>
        <v>0</v>
      </c>
      <c r="AE36" s="296">
        <f t="shared" si="23"/>
        <v>0.21557100000000001</v>
      </c>
      <c r="AF36" s="357">
        <v>363</v>
      </c>
      <c r="AG36" s="357">
        <v>13</v>
      </c>
      <c r="AH36" s="254">
        <f t="shared" si="24"/>
        <v>1300</v>
      </c>
      <c r="AI36" s="9">
        <f t="shared" si="12"/>
        <v>471900</v>
      </c>
      <c r="AJ36" s="9">
        <v>0</v>
      </c>
      <c r="AK36" s="9">
        <f t="shared" si="25"/>
        <v>0</v>
      </c>
      <c r="AL36" s="9">
        <f t="shared" si="26"/>
        <v>0</v>
      </c>
      <c r="AM36" s="9">
        <f t="shared" si="27"/>
        <v>0</v>
      </c>
      <c r="AN36" s="9">
        <f t="shared" si="28"/>
        <v>471900</v>
      </c>
      <c r="AO36" s="9">
        <f t="shared" si="13"/>
        <v>978602</v>
      </c>
      <c r="AP36" s="9">
        <f t="shared" si="29"/>
        <v>1450502</v>
      </c>
      <c r="AQ36" s="9">
        <f t="shared" si="30"/>
        <v>1450502</v>
      </c>
      <c r="AR36" s="291">
        <v>1278838</v>
      </c>
      <c r="AS36" s="9">
        <f t="shared" si="31"/>
        <v>171664</v>
      </c>
      <c r="AT36" s="297" t="str">
        <f t="shared" si="32"/>
        <v>Yes</v>
      </c>
      <c r="AU36" s="357">
        <v>1146826.3824</v>
      </c>
      <c r="AV36" s="291">
        <f t="shared" si="14"/>
        <v>18299.382399999999</v>
      </c>
      <c r="AW36" s="291">
        <f t="shared" si="33"/>
        <v>1165125.7648</v>
      </c>
      <c r="AX36" s="291">
        <f t="shared" si="15"/>
        <v>1165125.7648</v>
      </c>
      <c r="AY36" s="358">
        <f t="shared" si="34"/>
        <v>18299.382400000002</v>
      </c>
      <c r="AZ36" s="301"/>
      <c r="BA36" s="301"/>
      <c r="BB36" s="302"/>
      <c r="BC36" s="291">
        <f t="shared" si="35"/>
        <v>1183425.1472</v>
      </c>
      <c r="BD36" s="298">
        <f t="shared" si="36"/>
        <v>1201724.5296</v>
      </c>
      <c r="BE36" s="298">
        <f t="shared" si="36"/>
        <v>1220023.912</v>
      </c>
      <c r="BF36" s="298">
        <f t="shared" si="36"/>
        <v>1238323.2944</v>
      </c>
      <c r="BG36" s="298">
        <f t="shared" si="37"/>
        <v>1450502</v>
      </c>
      <c r="BH36" s="298">
        <f t="shared" si="37"/>
        <v>1450502</v>
      </c>
      <c r="BI36" s="298">
        <f t="shared" si="38"/>
        <v>1450502</v>
      </c>
      <c r="BK36" s="298">
        <f t="shared" si="39"/>
        <v>1183425.1472</v>
      </c>
      <c r="BL36" s="298">
        <f t="shared" si="40"/>
        <v>1201724.5296</v>
      </c>
      <c r="BM36" s="298">
        <f t="shared" si="41"/>
        <v>1220023.912</v>
      </c>
      <c r="BN36" s="298">
        <f t="shared" si="42"/>
        <v>1238323.2944</v>
      </c>
      <c r="BO36" s="298">
        <f t="shared" si="43"/>
        <v>1450502</v>
      </c>
      <c r="BP36" s="298">
        <f t="shared" si="44"/>
        <v>1450502</v>
      </c>
      <c r="BQ36" s="298">
        <f t="shared" si="45"/>
        <v>1450502</v>
      </c>
    </row>
    <row r="37" spans="1:69" ht="15" x14ac:dyDescent="0.2">
      <c r="A37" s="10" t="s">
        <v>19</v>
      </c>
      <c r="B37" s="10"/>
      <c r="C37" s="276">
        <v>1</v>
      </c>
      <c r="D37" s="276">
        <v>1</v>
      </c>
      <c r="E37" s="276"/>
      <c r="F37" s="8">
        <v>6</v>
      </c>
      <c r="G37" s="359">
        <v>37</v>
      </c>
      <c r="H37" s="10">
        <v>11</v>
      </c>
      <c r="I37" s="7" t="s">
        <v>20</v>
      </c>
      <c r="J37" s="287"/>
      <c r="K37" s="356">
        <v>2294.5</v>
      </c>
      <c r="L37" s="359"/>
      <c r="M37" s="289"/>
      <c r="N37" s="357">
        <v>1372</v>
      </c>
      <c r="O37" s="290">
        <f t="shared" si="4"/>
        <v>0.59795162344737418</v>
      </c>
      <c r="P37" s="290">
        <f t="shared" si="19"/>
        <v>0</v>
      </c>
      <c r="Q37" s="291">
        <f t="shared" si="5"/>
        <v>0</v>
      </c>
      <c r="R37" s="291">
        <f t="shared" si="20"/>
        <v>0</v>
      </c>
      <c r="S37" s="357">
        <v>67</v>
      </c>
      <c r="T37" s="292">
        <f t="shared" si="6"/>
        <v>411.6</v>
      </c>
      <c r="U37" s="254">
        <f t="shared" si="21"/>
        <v>2722.85</v>
      </c>
      <c r="V37" s="356">
        <v>3245061416</v>
      </c>
      <c r="W37" s="357">
        <v>20952</v>
      </c>
      <c r="X37" s="264">
        <f t="shared" si="7"/>
        <v>154880.75</v>
      </c>
      <c r="Y37" s="293">
        <f t="shared" si="8"/>
        <v>0.80446300000000004</v>
      </c>
      <c r="Z37" s="357">
        <v>76952</v>
      </c>
      <c r="AA37" s="293">
        <f t="shared" si="9"/>
        <v>0.63863599999999998</v>
      </c>
      <c r="AB37" s="293">
        <f t="shared" si="10"/>
        <v>0.245285</v>
      </c>
      <c r="AC37" s="294">
        <f t="shared" si="11"/>
        <v>0.245285</v>
      </c>
      <c r="AD37" s="295">
        <f t="shared" si="22"/>
        <v>0</v>
      </c>
      <c r="AE37" s="296">
        <f t="shared" si="23"/>
        <v>0.245285</v>
      </c>
      <c r="AF37" s="357">
        <v>0</v>
      </c>
      <c r="AG37" s="357">
        <v>0</v>
      </c>
      <c r="AH37" s="254">
        <f t="shared" si="24"/>
        <v>0</v>
      </c>
      <c r="AI37" s="9">
        <f t="shared" si="12"/>
        <v>0</v>
      </c>
      <c r="AJ37" s="9">
        <v>0</v>
      </c>
      <c r="AK37" s="9">
        <f t="shared" si="25"/>
        <v>0</v>
      </c>
      <c r="AL37" s="9">
        <f t="shared" si="26"/>
        <v>0</v>
      </c>
      <c r="AM37" s="9">
        <f t="shared" si="27"/>
        <v>0</v>
      </c>
      <c r="AN37" s="9">
        <f t="shared" si="28"/>
        <v>0</v>
      </c>
      <c r="AO37" s="9">
        <f t="shared" si="13"/>
        <v>7697251</v>
      </c>
      <c r="AP37" s="9">
        <f t="shared" si="29"/>
        <v>7697251</v>
      </c>
      <c r="AQ37" s="9">
        <f t="shared" si="30"/>
        <v>7697251</v>
      </c>
      <c r="AR37" s="291">
        <v>6160837</v>
      </c>
      <c r="AS37" s="9">
        <f t="shared" si="31"/>
        <v>1536414</v>
      </c>
      <c r="AT37" s="297" t="str">
        <f t="shared" si="32"/>
        <v>Yes</v>
      </c>
      <c r="AU37" s="357">
        <v>6864464.7324000001</v>
      </c>
      <c r="AV37" s="291">
        <f t="shared" si="14"/>
        <v>163781.73240000001</v>
      </c>
      <c r="AW37" s="291">
        <f t="shared" si="33"/>
        <v>7028246.4648000002</v>
      </c>
      <c r="AX37" s="291">
        <f t="shared" si="15"/>
        <v>7028246.4648000002</v>
      </c>
      <c r="AY37" s="358">
        <f t="shared" si="34"/>
        <v>163781.7324000001</v>
      </c>
      <c r="AZ37" s="301"/>
      <c r="BA37" s="301"/>
      <c r="BB37" s="302"/>
      <c r="BC37" s="291">
        <f t="shared" si="35"/>
        <v>7192028.1972000003</v>
      </c>
      <c r="BD37" s="298">
        <f t="shared" si="36"/>
        <v>7355809.9296000004</v>
      </c>
      <c r="BE37" s="298">
        <f t="shared" si="36"/>
        <v>7519591.6620000005</v>
      </c>
      <c r="BF37" s="298">
        <f t="shared" si="36"/>
        <v>7683373.3944000006</v>
      </c>
      <c r="BG37" s="298">
        <f t="shared" si="37"/>
        <v>7697251</v>
      </c>
      <c r="BH37" s="298">
        <f t="shared" si="37"/>
        <v>7697251</v>
      </c>
      <c r="BI37" s="298">
        <f t="shared" si="38"/>
        <v>7697251</v>
      </c>
      <c r="BK37" s="298">
        <f t="shared" si="39"/>
        <v>7192028.1972000003</v>
      </c>
      <c r="BL37" s="298">
        <f t="shared" si="40"/>
        <v>7355809.9296000004</v>
      </c>
      <c r="BM37" s="298">
        <f t="shared" si="41"/>
        <v>7519591.6620000005</v>
      </c>
      <c r="BN37" s="298">
        <f t="shared" si="42"/>
        <v>7683373.3944000006</v>
      </c>
      <c r="BO37" s="298">
        <f t="shared" si="43"/>
        <v>7697251</v>
      </c>
      <c r="BP37" s="298">
        <f t="shared" si="44"/>
        <v>7697251</v>
      </c>
      <c r="BQ37" s="298">
        <f t="shared" si="45"/>
        <v>7697251</v>
      </c>
    </row>
    <row r="38" spans="1:69" ht="15" x14ac:dyDescent="0.2">
      <c r="A38" s="10" t="s">
        <v>4</v>
      </c>
      <c r="B38" s="10"/>
      <c r="C38" s="276"/>
      <c r="D38" s="276"/>
      <c r="E38" s="276"/>
      <c r="F38" s="8">
        <v>5</v>
      </c>
      <c r="G38" s="355">
        <v>109</v>
      </c>
      <c r="H38" s="10">
        <v>12</v>
      </c>
      <c r="I38" s="7" t="s">
        <v>21</v>
      </c>
      <c r="J38" s="287"/>
      <c r="K38" s="356">
        <v>701.57</v>
      </c>
      <c r="L38" s="355"/>
      <c r="M38" s="289"/>
      <c r="N38" s="357">
        <v>142</v>
      </c>
      <c r="O38" s="290">
        <f t="shared" si="4"/>
        <v>0.20240318143592229</v>
      </c>
      <c r="P38" s="290">
        <f t="shared" si="19"/>
        <v>0</v>
      </c>
      <c r="Q38" s="291">
        <f t="shared" si="5"/>
        <v>0</v>
      </c>
      <c r="R38" s="291">
        <f t="shared" si="20"/>
        <v>0</v>
      </c>
      <c r="S38" s="357">
        <v>9</v>
      </c>
      <c r="T38" s="292">
        <f t="shared" si="6"/>
        <v>42.6</v>
      </c>
      <c r="U38" s="254">
        <f t="shared" si="21"/>
        <v>746.42000000000007</v>
      </c>
      <c r="V38" s="356">
        <v>633531617.66999996</v>
      </c>
      <c r="W38" s="357">
        <v>4928</v>
      </c>
      <c r="X38" s="264">
        <f t="shared" si="7"/>
        <v>128557.55</v>
      </c>
      <c r="Y38" s="293">
        <f t="shared" si="8"/>
        <v>0.66773899999999997</v>
      </c>
      <c r="Z38" s="357">
        <v>105417</v>
      </c>
      <c r="AA38" s="293">
        <f t="shared" si="9"/>
        <v>0.87487199999999998</v>
      </c>
      <c r="AB38" s="293">
        <f t="shared" si="10"/>
        <v>0.270121</v>
      </c>
      <c r="AC38" s="294">
        <f t="shared" si="11"/>
        <v>0.270121</v>
      </c>
      <c r="AD38" s="295">
        <f t="shared" si="22"/>
        <v>0</v>
      </c>
      <c r="AE38" s="296">
        <f t="shared" si="23"/>
        <v>0.270121</v>
      </c>
      <c r="AF38" s="357">
        <v>0</v>
      </c>
      <c r="AG38" s="357">
        <v>0</v>
      </c>
      <c r="AH38" s="254">
        <f t="shared" si="24"/>
        <v>0</v>
      </c>
      <c r="AI38" s="9">
        <f t="shared" si="12"/>
        <v>0</v>
      </c>
      <c r="AJ38" s="9">
        <v>0</v>
      </c>
      <c r="AK38" s="9">
        <f t="shared" si="25"/>
        <v>0</v>
      </c>
      <c r="AL38" s="9">
        <f t="shared" si="26"/>
        <v>0</v>
      </c>
      <c r="AM38" s="9">
        <f t="shared" si="27"/>
        <v>0</v>
      </c>
      <c r="AN38" s="9">
        <f t="shared" si="28"/>
        <v>0</v>
      </c>
      <c r="AO38" s="9">
        <f t="shared" si="13"/>
        <v>2323713</v>
      </c>
      <c r="AP38" s="9">
        <f t="shared" si="29"/>
        <v>2323713</v>
      </c>
      <c r="AQ38" s="9">
        <f t="shared" si="30"/>
        <v>2323713</v>
      </c>
      <c r="AR38" s="291">
        <v>2983350</v>
      </c>
      <c r="AS38" s="9">
        <f t="shared" si="31"/>
        <v>659637</v>
      </c>
      <c r="AT38" s="297" t="str">
        <f t="shared" si="32"/>
        <v>No</v>
      </c>
      <c r="AU38" s="357">
        <v>2683216</v>
      </c>
      <c r="AV38" s="291">
        <f t="shared" si="14"/>
        <v>54947.7621</v>
      </c>
      <c r="AW38" s="291">
        <f t="shared" si="33"/>
        <v>2683216</v>
      </c>
      <c r="AX38" s="291">
        <f t="shared" si="15"/>
        <v>2683216</v>
      </c>
      <c r="AY38" s="358">
        <f t="shared" si="34"/>
        <v>0</v>
      </c>
      <c r="AZ38" s="301"/>
      <c r="BA38" s="301"/>
      <c r="BB38" s="302"/>
      <c r="BC38" s="291">
        <f t="shared" si="35"/>
        <v>2628268.2379000001</v>
      </c>
      <c r="BD38" s="298">
        <f t="shared" si="36"/>
        <v>2573320.4758000001</v>
      </c>
      <c r="BE38" s="298">
        <f t="shared" si="36"/>
        <v>2518372.7137000002</v>
      </c>
      <c r="BF38" s="298">
        <f t="shared" si="36"/>
        <v>2463424.9516000003</v>
      </c>
      <c r="BG38" s="298">
        <f t="shared" si="37"/>
        <v>2408477.1895000003</v>
      </c>
      <c r="BH38" s="298">
        <f t="shared" si="37"/>
        <v>2353529.4274000004</v>
      </c>
      <c r="BI38" s="298">
        <f t="shared" si="38"/>
        <v>2323713</v>
      </c>
      <c r="BK38" s="298">
        <f t="shared" si="39"/>
        <v>2628268.2379000001</v>
      </c>
      <c r="BL38" s="298">
        <f t="shared" si="40"/>
        <v>2573320.4758000001</v>
      </c>
      <c r="BM38" s="298">
        <f t="shared" si="41"/>
        <v>2518372.7137000002</v>
      </c>
      <c r="BN38" s="298">
        <f t="shared" si="42"/>
        <v>2463424.9516000003</v>
      </c>
      <c r="BO38" s="298">
        <f t="shared" si="43"/>
        <v>2408477.1895000003</v>
      </c>
      <c r="BP38" s="298">
        <f t="shared" si="44"/>
        <v>2353529.4274000004</v>
      </c>
      <c r="BQ38" s="298">
        <f t="shared" si="45"/>
        <v>2323713</v>
      </c>
    </row>
    <row r="39" spans="1:69" ht="15" x14ac:dyDescent="0.2">
      <c r="A39" s="10" t="s">
        <v>8</v>
      </c>
      <c r="B39" s="10"/>
      <c r="C39" s="276"/>
      <c r="D39" s="276"/>
      <c r="E39" s="276"/>
      <c r="F39" s="8">
        <v>7</v>
      </c>
      <c r="G39" s="355">
        <v>52</v>
      </c>
      <c r="H39" s="10">
        <v>13</v>
      </c>
      <c r="I39" s="7" t="s">
        <v>22</v>
      </c>
      <c r="J39" s="287"/>
      <c r="K39" s="356">
        <v>258.86</v>
      </c>
      <c r="L39" s="355"/>
      <c r="M39" s="289"/>
      <c r="N39" s="357">
        <v>95</v>
      </c>
      <c r="O39" s="290">
        <f t="shared" si="4"/>
        <v>0.36699374179092942</v>
      </c>
      <c r="P39" s="290">
        <f t="shared" si="19"/>
        <v>0</v>
      </c>
      <c r="Q39" s="291">
        <f t="shared" si="5"/>
        <v>0</v>
      </c>
      <c r="R39" s="291">
        <f t="shared" si="20"/>
        <v>0</v>
      </c>
      <c r="S39" s="357">
        <v>7</v>
      </c>
      <c r="T39" s="292">
        <f t="shared" si="6"/>
        <v>28.5</v>
      </c>
      <c r="U39" s="254">
        <f t="shared" si="21"/>
        <v>289.11</v>
      </c>
      <c r="V39" s="356">
        <v>343635194.32999998</v>
      </c>
      <c r="W39" s="357">
        <v>2567</v>
      </c>
      <c r="X39" s="264">
        <f t="shared" si="7"/>
        <v>133866.46</v>
      </c>
      <c r="Y39" s="293">
        <f t="shared" si="8"/>
        <v>0.69531299999999996</v>
      </c>
      <c r="Z39" s="357">
        <v>87109</v>
      </c>
      <c r="AA39" s="293">
        <f t="shared" si="9"/>
        <v>0.72293099999999999</v>
      </c>
      <c r="AB39" s="293">
        <f t="shared" si="10"/>
        <v>0.296402</v>
      </c>
      <c r="AC39" s="294">
        <f t="shared" si="11"/>
        <v>0.296402</v>
      </c>
      <c r="AD39" s="295">
        <f t="shared" si="22"/>
        <v>0</v>
      </c>
      <c r="AE39" s="296">
        <f t="shared" si="23"/>
        <v>0.296402</v>
      </c>
      <c r="AF39" s="357">
        <v>0</v>
      </c>
      <c r="AG39" s="357">
        <v>0</v>
      </c>
      <c r="AH39" s="254">
        <f t="shared" si="24"/>
        <v>0</v>
      </c>
      <c r="AI39" s="9">
        <f t="shared" si="12"/>
        <v>0</v>
      </c>
      <c r="AJ39" s="9">
        <v>63</v>
      </c>
      <c r="AK39" s="9">
        <f t="shared" si="25"/>
        <v>4</v>
      </c>
      <c r="AL39" s="9">
        <f t="shared" si="26"/>
        <v>400</v>
      </c>
      <c r="AM39" s="9">
        <f t="shared" si="27"/>
        <v>25200</v>
      </c>
      <c r="AN39" s="9">
        <f t="shared" si="28"/>
        <v>25200</v>
      </c>
      <c r="AO39" s="9">
        <f t="shared" si="13"/>
        <v>987609</v>
      </c>
      <c r="AP39" s="9">
        <f t="shared" si="29"/>
        <v>1012809</v>
      </c>
      <c r="AQ39" s="9">
        <f t="shared" si="30"/>
        <v>1012809</v>
      </c>
      <c r="AR39" s="291">
        <v>1223830</v>
      </c>
      <c r="AS39" s="9">
        <f t="shared" si="31"/>
        <v>211021</v>
      </c>
      <c r="AT39" s="297" t="str">
        <f t="shared" si="32"/>
        <v>No</v>
      </c>
      <c r="AU39" s="357">
        <v>1190095</v>
      </c>
      <c r="AV39" s="291">
        <f t="shared" si="14"/>
        <v>17578.049299999999</v>
      </c>
      <c r="AW39" s="291">
        <f t="shared" si="33"/>
        <v>1190095</v>
      </c>
      <c r="AX39" s="291">
        <f t="shared" si="15"/>
        <v>1190095</v>
      </c>
      <c r="AY39" s="358">
        <f t="shared" si="34"/>
        <v>0</v>
      </c>
      <c r="AZ39" s="301"/>
      <c r="BA39" s="301"/>
      <c r="BB39" s="302"/>
      <c r="BC39" s="291">
        <f t="shared" si="35"/>
        <v>1172516.9506999999</v>
      </c>
      <c r="BD39" s="298">
        <f t="shared" si="36"/>
        <v>1154938.9013999999</v>
      </c>
      <c r="BE39" s="298">
        <f t="shared" si="36"/>
        <v>1137360.8520999998</v>
      </c>
      <c r="BF39" s="298">
        <f t="shared" si="36"/>
        <v>1119782.8027999997</v>
      </c>
      <c r="BG39" s="298">
        <f t="shared" si="37"/>
        <v>1102204.7534999996</v>
      </c>
      <c r="BH39" s="298">
        <f t="shared" si="37"/>
        <v>1084626.7041999996</v>
      </c>
      <c r="BI39" s="298">
        <f t="shared" si="38"/>
        <v>1012809</v>
      </c>
      <c r="BK39" s="298">
        <f t="shared" si="39"/>
        <v>1172516.9506999999</v>
      </c>
      <c r="BL39" s="298">
        <f t="shared" si="40"/>
        <v>1154938.9013999999</v>
      </c>
      <c r="BM39" s="298">
        <f t="shared" si="41"/>
        <v>1137360.8520999998</v>
      </c>
      <c r="BN39" s="298">
        <f t="shared" si="42"/>
        <v>1119782.8027999997</v>
      </c>
      <c r="BO39" s="298">
        <f t="shared" si="43"/>
        <v>1102204.7534999996</v>
      </c>
      <c r="BP39" s="298">
        <f t="shared" si="44"/>
        <v>1084626.7041999996</v>
      </c>
      <c r="BQ39" s="298">
        <f t="shared" si="45"/>
        <v>1012809</v>
      </c>
    </row>
    <row r="40" spans="1:69" ht="15" x14ac:dyDescent="0.2">
      <c r="A40" s="10" t="s">
        <v>14</v>
      </c>
      <c r="B40" s="10"/>
      <c r="C40" s="276"/>
      <c r="D40" s="276"/>
      <c r="E40" s="276"/>
      <c r="F40" s="8">
        <v>4</v>
      </c>
      <c r="G40" s="355">
        <v>97</v>
      </c>
      <c r="H40" s="10">
        <v>14</v>
      </c>
      <c r="I40" s="7" t="s">
        <v>23</v>
      </c>
      <c r="J40" s="287"/>
      <c r="K40" s="356">
        <v>2622.38</v>
      </c>
      <c r="L40" s="355"/>
      <c r="M40" s="289"/>
      <c r="N40" s="357">
        <v>953</v>
      </c>
      <c r="O40" s="290">
        <f t="shared" si="4"/>
        <v>0.36341033717462762</v>
      </c>
      <c r="P40" s="290">
        <f t="shared" si="19"/>
        <v>0</v>
      </c>
      <c r="Q40" s="291">
        <f t="shared" si="5"/>
        <v>0</v>
      </c>
      <c r="R40" s="291">
        <f t="shared" si="20"/>
        <v>0</v>
      </c>
      <c r="S40" s="357">
        <v>149</v>
      </c>
      <c r="T40" s="292">
        <f t="shared" si="6"/>
        <v>285.89999999999998</v>
      </c>
      <c r="U40" s="254">
        <f t="shared" si="21"/>
        <v>2945.53</v>
      </c>
      <c r="V40" s="356">
        <v>5385857224.3299999</v>
      </c>
      <c r="W40" s="357">
        <v>28094</v>
      </c>
      <c r="X40" s="264">
        <f t="shared" si="7"/>
        <v>191708.45</v>
      </c>
      <c r="Y40" s="293">
        <f t="shared" si="8"/>
        <v>0.995749</v>
      </c>
      <c r="Z40" s="357">
        <v>80167</v>
      </c>
      <c r="AA40" s="293">
        <f t="shared" si="9"/>
        <v>0.66531799999999996</v>
      </c>
      <c r="AB40" s="293">
        <f t="shared" si="10"/>
        <v>0.10338</v>
      </c>
      <c r="AC40" s="294">
        <f t="shared" si="11"/>
        <v>0.10338</v>
      </c>
      <c r="AD40" s="295">
        <f t="shared" si="22"/>
        <v>0</v>
      </c>
      <c r="AE40" s="296">
        <f t="shared" si="23"/>
        <v>0.10338</v>
      </c>
      <c r="AF40" s="357">
        <v>0</v>
      </c>
      <c r="AG40" s="357">
        <v>0</v>
      </c>
      <c r="AH40" s="254">
        <f t="shared" si="24"/>
        <v>0</v>
      </c>
      <c r="AI40" s="9">
        <f t="shared" si="12"/>
        <v>0</v>
      </c>
      <c r="AJ40" s="9">
        <v>0</v>
      </c>
      <c r="AK40" s="9">
        <f t="shared" si="25"/>
        <v>0</v>
      </c>
      <c r="AL40" s="9">
        <f t="shared" si="26"/>
        <v>0</v>
      </c>
      <c r="AM40" s="9">
        <f t="shared" si="27"/>
        <v>0</v>
      </c>
      <c r="AN40" s="9">
        <f t="shared" si="28"/>
        <v>0</v>
      </c>
      <c r="AO40" s="9">
        <f t="shared" si="13"/>
        <v>3509465</v>
      </c>
      <c r="AP40" s="9">
        <f t="shared" si="29"/>
        <v>3509465</v>
      </c>
      <c r="AQ40" s="9">
        <f t="shared" si="30"/>
        <v>3509465</v>
      </c>
      <c r="AR40" s="291">
        <v>2211848</v>
      </c>
      <c r="AS40" s="9">
        <f t="shared" si="31"/>
        <v>1297617</v>
      </c>
      <c r="AT40" s="297" t="str">
        <f t="shared" si="32"/>
        <v>Yes</v>
      </c>
      <c r="AU40" s="357">
        <v>2757412.9722000002</v>
      </c>
      <c r="AV40" s="291">
        <f t="shared" si="14"/>
        <v>138325.97219999999</v>
      </c>
      <c r="AW40" s="291">
        <f t="shared" si="33"/>
        <v>2895738.9444000004</v>
      </c>
      <c r="AX40" s="291">
        <f t="shared" si="15"/>
        <v>2895738.9444000004</v>
      </c>
      <c r="AY40" s="358">
        <f t="shared" si="34"/>
        <v>138325.97220000019</v>
      </c>
      <c r="AZ40" s="301"/>
      <c r="BA40" s="301"/>
      <c r="BB40" s="302"/>
      <c r="BC40" s="291">
        <f t="shared" si="35"/>
        <v>3034064.9166000006</v>
      </c>
      <c r="BD40" s="298">
        <f t="shared" si="36"/>
        <v>3172390.8888000008</v>
      </c>
      <c r="BE40" s="298">
        <f t="shared" si="36"/>
        <v>3310716.861000001</v>
      </c>
      <c r="BF40" s="298">
        <f t="shared" si="36"/>
        <v>3449042.8332000012</v>
      </c>
      <c r="BG40" s="298">
        <f t="shared" si="37"/>
        <v>3509465</v>
      </c>
      <c r="BH40" s="298">
        <f t="shared" si="37"/>
        <v>3509465</v>
      </c>
      <c r="BI40" s="298">
        <f t="shared" si="38"/>
        <v>3509465</v>
      </c>
      <c r="BK40" s="298">
        <f t="shared" si="39"/>
        <v>3034064.9166000006</v>
      </c>
      <c r="BL40" s="298">
        <f t="shared" si="40"/>
        <v>3172390.8888000008</v>
      </c>
      <c r="BM40" s="298">
        <f t="shared" si="41"/>
        <v>3310716.861000001</v>
      </c>
      <c r="BN40" s="298">
        <f t="shared" si="42"/>
        <v>3449042.8332000012</v>
      </c>
      <c r="BO40" s="298">
        <f t="shared" si="43"/>
        <v>3509465</v>
      </c>
      <c r="BP40" s="298">
        <f t="shared" si="44"/>
        <v>3509465</v>
      </c>
      <c r="BQ40" s="298">
        <f t="shared" si="45"/>
        <v>3509465</v>
      </c>
    </row>
    <row r="41" spans="1:69" ht="15" x14ac:dyDescent="0.2">
      <c r="A41" s="10" t="s">
        <v>24</v>
      </c>
      <c r="B41" s="10">
        <v>1</v>
      </c>
      <c r="C41" s="276">
        <v>1</v>
      </c>
      <c r="D41" s="276">
        <v>0</v>
      </c>
      <c r="E41" s="276">
        <v>1</v>
      </c>
      <c r="F41" s="8">
        <v>10</v>
      </c>
      <c r="G41" s="359">
        <v>5</v>
      </c>
      <c r="H41" s="10">
        <v>15</v>
      </c>
      <c r="I41" s="7" t="s">
        <v>25</v>
      </c>
      <c r="J41" s="287"/>
      <c r="K41" s="356">
        <v>19150.59</v>
      </c>
      <c r="L41" s="359"/>
      <c r="M41" s="289"/>
      <c r="N41" s="357">
        <v>13000</v>
      </c>
      <c r="O41" s="290">
        <f t="shared" si="4"/>
        <v>0.67883026058204998</v>
      </c>
      <c r="P41" s="290">
        <f t="shared" si="19"/>
        <v>7.8830260582050005E-2</v>
      </c>
      <c r="Q41" s="291">
        <f t="shared" si="5"/>
        <v>1509.6460000000011</v>
      </c>
      <c r="R41" s="291">
        <f t="shared" si="20"/>
        <v>226.44690000000017</v>
      </c>
      <c r="S41" s="357">
        <v>3972</v>
      </c>
      <c r="T41" s="292">
        <f t="shared" si="6"/>
        <v>3900</v>
      </c>
      <c r="U41" s="254">
        <f t="shared" si="21"/>
        <v>24270.036899999999</v>
      </c>
      <c r="V41" s="356">
        <v>9990188970</v>
      </c>
      <c r="W41" s="357">
        <v>146417</v>
      </c>
      <c r="X41" s="264">
        <f t="shared" si="7"/>
        <v>68231.070000000007</v>
      </c>
      <c r="Y41" s="293">
        <f t="shared" si="8"/>
        <v>0.35439799999999999</v>
      </c>
      <c r="Z41" s="357">
        <v>45441</v>
      </c>
      <c r="AA41" s="293">
        <f t="shared" si="9"/>
        <v>0.37712200000000001</v>
      </c>
      <c r="AB41" s="293">
        <f t="shared" si="10"/>
        <v>0.63878500000000005</v>
      </c>
      <c r="AC41" s="294">
        <f t="shared" si="11"/>
        <v>0.63878500000000005</v>
      </c>
      <c r="AD41" s="295">
        <f t="shared" si="22"/>
        <v>0.06</v>
      </c>
      <c r="AE41" s="296">
        <f t="shared" si="23"/>
        <v>0.69878499999999999</v>
      </c>
      <c r="AF41" s="357">
        <v>0</v>
      </c>
      <c r="AG41" s="357">
        <v>0</v>
      </c>
      <c r="AH41" s="254">
        <f t="shared" si="24"/>
        <v>0</v>
      </c>
      <c r="AI41" s="9">
        <f t="shared" si="12"/>
        <v>0</v>
      </c>
      <c r="AJ41" s="9">
        <v>0</v>
      </c>
      <c r="AK41" s="9">
        <f t="shared" si="25"/>
        <v>0</v>
      </c>
      <c r="AL41" s="9">
        <f t="shared" si="26"/>
        <v>0</v>
      </c>
      <c r="AM41" s="9">
        <f t="shared" si="27"/>
        <v>0</v>
      </c>
      <c r="AN41" s="9">
        <f t="shared" si="28"/>
        <v>0</v>
      </c>
      <c r="AO41" s="9">
        <f t="shared" si="13"/>
        <v>195458672</v>
      </c>
      <c r="AP41" s="9">
        <f t="shared" si="29"/>
        <v>195458672</v>
      </c>
      <c r="AQ41" s="9">
        <f t="shared" si="30"/>
        <v>195458672</v>
      </c>
      <c r="AR41" s="291">
        <v>181105390</v>
      </c>
      <c r="AS41" s="9">
        <f t="shared" si="31"/>
        <v>14353282</v>
      </c>
      <c r="AT41" s="297" t="str">
        <f t="shared" si="32"/>
        <v>Yes</v>
      </c>
      <c r="AU41" s="357">
        <v>188944437.8612</v>
      </c>
      <c r="AV41" s="291">
        <f t="shared" si="14"/>
        <v>1530059.8611999999</v>
      </c>
      <c r="AW41" s="291">
        <f t="shared" si="33"/>
        <v>190474497.72240001</v>
      </c>
      <c r="AX41" s="291">
        <f t="shared" si="15"/>
        <v>190474497.72240001</v>
      </c>
      <c r="AY41" s="358">
        <f t="shared" si="34"/>
        <v>1530059.8612000048</v>
      </c>
      <c r="AZ41" s="301"/>
      <c r="BA41" s="301"/>
      <c r="BB41" s="302"/>
      <c r="BC41" s="291">
        <f t="shared" si="35"/>
        <v>192004557.58360001</v>
      </c>
      <c r="BD41" s="298">
        <f t="shared" si="36"/>
        <v>193534617.44480002</v>
      </c>
      <c r="BE41" s="298">
        <f t="shared" si="36"/>
        <v>195064677.30600002</v>
      </c>
      <c r="BF41" s="298">
        <f t="shared" si="36"/>
        <v>196594737.16720003</v>
      </c>
      <c r="BG41" s="298">
        <f t="shared" si="37"/>
        <v>195458672</v>
      </c>
      <c r="BH41" s="298">
        <f t="shared" si="37"/>
        <v>195458672</v>
      </c>
      <c r="BI41" s="298">
        <f t="shared" si="38"/>
        <v>195458672</v>
      </c>
      <c r="BK41" s="298">
        <f t="shared" si="39"/>
        <v>192004557.58360001</v>
      </c>
      <c r="BL41" s="298">
        <f t="shared" si="40"/>
        <v>193534617.44480002</v>
      </c>
      <c r="BM41" s="298">
        <f t="shared" si="41"/>
        <v>195064677.30600002</v>
      </c>
      <c r="BN41" s="298">
        <f t="shared" si="42"/>
        <v>196594737.16720003</v>
      </c>
      <c r="BO41" s="298">
        <f t="shared" si="43"/>
        <v>195458672</v>
      </c>
      <c r="BP41" s="298">
        <f t="shared" si="44"/>
        <v>195458672</v>
      </c>
      <c r="BQ41" s="298">
        <f t="shared" si="45"/>
        <v>195458672</v>
      </c>
    </row>
    <row r="42" spans="1:69" ht="15" x14ac:dyDescent="0.2">
      <c r="A42" s="10" t="s">
        <v>4</v>
      </c>
      <c r="B42" s="10"/>
      <c r="C42" s="276"/>
      <c r="D42" s="276"/>
      <c r="E42" s="276"/>
      <c r="F42" s="8">
        <v>2</v>
      </c>
      <c r="G42" s="355">
        <v>155</v>
      </c>
      <c r="H42" s="10">
        <v>16</v>
      </c>
      <c r="I42" s="7" t="s">
        <v>26</v>
      </c>
      <c r="J42" s="287"/>
      <c r="K42" s="356">
        <v>112</v>
      </c>
      <c r="L42" s="355"/>
      <c r="M42" s="289"/>
      <c r="N42" s="357">
        <v>11</v>
      </c>
      <c r="O42" s="290">
        <f t="shared" si="4"/>
        <v>9.8214285714285712E-2</v>
      </c>
      <c r="P42" s="290">
        <f t="shared" si="19"/>
        <v>0</v>
      </c>
      <c r="Q42" s="291">
        <f t="shared" si="5"/>
        <v>0</v>
      </c>
      <c r="R42" s="291">
        <f t="shared" si="20"/>
        <v>0</v>
      </c>
      <c r="S42" s="357">
        <v>0</v>
      </c>
      <c r="T42" s="292">
        <f t="shared" si="6"/>
        <v>3.3</v>
      </c>
      <c r="U42" s="254">
        <f t="shared" si="21"/>
        <v>115.3</v>
      </c>
      <c r="V42" s="356">
        <v>531347514.67000002</v>
      </c>
      <c r="W42" s="357">
        <v>1706</v>
      </c>
      <c r="X42" s="264">
        <f t="shared" si="7"/>
        <v>311458.09999999998</v>
      </c>
      <c r="Y42" s="293">
        <f t="shared" si="8"/>
        <v>1.617739</v>
      </c>
      <c r="Z42" s="357">
        <v>106429</v>
      </c>
      <c r="AA42" s="293">
        <f t="shared" si="9"/>
        <v>0.88327</v>
      </c>
      <c r="AB42" s="293">
        <f t="shared" si="10"/>
        <v>-0.39739799999999997</v>
      </c>
      <c r="AC42" s="294">
        <f t="shared" si="11"/>
        <v>0.01</v>
      </c>
      <c r="AD42" s="295">
        <f t="shared" si="22"/>
        <v>0</v>
      </c>
      <c r="AE42" s="296">
        <f t="shared" si="23"/>
        <v>0.01</v>
      </c>
      <c r="AF42" s="357">
        <v>112</v>
      </c>
      <c r="AG42" s="357">
        <v>13</v>
      </c>
      <c r="AH42" s="254">
        <f t="shared" si="24"/>
        <v>1300</v>
      </c>
      <c r="AI42" s="9">
        <f t="shared" si="12"/>
        <v>145600</v>
      </c>
      <c r="AJ42" s="9">
        <v>0</v>
      </c>
      <c r="AK42" s="9">
        <f t="shared" si="25"/>
        <v>0</v>
      </c>
      <c r="AL42" s="9">
        <f t="shared" si="26"/>
        <v>0</v>
      </c>
      <c r="AM42" s="9">
        <f t="shared" si="27"/>
        <v>0</v>
      </c>
      <c r="AN42" s="9">
        <f t="shared" si="28"/>
        <v>145600</v>
      </c>
      <c r="AO42" s="9">
        <f t="shared" si="13"/>
        <v>13288</v>
      </c>
      <c r="AP42" s="9">
        <f t="shared" si="29"/>
        <v>158888</v>
      </c>
      <c r="AQ42" s="9">
        <f t="shared" si="30"/>
        <v>158888</v>
      </c>
      <c r="AR42" s="291">
        <v>23014</v>
      </c>
      <c r="AS42" s="9">
        <f t="shared" si="31"/>
        <v>135874</v>
      </c>
      <c r="AT42" s="297" t="str">
        <f t="shared" si="32"/>
        <v>Yes</v>
      </c>
      <c r="AU42" s="357">
        <v>38048.168400000002</v>
      </c>
      <c r="AV42" s="291">
        <f t="shared" si="14"/>
        <v>14484.1684</v>
      </c>
      <c r="AW42" s="291">
        <f t="shared" si="33"/>
        <v>52532.336800000005</v>
      </c>
      <c r="AX42" s="291">
        <f t="shared" si="15"/>
        <v>52532.336800000005</v>
      </c>
      <c r="AY42" s="358">
        <f t="shared" si="34"/>
        <v>14484.168400000002</v>
      </c>
      <c r="AZ42" s="301"/>
      <c r="BA42" s="301"/>
      <c r="BB42" s="302"/>
      <c r="BC42" s="291">
        <f t="shared" si="35"/>
        <v>67016.5052</v>
      </c>
      <c r="BD42" s="298">
        <f t="shared" si="36"/>
        <v>81500.673599999995</v>
      </c>
      <c r="BE42" s="298">
        <f t="shared" si="36"/>
        <v>95984.84199999999</v>
      </c>
      <c r="BF42" s="298">
        <f t="shared" si="36"/>
        <v>110469.01039999998</v>
      </c>
      <c r="BG42" s="298">
        <f t="shared" si="37"/>
        <v>158888</v>
      </c>
      <c r="BH42" s="298">
        <f t="shared" si="37"/>
        <v>158888</v>
      </c>
      <c r="BI42" s="298">
        <f t="shared" si="38"/>
        <v>158888</v>
      </c>
      <c r="BK42" s="298">
        <f t="shared" si="39"/>
        <v>67016.5052</v>
      </c>
      <c r="BL42" s="298">
        <f t="shared" si="40"/>
        <v>81500.673599999995</v>
      </c>
      <c r="BM42" s="298">
        <f t="shared" si="41"/>
        <v>95984.84199999999</v>
      </c>
      <c r="BN42" s="298">
        <f t="shared" si="42"/>
        <v>110469.01039999998</v>
      </c>
      <c r="BO42" s="298">
        <f t="shared" si="43"/>
        <v>158888</v>
      </c>
      <c r="BP42" s="298">
        <f t="shared" si="44"/>
        <v>158888</v>
      </c>
      <c r="BQ42" s="298">
        <f t="shared" si="45"/>
        <v>158888</v>
      </c>
    </row>
    <row r="43" spans="1:69" ht="15" x14ac:dyDescent="0.2">
      <c r="A43" s="10" t="s">
        <v>19</v>
      </c>
      <c r="B43" s="10"/>
      <c r="C43" s="276">
        <v>1</v>
      </c>
      <c r="D43" s="276">
        <v>1</v>
      </c>
      <c r="E43" s="276"/>
      <c r="F43" s="8">
        <v>9</v>
      </c>
      <c r="G43" s="359">
        <v>20</v>
      </c>
      <c r="H43" s="10">
        <v>17</v>
      </c>
      <c r="I43" s="7" t="s">
        <v>27</v>
      </c>
      <c r="J43" s="287"/>
      <c r="K43" s="356">
        <v>7929.3</v>
      </c>
      <c r="L43" s="359"/>
      <c r="M43" s="289"/>
      <c r="N43" s="357">
        <v>4333</v>
      </c>
      <c r="O43" s="290">
        <f t="shared" si="4"/>
        <v>0.54645428978598365</v>
      </c>
      <c r="P43" s="290">
        <f t="shared" si="19"/>
        <v>0</v>
      </c>
      <c r="Q43" s="291">
        <f t="shared" si="5"/>
        <v>0</v>
      </c>
      <c r="R43" s="291">
        <f t="shared" si="20"/>
        <v>0</v>
      </c>
      <c r="S43" s="357">
        <v>407</v>
      </c>
      <c r="T43" s="292">
        <f t="shared" si="6"/>
        <v>1299.9000000000001</v>
      </c>
      <c r="U43" s="254">
        <f t="shared" si="21"/>
        <v>9330.9500000000007</v>
      </c>
      <c r="V43" s="356">
        <v>5870571310.3299999</v>
      </c>
      <c r="W43" s="357">
        <v>60308</v>
      </c>
      <c r="X43" s="264">
        <f t="shared" si="7"/>
        <v>97343.16</v>
      </c>
      <c r="Y43" s="293">
        <f t="shared" si="8"/>
        <v>0.50560799999999995</v>
      </c>
      <c r="Z43" s="357">
        <v>66829</v>
      </c>
      <c r="AA43" s="293">
        <f t="shared" si="9"/>
        <v>0.55462400000000001</v>
      </c>
      <c r="AB43" s="293">
        <f t="shared" si="10"/>
        <v>0.47968699999999997</v>
      </c>
      <c r="AC43" s="294">
        <f t="shared" si="11"/>
        <v>0.47968699999999997</v>
      </c>
      <c r="AD43" s="295">
        <f t="shared" si="22"/>
        <v>0</v>
      </c>
      <c r="AE43" s="296">
        <f t="shared" si="23"/>
        <v>0.47968699999999997</v>
      </c>
      <c r="AF43" s="357">
        <v>0</v>
      </c>
      <c r="AG43" s="357">
        <v>0</v>
      </c>
      <c r="AH43" s="254">
        <f t="shared" si="24"/>
        <v>0</v>
      </c>
      <c r="AI43" s="9">
        <f t="shared" si="12"/>
        <v>0</v>
      </c>
      <c r="AJ43" s="9">
        <v>0</v>
      </c>
      <c r="AK43" s="9">
        <f t="shared" si="25"/>
        <v>0</v>
      </c>
      <c r="AL43" s="9">
        <f t="shared" si="26"/>
        <v>0</v>
      </c>
      <c r="AM43" s="9">
        <f t="shared" si="27"/>
        <v>0</v>
      </c>
      <c r="AN43" s="9">
        <f t="shared" si="28"/>
        <v>0</v>
      </c>
      <c r="AO43" s="9">
        <f t="shared" si="13"/>
        <v>51585156</v>
      </c>
      <c r="AP43" s="9">
        <f t="shared" si="29"/>
        <v>51585156</v>
      </c>
      <c r="AQ43" s="9">
        <f t="shared" si="30"/>
        <v>51585156</v>
      </c>
      <c r="AR43" s="291">
        <v>44853676</v>
      </c>
      <c r="AS43" s="9">
        <f t="shared" si="31"/>
        <v>6731480</v>
      </c>
      <c r="AT43" s="297" t="str">
        <f t="shared" si="32"/>
        <v>Yes</v>
      </c>
      <c r="AU43" s="357">
        <v>48142141.767999999</v>
      </c>
      <c r="AV43" s="291">
        <f t="shared" si="14"/>
        <v>717575.76800000004</v>
      </c>
      <c r="AW43" s="291">
        <f t="shared" si="33"/>
        <v>48859717.535999998</v>
      </c>
      <c r="AX43" s="291">
        <f t="shared" si="15"/>
        <v>48859717.535999998</v>
      </c>
      <c r="AY43" s="358">
        <f t="shared" si="34"/>
        <v>717575.76799999923</v>
      </c>
      <c r="AZ43" s="301"/>
      <c r="BA43" s="301"/>
      <c r="BB43" s="302"/>
      <c r="BC43" s="291">
        <f t="shared" si="35"/>
        <v>49577293.303999998</v>
      </c>
      <c r="BD43" s="298">
        <f t="shared" si="36"/>
        <v>50294869.071999997</v>
      </c>
      <c r="BE43" s="298">
        <f t="shared" si="36"/>
        <v>51012444.839999996</v>
      </c>
      <c r="BF43" s="298">
        <f t="shared" si="36"/>
        <v>51730020.607999995</v>
      </c>
      <c r="BG43" s="298">
        <f t="shared" si="37"/>
        <v>51585156</v>
      </c>
      <c r="BH43" s="298">
        <f t="shared" si="37"/>
        <v>51585156</v>
      </c>
      <c r="BI43" s="298">
        <f t="shared" si="38"/>
        <v>51585156</v>
      </c>
      <c r="BK43" s="298">
        <f t="shared" si="39"/>
        <v>49577293.303999998</v>
      </c>
      <c r="BL43" s="298">
        <f t="shared" si="40"/>
        <v>50294869.071999997</v>
      </c>
      <c r="BM43" s="298">
        <f t="shared" si="41"/>
        <v>51012444.839999996</v>
      </c>
      <c r="BN43" s="298">
        <f t="shared" si="42"/>
        <v>51730020.607999995</v>
      </c>
      <c r="BO43" s="298">
        <f t="shared" si="43"/>
        <v>51585156</v>
      </c>
      <c r="BP43" s="298">
        <f t="shared" si="44"/>
        <v>51585156</v>
      </c>
      <c r="BQ43" s="298">
        <f t="shared" si="45"/>
        <v>51585156</v>
      </c>
    </row>
    <row r="44" spans="1:69" ht="15" x14ac:dyDescent="0.2">
      <c r="A44" s="10" t="s">
        <v>10</v>
      </c>
      <c r="B44" s="10"/>
      <c r="C44" s="276"/>
      <c r="D44" s="276"/>
      <c r="E44" s="276"/>
      <c r="F44" s="8">
        <v>2</v>
      </c>
      <c r="G44" s="355">
        <v>112</v>
      </c>
      <c r="H44" s="10">
        <v>18</v>
      </c>
      <c r="I44" s="7" t="s">
        <v>28</v>
      </c>
      <c r="J44" s="287"/>
      <c r="K44" s="356">
        <v>2601.5</v>
      </c>
      <c r="L44" s="355"/>
      <c r="M44" s="289"/>
      <c r="N44" s="357">
        <v>540</v>
      </c>
      <c r="O44" s="290">
        <f t="shared" si="4"/>
        <v>0.2075725542955987</v>
      </c>
      <c r="P44" s="290">
        <f t="shared" si="19"/>
        <v>0</v>
      </c>
      <c r="Q44" s="291">
        <f t="shared" si="5"/>
        <v>0</v>
      </c>
      <c r="R44" s="291">
        <f t="shared" si="20"/>
        <v>0</v>
      </c>
      <c r="S44" s="357">
        <v>92</v>
      </c>
      <c r="T44" s="292">
        <f t="shared" si="6"/>
        <v>162</v>
      </c>
      <c r="U44" s="254">
        <f t="shared" si="21"/>
        <v>2786.5</v>
      </c>
      <c r="V44" s="356">
        <v>3411056588</v>
      </c>
      <c r="W44" s="357">
        <v>17013</v>
      </c>
      <c r="X44" s="264">
        <f t="shared" si="7"/>
        <v>200497.07</v>
      </c>
      <c r="Y44" s="293">
        <f t="shared" si="8"/>
        <v>1.041398</v>
      </c>
      <c r="Z44" s="357">
        <v>107255</v>
      </c>
      <c r="AA44" s="293">
        <f t="shared" si="9"/>
        <v>0.89012500000000006</v>
      </c>
      <c r="AB44" s="293">
        <f t="shared" si="10"/>
        <v>3.9839999999999997E-3</v>
      </c>
      <c r="AC44" s="294">
        <f t="shared" si="11"/>
        <v>0.01</v>
      </c>
      <c r="AD44" s="295">
        <f t="shared" si="22"/>
        <v>0</v>
      </c>
      <c r="AE44" s="296">
        <f t="shared" si="23"/>
        <v>0.01</v>
      </c>
      <c r="AF44" s="357">
        <v>0</v>
      </c>
      <c r="AG44" s="357">
        <v>0</v>
      </c>
      <c r="AH44" s="254">
        <f t="shared" si="24"/>
        <v>0</v>
      </c>
      <c r="AI44" s="9">
        <f t="shared" si="12"/>
        <v>0</v>
      </c>
      <c r="AJ44" s="9">
        <v>0</v>
      </c>
      <c r="AK44" s="9">
        <f t="shared" si="25"/>
        <v>0</v>
      </c>
      <c r="AL44" s="9">
        <f t="shared" si="26"/>
        <v>0</v>
      </c>
      <c r="AM44" s="9">
        <f t="shared" si="27"/>
        <v>0</v>
      </c>
      <c r="AN44" s="9">
        <f t="shared" si="28"/>
        <v>0</v>
      </c>
      <c r="AO44" s="9">
        <f t="shared" si="13"/>
        <v>321144</v>
      </c>
      <c r="AP44" s="9">
        <f t="shared" si="29"/>
        <v>321144</v>
      </c>
      <c r="AQ44" s="9">
        <f t="shared" si="30"/>
        <v>321144</v>
      </c>
      <c r="AR44" s="291">
        <v>1417583</v>
      </c>
      <c r="AS44" s="9">
        <f t="shared" si="31"/>
        <v>1096439</v>
      </c>
      <c r="AT44" s="297" t="str">
        <f t="shared" si="32"/>
        <v>No</v>
      </c>
      <c r="AU44" s="357">
        <v>962317</v>
      </c>
      <c r="AV44" s="291">
        <f t="shared" si="14"/>
        <v>91333.368699999992</v>
      </c>
      <c r="AW44" s="291">
        <f t="shared" si="33"/>
        <v>962317</v>
      </c>
      <c r="AX44" s="291">
        <f t="shared" si="15"/>
        <v>962317</v>
      </c>
      <c r="AY44" s="358">
        <f t="shared" si="34"/>
        <v>0</v>
      </c>
      <c r="AZ44" s="301"/>
      <c r="BA44" s="301"/>
      <c r="BB44" s="302"/>
      <c r="BC44" s="291">
        <f t="shared" si="35"/>
        <v>870983.63130000001</v>
      </c>
      <c r="BD44" s="298">
        <f t="shared" ref="BD44:BF59" si="46">IF($AT44="Yes",BC44+$AV44,BC44-$AV44)</f>
        <v>779650.26260000002</v>
      </c>
      <c r="BE44" s="298">
        <f t="shared" si="46"/>
        <v>688316.89390000002</v>
      </c>
      <c r="BF44" s="298">
        <f t="shared" si="46"/>
        <v>596983.52520000003</v>
      </c>
      <c r="BG44" s="298">
        <f t="shared" ref="BG44:BH59" si="47">IF($AT44="Yes",$AP44,BF44-$AV44)</f>
        <v>505650.15650000004</v>
      </c>
      <c r="BH44" s="298">
        <f t="shared" si="47"/>
        <v>414316.78780000005</v>
      </c>
      <c r="BI44" s="298">
        <f t="shared" si="38"/>
        <v>321144</v>
      </c>
      <c r="BK44" s="298">
        <f t="shared" si="39"/>
        <v>870983.63130000001</v>
      </c>
      <c r="BL44" s="298">
        <f t="shared" si="40"/>
        <v>779650.26260000002</v>
      </c>
      <c r="BM44" s="298">
        <f t="shared" si="41"/>
        <v>688316.89390000002</v>
      </c>
      <c r="BN44" s="298">
        <f t="shared" si="42"/>
        <v>596983.52520000003</v>
      </c>
      <c r="BO44" s="298">
        <f t="shared" si="43"/>
        <v>505650.15650000004</v>
      </c>
      <c r="BP44" s="298">
        <f t="shared" si="44"/>
        <v>414316.78780000005</v>
      </c>
      <c r="BQ44" s="298">
        <f t="shared" si="45"/>
        <v>321144</v>
      </c>
    </row>
    <row r="45" spans="1:69" ht="15" x14ac:dyDescent="0.2">
      <c r="A45" s="10" t="s">
        <v>8</v>
      </c>
      <c r="B45" s="10"/>
      <c r="C45" s="276"/>
      <c r="D45" s="276"/>
      <c r="E45" s="276"/>
      <c r="F45" s="8">
        <v>9</v>
      </c>
      <c r="G45" s="360">
        <v>54</v>
      </c>
      <c r="H45" s="10">
        <v>19</v>
      </c>
      <c r="I45" s="7" t="s">
        <v>29</v>
      </c>
      <c r="J45" s="287"/>
      <c r="K45" s="356">
        <v>1154.98</v>
      </c>
      <c r="L45" s="360"/>
      <c r="M45" s="289"/>
      <c r="N45" s="357">
        <v>377</v>
      </c>
      <c r="O45" s="290">
        <f t="shared" si="4"/>
        <v>0.32641257857278916</v>
      </c>
      <c r="P45" s="290">
        <f t="shared" si="19"/>
        <v>0</v>
      </c>
      <c r="Q45" s="291">
        <f t="shared" si="5"/>
        <v>0</v>
      </c>
      <c r="R45" s="291">
        <f t="shared" si="20"/>
        <v>0</v>
      </c>
      <c r="S45" s="357">
        <v>14</v>
      </c>
      <c r="T45" s="292">
        <f t="shared" si="6"/>
        <v>113.1</v>
      </c>
      <c r="U45" s="254">
        <f t="shared" si="21"/>
        <v>1271.58</v>
      </c>
      <c r="V45" s="356">
        <v>903194473.33000004</v>
      </c>
      <c r="W45" s="357">
        <v>8243</v>
      </c>
      <c r="X45" s="264">
        <f t="shared" si="7"/>
        <v>109571.09</v>
      </c>
      <c r="Y45" s="293">
        <f t="shared" si="8"/>
        <v>0.56912099999999999</v>
      </c>
      <c r="Z45" s="357">
        <v>72090</v>
      </c>
      <c r="AA45" s="293">
        <f t="shared" si="9"/>
        <v>0.59828599999999998</v>
      </c>
      <c r="AB45" s="293">
        <f t="shared" si="10"/>
        <v>0.42213000000000001</v>
      </c>
      <c r="AC45" s="294">
        <f t="shared" si="11"/>
        <v>0.42213000000000001</v>
      </c>
      <c r="AD45" s="295">
        <f t="shared" si="22"/>
        <v>0</v>
      </c>
      <c r="AE45" s="296">
        <f t="shared" si="23"/>
        <v>0.42213000000000001</v>
      </c>
      <c r="AF45" s="357">
        <v>0</v>
      </c>
      <c r="AG45" s="357">
        <v>0</v>
      </c>
      <c r="AH45" s="254">
        <f t="shared" si="24"/>
        <v>0</v>
      </c>
      <c r="AI45" s="9">
        <f t="shared" si="12"/>
        <v>0</v>
      </c>
      <c r="AJ45" s="9">
        <v>202</v>
      </c>
      <c r="AK45" s="9">
        <f t="shared" si="25"/>
        <v>4</v>
      </c>
      <c r="AL45" s="9">
        <f t="shared" si="26"/>
        <v>400</v>
      </c>
      <c r="AM45" s="9">
        <f t="shared" si="27"/>
        <v>80800</v>
      </c>
      <c r="AN45" s="9">
        <f t="shared" si="28"/>
        <v>80800</v>
      </c>
      <c r="AO45" s="9">
        <f t="shared" si="13"/>
        <v>6186298</v>
      </c>
      <c r="AP45" s="9">
        <f t="shared" si="29"/>
        <v>6267098</v>
      </c>
      <c r="AQ45" s="9">
        <f t="shared" si="30"/>
        <v>6267098</v>
      </c>
      <c r="AR45" s="291">
        <v>6975373</v>
      </c>
      <c r="AS45" s="9">
        <f t="shared" si="31"/>
        <v>708275</v>
      </c>
      <c r="AT45" s="297" t="str">
        <f t="shared" si="32"/>
        <v>No</v>
      </c>
      <c r="AU45" s="357">
        <v>6926095</v>
      </c>
      <c r="AV45" s="291">
        <f t="shared" si="14"/>
        <v>58999.307500000003</v>
      </c>
      <c r="AW45" s="291">
        <f t="shared" si="33"/>
        <v>6926095</v>
      </c>
      <c r="AX45" s="291">
        <f t="shared" si="15"/>
        <v>6926095</v>
      </c>
      <c r="AY45" s="358">
        <f t="shared" si="34"/>
        <v>0</v>
      </c>
      <c r="AZ45" s="301"/>
      <c r="BA45" s="301"/>
      <c r="BB45" s="302"/>
      <c r="BC45" s="291">
        <f t="shared" si="35"/>
        <v>6867095.6924999999</v>
      </c>
      <c r="BD45" s="298">
        <f t="shared" si="46"/>
        <v>6808096.3849999998</v>
      </c>
      <c r="BE45" s="298">
        <f t="shared" si="46"/>
        <v>6749097.0774999997</v>
      </c>
      <c r="BF45" s="298">
        <f t="shared" si="46"/>
        <v>6690097.7699999996</v>
      </c>
      <c r="BG45" s="298">
        <f t="shared" si="47"/>
        <v>6631098.4624999994</v>
      </c>
      <c r="BH45" s="298">
        <f t="shared" si="47"/>
        <v>6572099.1549999993</v>
      </c>
      <c r="BI45" s="298">
        <f t="shared" si="38"/>
        <v>6267098</v>
      </c>
      <c r="BK45" s="298">
        <f t="shared" si="39"/>
        <v>6867095.6924999999</v>
      </c>
      <c r="BL45" s="298">
        <f t="shared" si="40"/>
        <v>6808096.3849999998</v>
      </c>
      <c r="BM45" s="298">
        <f t="shared" si="41"/>
        <v>6749097.0774999997</v>
      </c>
      <c r="BN45" s="298">
        <f t="shared" si="42"/>
        <v>6690097.7699999996</v>
      </c>
      <c r="BO45" s="298">
        <f t="shared" si="43"/>
        <v>6631098.4624999994</v>
      </c>
      <c r="BP45" s="298">
        <f t="shared" si="44"/>
        <v>6572099.1549999993</v>
      </c>
      <c r="BQ45" s="298">
        <f t="shared" si="45"/>
        <v>6267098</v>
      </c>
    </row>
    <row r="46" spans="1:69" ht="15" x14ac:dyDescent="0.2">
      <c r="A46" s="10" t="s">
        <v>4</v>
      </c>
      <c r="B46" s="10"/>
      <c r="C46" s="276"/>
      <c r="D46" s="276"/>
      <c r="E46" s="276"/>
      <c r="F46" s="8">
        <v>3</v>
      </c>
      <c r="G46" s="355">
        <v>128</v>
      </c>
      <c r="H46" s="10">
        <v>20</v>
      </c>
      <c r="I46" s="7" t="s">
        <v>30</v>
      </c>
      <c r="J46" s="287"/>
      <c r="K46" s="356">
        <v>1492.32</v>
      </c>
      <c r="L46" s="355"/>
      <c r="M46" s="289"/>
      <c r="N46" s="357">
        <v>170</v>
      </c>
      <c r="O46" s="290">
        <f t="shared" si="4"/>
        <v>0.11391658625495872</v>
      </c>
      <c r="P46" s="290">
        <f t="shared" si="19"/>
        <v>0</v>
      </c>
      <c r="Q46" s="291">
        <f t="shared" si="5"/>
        <v>0</v>
      </c>
      <c r="R46" s="291">
        <f t="shared" si="20"/>
        <v>0</v>
      </c>
      <c r="S46" s="357">
        <v>31</v>
      </c>
      <c r="T46" s="292">
        <f t="shared" si="6"/>
        <v>51</v>
      </c>
      <c r="U46" s="254">
        <f t="shared" si="21"/>
        <v>1551.07</v>
      </c>
      <c r="V46" s="356">
        <v>1354355903.3299999</v>
      </c>
      <c r="W46" s="357">
        <v>9607</v>
      </c>
      <c r="X46" s="264">
        <f t="shared" si="7"/>
        <v>140975.94</v>
      </c>
      <c r="Y46" s="293">
        <f t="shared" si="8"/>
        <v>0.73224100000000003</v>
      </c>
      <c r="Z46" s="357">
        <v>126341</v>
      </c>
      <c r="AA46" s="293">
        <f t="shared" si="9"/>
        <v>1.0485230000000001</v>
      </c>
      <c r="AB46" s="293">
        <f t="shared" si="10"/>
        <v>0.172874</v>
      </c>
      <c r="AC46" s="294">
        <f t="shared" si="11"/>
        <v>0.172874</v>
      </c>
      <c r="AD46" s="295">
        <f t="shared" si="22"/>
        <v>0</v>
      </c>
      <c r="AE46" s="296">
        <f t="shared" si="23"/>
        <v>0.172874</v>
      </c>
      <c r="AF46" s="357">
        <v>1493</v>
      </c>
      <c r="AG46" s="357">
        <v>13</v>
      </c>
      <c r="AH46" s="254">
        <f t="shared" si="24"/>
        <v>1300</v>
      </c>
      <c r="AI46" s="9">
        <f t="shared" si="12"/>
        <v>1940900</v>
      </c>
      <c r="AJ46" s="9">
        <v>0</v>
      </c>
      <c r="AK46" s="9">
        <f t="shared" si="25"/>
        <v>0</v>
      </c>
      <c r="AL46" s="9">
        <f t="shared" si="26"/>
        <v>0</v>
      </c>
      <c r="AM46" s="9">
        <f t="shared" si="27"/>
        <v>0</v>
      </c>
      <c r="AN46" s="9">
        <f t="shared" si="28"/>
        <v>1940900</v>
      </c>
      <c r="AO46" s="9">
        <f t="shared" si="13"/>
        <v>3090310</v>
      </c>
      <c r="AP46" s="9">
        <f t="shared" si="29"/>
        <v>5031210</v>
      </c>
      <c r="AQ46" s="9">
        <f t="shared" si="30"/>
        <v>5031210</v>
      </c>
      <c r="AR46" s="291">
        <v>4359350</v>
      </c>
      <c r="AS46" s="9">
        <f t="shared" si="31"/>
        <v>671860</v>
      </c>
      <c r="AT46" s="297" t="str">
        <f t="shared" si="32"/>
        <v>Yes</v>
      </c>
      <c r="AU46" s="357">
        <v>3995268.2760000001</v>
      </c>
      <c r="AV46" s="291">
        <f t="shared" si="14"/>
        <v>71620.275999999998</v>
      </c>
      <c r="AW46" s="291">
        <f t="shared" si="33"/>
        <v>4066888.5520000001</v>
      </c>
      <c r="AX46" s="291">
        <f t="shared" si="15"/>
        <v>4066888.5520000001</v>
      </c>
      <c r="AY46" s="358">
        <f t="shared" si="34"/>
        <v>71620.276000000071</v>
      </c>
      <c r="AZ46" s="301"/>
      <c r="BA46" s="301"/>
      <c r="BB46" s="302"/>
      <c r="BC46" s="291">
        <f t="shared" si="35"/>
        <v>4138508.8280000002</v>
      </c>
      <c r="BD46" s="298">
        <f t="shared" si="46"/>
        <v>4210129.1040000003</v>
      </c>
      <c r="BE46" s="298">
        <f t="shared" si="46"/>
        <v>4281749.38</v>
      </c>
      <c r="BF46" s="298">
        <f t="shared" si="46"/>
        <v>4353369.6559999995</v>
      </c>
      <c r="BG46" s="298">
        <f t="shared" si="47"/>
        <v>5031210</v>
      </c>
      <c r="BH46" s="298">
        <f t="shared" si="47"/>
        <v>5031210</v>
      </c>
      <c r="BI46" s="298">
        <f t="shared" si="38"/>
        <v>5031210</v>
      </c>
      <c r="BK46" s="298">
        <f t="shared" si="39"/>
        <v>4138508.8280000002</v>
      </c>
      <c r="BL46" s="298">
        <f t="shared" si="40"/>
        <v>4210129.1040000003</v>
      </c>
      <c r="BM46" s="298">
        <f t="shared" si="41"/>
        <v>4281749.38</v>
      </c>
      <c r="BN46" s="298">
        <f t="shared" si="42"/>
        <v>4353369.6559999995</v>
      </c>
      <c r="BO46" s="298">
        <f t="shared" si="43"/>
        <v>5031210</v>
      </c>
      <c r="BP46" s="298">
        <f t="shared" si="44"/>
        <v>5031210</v>
      </c>
      <c r="BQ46" s="298">
        <f t="shared" si="45"/>
        <v>5031210</v>
      </c>
    </row>
    <row r="47" spans="1:69" ht="15" x14ac:dyDescent="0.2">
      <c r="A47" s="10" t="s">
        <v>8</v>
      </c>
      <c r="B47" s="10"/>
      <c r="C47" s="276"/>
      <c r="D47" s="276"/>
      <c r="E47" s="276"/>
      <c r="F47" s="8">
        <v>4</v>
      </c>
      <c r="G47" s="355">
        <v>152</v>
      </c>
      <c r="H47" s="10">
        <v>21</v>
      </c>
      <c r="I47" s="7" t="s">
        <v>31</v>
      </c>
      <c r="J47" s="287"/>
      <c r="K47" s="356">
        <v>99.1</v>
      </c>
      <c r="L47" s="355"/>
      <c r="M47" s="289"/>
      <c r="N47" s="357">
        <v>38</v>
      </c>
      <c r="O47" s="290">
        <f t="shared" si="4"/>
        <v>0.38345105953582242</v>
      </c>
      <c r="P47" s="290">
        <f t="shared" si="19"/>
        <v>0</v>
      </c>
      <c r="Q47" s="291">
        <f t="shared" si="5"/>
        <v>0</v>
      </c>
      <c r="R47" s="291">
        <f t="shared" si="20"/>
        <v>0</v>
      </c>
      <c r="S47" s="357">
        <v>2</v>
      </c>
      <c r="T47" s="292">
        <f t="shared" si="6"/>
        <v>11.4</v>
      </c>
      <c r="U47" s="254">
        <f t="shared" si="21"/>
        <v>111</v>
      </c>
      <c r="V47" s="356">
        <v>252403063.33000001</v>
      </c>
      <c r="W47" s="357">
        <v>1196</v>
      </c>
      <c r="X47" s="264">
        <f t="shared" si="7"/>
        <v>211039.35</v>
      </c>
      <c r="Y47" s="293">
        <f t="shared" si="8"/>
        <v>1.0961559999999999</v>
      </c>
      <c r="Z47" s="357">
        <v>77847</v>
      </c>
      <c r="AA47" s="293">
        <f t="shared" si="9"/>
        <v>0.64606399999999997</v>
      </c>
      <c r="AB47" s="293">
        <f t="shared" si="10"/>
        <v>3.8871999999999997E-2</v>
      </c>
      <c r="AC47" s="294">
        <f t="shared" si="11"/>
        <v>3.8871999999999997E-2</v>
      </c>
      <c r="AD47" s="295">
        <f t="shared" si="22"/>
        <v>0</v>
      </c>
      <c r="AE47" s="296">
        <f t="shared" si="23"/>
        <v>3.8871999999999997E-2</v>
      </c>
      <c r="AF47" s="357">
        <v>34</v>
      </c>
      <c r="AG47" s="357">
        <v>4</v>
      </c>
      <c r="AH47" s="254">
        <f t="shared" si="24"/>
        <v>400</v>
      </c>
      <c r="AI47" s="9">
        <f t="shared" si="12"/>
        <v>13600</v>
      </c>
      <c r="AJ47" s="9">
        <v>0</v>
      </c>
      <c r="AK47" s="9">
        <f t="shared" si="25"/>
        <v>0</v>
      </c>
      <c r="AL47" s="9">
        <f t="shared" si="26"/>
        <v>0</v>
      </c>
      <c r="AM47" s="9">
        <f t="shared" si="27"/>
        <v>0</v>
      </c>
      <c r="AN47" s="9">
        <f t="shared" si="28"/>
        <v>13600</v>
      </c>
      <c r="AO47" s="9">
        <f t="shared" si="13"/>
        <v>49728</v>
      </c>
      <c r="AP47" s="9">
        <f t="shared" si="29"/>
        <v>63328</v>
      </c>
      <c r="AQ47" s="9">
        <f t="shared" si="30"/>
        <v>63328</v>
      </c>
      <c r="AR47" s="291">
        <v>177216</v>
      </c>
      <c r="AS47" s="9">
        <f t="shared" si="31"/>
        <v>113888</v>
      </c>
      <c r="AT47" s="297" t="str">
        <f t="shared" si="32"/>
        <v>No</v>
      </c>
      <c r="AU47" s="357">
        <v>125752</v>
      </c>
      <c r="AV47" s="291">
        <f t="shared" si="14"/>
        <v>9486.8703999999998</v>
      </c>
      <c r="AW47" s="291">
        <f t="shared" si="33"/>
        <v>125752</v>
      </c>
      <c r="AX47" s="291">
        <f t="shared" si="15"/>
        <v>125752</v>
      </c>
      <c r="AY47" s="358">
        <f t="shared" si="34"/>
        <v>0</v>
      </c>
      <c r="AZ47" s="301"/>
      <c r="BA47" s="301"/>
      <c r="BB47" s="302"/>
      <c r="BC47" s="291">
        <f t="shared" si="35"/>
        <v>116265.1296</v>
      </c>
      <c r="BD47" s="298">
        <f t="shared" si="46"/>
        <v>106778.2592</v>
      </c>
      <c r="BE47" s="298">
        <f t="shared" si="46"/>
        <v>97291.388800000001</v>
      </c>
      <c r="BF47" s="298">
        <f t="shared" si="46"/>
        <v>87804.518400000001</v>
      </c>
      <c r="BG47" s="298">
        <f t="shared" si="47"/>
        <v>78317.648000000001</v>
      </c>
      <c r="BH47" s="298">
        <f t="shared" si="47"/>
        <v>68830.777600000001</v>
      </c>
      <c r="BI47" s="298">
        <f t="shared" si="38"/>
        <v>63328</v>
      </c>
      <c r="BK47" s="298">
        <f t="shared" si="39"/>
        <v>116265.1296</v>
      </c>
      <c r="BL47" s="298">
        <f t="shared" si="40"/>
        <v>106778.2592</v>
      </c>
      <c r="BM47" s="298">
        <f t="shared" si="41"/>
        <v>97291.388800000001</v>
      </c>
      <c r="BN47" s="298">
        <f t="shared" si="42"/>
        <v>87804.518400000001</v>
      </c>
      <c r="BO47" s="298">
        <f t="shared" si="43"/>
        <v>78317.648000000001</v>
      </c>
      <c r="BP47" s="298">
        <f t="shared" si="44"/>
        <v>68830.777600000001</v>
      </c>
      <c r="BQ47" s="298">
        <f t="shared" si="45"/>
        <v>63328</v>
      </c>
    </row>
    <row r="48" spans="1:69" ht="15" x14ac:dyDescent="0.2">
      <c r="A48" s="10" t="s">
        <v>32</v>
      </c>
      <c r="B48" s="10"/>
      <c r="C48" s="276"/>
      <c r="D48" s="276"/>
      <c r="E48" s="276"/>
      <c r="F48" s="8">
        <v>8</v>
      </c>
      <c r="G48" s="355">
        <v>62</v>
      </c>
      <c r="H48" s="10">
        <v>22</v>
      </c>
      <c r="I48" s="7" t="s">
        <v>33</v>
      </c>
      <c r="J48" s="287"/>
      <c r="K48" s="356">
        <v>590</v>
      </c>
      <c r="L48" s="355"/>
      <c r="M48" s="289"/>
      <c r="N48" s="357">
        <v>155</v>
      </c>
      <c r="O48" s="290">
        <f t="shared" si="4"/>
        <v>0.26271186440677968</v>
      </c>
      <c r="P48" s="290">
        <f t="shared" si="19"/>
        <v>0</v>
      </c>
      <c r="Q48" s="291">
        <f t="shared" si="5"/>
        <v>0</v>
      </c>
      <c r="R48" s="291">
        <f t="shared" si="20"/>
        <v>0</v>
      </c>
      <c r="S48" s="357">
        <v>1</v>
      </c>
      <c r="T48" s="292">
        <f t="shared" si="6"/>
        <v>46.5</v>
      </c>
      <c r="U48" s="254">
        <f t="shared" si="21"/>
        <v>636.75</v>
      </c>
      <c r="V48" s="356">
        <v>550952590.33000004</v>
      </c>
      <c r="W48" s="357">
        <v>5074</v>
      </c>
      <c r="X48" s="264">
        <f t="shared" si="7"/>
        <v>108583.48</v>
      </c>
      <c r="Y48" s="293">
        <f t="shared" si="8"/>
        <v>0.56399200000000005</v>
      </c>
      <c r="Z48" s="357">
        <v>92835</v>
      </c>
      <c r="AA48" s="293">
        <f t="shared" si="9"/>
        <v>0.77045200000000003</v>
      </c>
      <c r="AB48" s="293">
        <f t="shared" si="10"/>
        <v>0.37407000000000001</v>
      </c>
      <c r="AC48" s="294">
        <f t="shared" si="11"/>
        <v>0.37407000000000001</v>
      </c>
      <c r="AD48" s="295">
        <f t="shared" si="22"/>
        <v>0</v>
      </c>
      <c r="AE48" s="296">
        <f t="shared" si="23"/>
        <v>0.37407000000000001</v>
      </c>
      <c r="AF48" s="357">
        <v>0</v>
      </c>
      <c r="AG48" s="357">
        <v>0</v>
      </c>
      <c r="AH48" s="254">
        <f t="shared" si="24"/>
        <v>0</v>
      </c>
      <c r="AI48" s="9">
        <f t="shared" si="12"/>
        <v>0</v>
      </c>
      <c r="AJ48" s="9">
        <v>147</v>
      </c>
      <c r="AK48" s="9">
        <f t="shared" si="25"/>
        <v>4</v>
      </c>
      <c r="AL48" s="9">
        <f t="shared" si="26"/>
        <v>400</v>
      </c>
      <c r="AM48" s="9">
        <f t="shared" si="27"/>
        <v>58800</v>
      </c>
      <c r="AN48" s="9">
        <f t="shared" si="28"/>
        <v>58800</v>
      </c>
      <c r="AO48" s="9">
        <f t="shared" si="13"/>
        <v>2745129</v>
      </c>
      <c r="AP48" s="9">
        <f t="shared" si="29"/>
        <v>2803929</v>
      </c>
      <c r="AQ48" s="9">
        <f t="shared" si="30"/>
        <v>2803929</v>
      </c>
      <c r="AR48" s="291">
        <v>4665608</v>
      </c>
      <c r="AS48" s="9">
        <f t="shared" si="31"/>
        <v>1861679</v>
      </c>
      <c r="AT48" s="297" t="str">
        <f t="shared" si="32"/>
        <v>No</v>
      </c>
      <c r="AU48" s="357">
        <v>4004835</v>
      </c>
      <c r="AV48" s="291">
        <f t="shared" si="14"/>
        <v>155077.86069999999</v>
      </c>
      <c r="AW48" s="291">
        <f t="shared" si="33"/>
        <v>4004835</v>
      </c>
      <c r="AX48" s="291">
        <f t="shared" si="15"/>
        <v>4004835</v>
      </c>
      <c r="AY48" s="358">
        <f t="shared" si="34"/>
        <v>0</v>
      </c>
      <c r="AZ48" s="301"/>
      <c r="BA48" s="301"/>
      <c r="BB48" s="302"/>
      <c r="BC48" s="291">
        <f t="shared" si="35"/>
        <v>3849757.1392999999</v>
      </c>
      <c r="BD48" s="298">
        <f t="shared" si="46"/>
        <v>3694679.2785999998</v>
      </c>
      <c r="BE48" s="298">
        <f t="shared" si="46"/>
        <v>3539601.4178999998</v>
      </c>
      <c r="BF48" s="298">
        <f t="shared" si="46"/>
        <v>3384523.5571999997</v>
      </c>
      <c r="BG48" s="298">
        <f t="shared" si="47"/>
        <v>3229445.6964999996</v>
      </c>
      <c r="BH48" s="298">
        <f t="shared" si="47"/>
        <v>3074367.8357999995</v>
      </c>
      <c r="BI48" s="298">
        <f t="shared" si="38"/>
        <v>2803929</v>
      </c>
      <c r="BK48" s="298">
        <f t="shared" si="39"/>
        <v>3849757.1392999999</v>
      </c>
      <c r="BL48" s="298">
        <f t="shared" si="40"/>
        <v>3694679.2785999998</v>
      </c>
      <c r="BM48" s="298">
        <f t="shared" si="41"/>
        <v>3539601.4178999998</v>
      </c>
      <c r="BN48" s="298">
        <f t="shared" si="42"/>
        <v>3384523.5571999997</v>
      </c>
      <c r="BO48" s="298">
        <f t="shared" si="43"/>
        <v>3229445.6964999996</v>
      </c>
      <c r="BP48" s="298">
        <f t="shared" si="44"/>
        <v>3074367.8357999995</v>
      </c>
      <c r="BQ48" s="298">
        <f t="shared" si="45"/>
        <v>2803929</v>
      </c>
    </row>
    <row r="49" spans="1:69" ht="15" x14ac:dyDescent="0.2">
      <c r="A49" s="10" t="s">
        <v>4</v>
      </c>
      <c r="B49" s="10"/>
      <c r="C49" s="276"/>
      <c r="D49" s="276"/>
      <c r="E49" s="276"/>
      <c r="F49" s="8">
        <v>4</v>
      </c>
      <c r="G49" s="355">
        <v>130</v>
      </c>
      <c r="H49" s="10">
        <v>23</v>
      </c>
      <c r="I49" s="7" t="s">
        <v>34</v>
      </c>
      <c r="J49" s="287"/>
      <c r="K49" s="356">
        <v>1492.21</v>
      </c>
      <c r="L49" s="355"/>
      <c r="M49" s="289"/>
      <c r="N49" s="357">
        <v>180</v>
      </c>
      <c r="O49" s="290">
        <f t="shared" si="4"/>
        <v>0.1206264533812265</v>
      </c>
      <c r="P49" s="290">
        <f t="shared" si="19"/>
        <v>0</v>
      </c>
      <c r="Q49" s="291">
        <f t="shared" si="5"/>
        <v>0</v>
      </c>
      <c r="R49" s="291">
        <f t="shared" si="20"/>
        <v>0</v>
      </c>
      <c r="S49" s="357">
        <v>8</v>
      </c>
      <c r="T49" s="292">
        <f t="shared" si="6"/>
        <v>54</v>
      </c>
      <c r="U49" s="254">
        <f t="shared" si="21"/>
        <v>1548.21</v>
      </c>
      <c r="V49" s="356">
        <v>1550294648.6700001</v>
      </c>
      <c r="W49" s="357">
        <v>10306</v>
      </c>
      <c r="X49" s="264">
        <f t="shared" si="7"/>
        <v>150426.42000000001</v>
      </c>
      <c r="Y49" s="293">
        <f t="shared" si="8"/>
        <v>0.78132699999999999</v>
      </c>
      <c r="Z49" s="357">
        <v>89255</v>
      </c>
      <c r="AA49" s="293">
        <f t="shared" si="9"/>
        <v>0.74074099999999998</v>
      </c>
      <c r="AB49" s="293">
        <f t="shared" si="10"/>
        <v>0.230849</v>
      </c>
      <c r="AC49" s="294">
        <f t="shared" si="11"/>
        <v>0.230849</v>
      </c>
      <c r="AD49" s="295">
        <f t="shared" si="22"/>
        <v>0</v>
      </c>
      <c r="AE49" s="296">
        <f t="shared" si="23"/>
        <v>0.230849</v>
      </c>
      <c r="AF49" s="357">
        <v>0</v>
      </c>
      <c r="AG49" s="357">
        <v>0</v>
      </c>
      <c r="AH49" s="254">
        <f t="shared" si="24"/>
        <v>0</v>
      </c>
      <c r="AI49" s="9">
        <f t="shared" si="12"/>
        <v>0</v>
      </c>
      <c r="AJ49" s="9">
        <v>0</v>
      </c>
      <c r="AK49" s="9">
        <f t="shared" si="25"/>
        <v>0</v>
      </c>
      <c r="AL49" s="9">
        <f t="shared" si="26"/>
        <v>0</v>
      </c>
      <c r="AM49" s="9">
        <f t="shared" si="27"/>
        <v>0</v>
      </c>
      <c r="AN49" s="9">
        <f t="shared" si="28"/>
        <v>0</v>
      </c>
      <c r="AO49" s="9">
        <f t="shared" si="13"/>
        <v>4119066</v>
      </c>
      <c r="AP49" s="9">
        <f t="shared" si="29"/>
        <v>4119066</v>
      </c>
      <c r="AQ49" s="9">
        <f t="shared" si="30"/>
        <v>4119066</v>
      </c>
      <c r="AR49" s="291">
        <v>3403900</v>
      </c>
      <c r="AS49" s="9">
        <f t="shared" si="31"/>
        <v>715166</v>
      </c>
      <c r="AT49" s="297" t="str">
        <f t="shared" si="32"/>
        <v>Yes</v>
      </c>
      <c r="AU49" s="357">
        <v>3499444.6956000002</v>
      </c>
      <c r="AV49" s="291">
        <f t="shared" si="14"/>
        <v>76236.695600000006</v>
      </c>
      <c r="AW49" s="291">
        <f t="shared" si="33"/>
        <v>3575681.3912000004</v>
      </c>
      <c r="AX49" s="291">
        <f t="shared" si="15"/>
        <v>3575681.3912000004</v>
      </c>
      <c r="AY49" s="358">
        <f t="shared" si="34"/>
        <v>76236.69560000021</v>
      </c>
      <c r="AZ49" s="301"/>
      <c r="BA49" s="301"/>
      <c r="BB49" s="302"/>
      <c r="BC49" s="291">
        <f t="shared" si="35"/>
        <v>3651918.0868000006</v>
      </c>
      <c r="BD49" s="298">
        <f t="shared" si="46"/>
        <v>3728154.7824000008</v>
      </c>
      <c r="BE49" s="298">
        <f t="shared" si="46"/>
        <v>3804391.4780000011</v>
      </c>
      <c r="BF49" s="298">
        <f t="shared" si="46"/>
        <v>3880628.1736000013</v>
      </c>
      <c r="BG49" s="298">
        <f t="shared" si="47"/>
        <v>4119066</v>
      </c>
      <c r="BH49" s="298">
        <f t="shared" si="47"/>
        <v>4119066</v>
      </c>
      <c r="BI49" s="298">
        <f t="shared" si="38"/>
        <v>4119066</v>
      </c>
      <c r="BK49" s="298">
        <f t="shared" si="39"/>
        <v>3651918.0868000006</v>
      </c>
      <c r="BL49" s="298">
        <f t="shared" si="40"/>
        <v>3728154.7824000008</v>
      </c>
      <c r="BM49" s="298">
        <f t="shared" si="41"/>
        <v>3804391.4780000011</v>
      </c>
      <c r="BN49" s="298">
        <f t="shared" si="42"/>
        <v>3880628.1736000013</v>
      </c>
      <c r="BO49" s="298">
        <f t="shared" si="43"/>
        <v>4119066</v>
      </c>
      <c r="BP49" s="298">
        <f t="shared" si="44"/>
        <v>4119066</v>
      </c>
      <c r="BQ49" s="298">
        <f t="shared" si="45"/>
        <v>4119066</v>
      </c>
    </row>
    <row r="50" spans="1:69" ht="15" x14ac:dyDescent="0.2">
      <c r="A50" s="10" t="s">
        <v>8</v>
      </c>
      <c r="B50" s="10"/>
      <c r="C50" s="276"/>
      <c r="D50" s="276"/>
      <c r="E50" s="276"/>
      <c r="F50" s="8">
        <v>9</v>
      </c>
      <c r="G50" s="359">
        <v>36</v>
      </c>
      <c r="H50" s="10">
        <v>24</v>
      </c>
      <c r="I50" s="7" t="s">
        <v>35</v>
      </c>
      <c r="J50" s="287"/>
      <c r="K50" s="356">
        <v>238.68</v>
      </c>
      <c r="L50" s="359"/>
      <c r="M50" s="289"/>
      <c r="N50" s="357">
        <v>101</v>
      </c>
      <c r="O50" s="290">
        <f t="shared" si="4"/>
        <v>0.42316071727836435</v>
      </c>
      <c r="P50" s="290">
        <f t="shared" si="19"/>
        <v>0</v>
      </c>
      <c r="Q50" s="291">
        <f t="shared" si="5"/>
        <v>0</v>
      </c>
      <c r="R50" s="291">
        <f t="shared" si="20"/>
        <v>0</v>
      </c>
      <c r="S50" s="357">
        <v>4</v>
      </c>
      <c r="T50" s="292">
        <f t="shared" si="6"/>
        <v>30.3</v>
      </c>
      <c r="U50" s="254">
        <f t="shared" si="21"/>
        <v>269.98</v>
      </c>
      <c r="V50" s="356">
        <v>295317266.67000002</v>
      </c>
      <c r="W50" s="357">
        <v>2329</v>
      </c>
      <c r="X50" s="264">
        <f t="shared" si="7"/>
        <v>126800.03</v>
      </c>
      <c r="Y50" s="293">
        <f t="shared" si="8"/>
        <v>0.65861000000000003</v>
      </c>
      <c r="Z50" s="357">
        <v>68889</v>
      </c>
      <c r="AA50" s="293">
        <f t="shared" si="9"/>
        <v>0.57172000000000001</v>
      </c>
      <c r="AB50" s="293">
        <f t="shared" si="10"/>
        <v>0.36745699999999998</v>
      </c>
      <c r="AC50" s="294">
        <f t="shared" si="11"/>
        <v>0.36745699999999998</v>
      </c>
      <c r="AD50" s="295">
        <f t="shared" si="22"/>
        <v>0</v>
      </c>
      <c r="AE50" s="296">
        <f t="shared" si="23"/>
        <v>0.36745699999999998</v>
      </c>
      <c r="AF50" s="357">
        <v>105</v>
      </c>
      <c r="AG50" s="357">
        <v>6</v>
      </c>
      <c r="AH50" s="254">
        <f t="shared" si="24"/>
        <v>600</v>
      </c>
      <c r="AI50" s="9">
        <f t="shared" si="12"/>
        <v>63000</v>
      </c>
      <c r="AJ50" s="9">
        <v>0</v>
      </c>
      <c r="AK50" s="9">
        <f t="shared" si="25"/>
        <v>0</v>
      </c>
      <c r="AL50" s="9">
        <f t="shared" si="26"/>
        <v>0</v>
      </c>
      <c r="AM50" s="9">
        <f t="shared" si="27"/>
        <v>0</v>
      </c>
      <c r="AN50" s="9">
        <f t="shared" si="28"/>
        <v>63000</v>
      </c>
      <c r="AO50" s="9">
        <f t="shared" si="13"/>
        <v>1143350</v>
      </c>
      <c r="AP50" s="9">
        <f t="shared" si="29"/>
        <v>1206350</v>
      </c>
      <c r="AQ50" s="9">
        <f t="shared" si="30"/>
        <v>1206350</v>
      </c>
      <c r="AR50" s="291">
        <v>1856992</v>
      </c>
      <c r="AS50" s="9">
        <f t="shared" si="31"/>
        <v>650642</v>
      </c>
      <c r="AT50" s="297" t="str">
        <f t="shared" si="32"/>
        <v>No</v>
      </c>
      <c r="AU50" s="357">
        <v>1652147</v>
      </c>
      <c r="AV50" s="291">
        <f t="shared" si="14"/>
        <v>54198.478600000002</v>
      </c>
      <c r="AW50" s="291">
        <f t="shared" si="33"/>
        <v>1652147</v>
      </c>
      <c r="AX50" s="291">
        <f t="shared" si="15"/>
        <v>1652147</v>
      </c>
      <c r="AY50" s="358">
        <f t="shared" si="34"/>
        <v>0</v>
      </c>
      <c r="AZ50" s="301"/>
      <c r="BA50" s="301"/>
      <c r="BB50" s="302"/>
      <c r="BC50" s="291">
        <f t="shared" si="35"/>
        <v>1597948.5214</v>
      </c>
      <c r="BD50" s="298">
        <f t="shared" si="46"/>
        <v>1543750.0427999999</v>
      </c>
      <c r="BE50" s="298">
        <f t="shared" si="46"/>
        <v>1489551.5641999999</v>
      </c>
      <c r="BF50" s="298">
        <f t="shared" si="46"/>
        <v>1435353.0855999999</v>
      </c>
      <c r="BG50" s="298">
        <f t="shared" si="47"/>
        <v>1381154.6069999998</v>
      </c>
      <c r="BH50" s="298">
        <f t="shared" si="47"/>
        <v>1326956.1283999998</v>
      </c>
      <c r="BI50" s="298">
        <f t="shared" si="38"/>
        <v>1206350</v>
      </c>
      <c r="BK50" s="298">
        <f t="shared" si="39"/>
        <v>1597948.5214</v>
      </c>
      <c r="BL50" s="298">
        <f t="shared" si="40"/>
        <v>1543750.0427999999</v>
      </c>
      <c r="BM50" s="298">
        <f t="shared" si="41"/>
        <v>1489551.5641999999</v>
      </c>
      <c r="BN50" s="298">
        <f t="shared" si="42"/>
        <v>1435353.0855999999</v>
      </c>
      <c r="BO50" s="298">
        <f t="shared" si="43"/>
        <v>1381154.6069999998</v>
      </c>
      <c r="BP50" s="298">
        <f t="shared" si="44"/>
        <v>1326956.1283999998</v>
      </c>
      <c r="BQ50" s="298">
        <f t="shared" si="45"/>
        <v>1206350</v>
      </c>
    </row>
    <row r="51" spans="1:69" ht="15" x14ac:dyDescent="0.2">
      <c r="A51" s="10" t="s">
        <v>10</v>
      </c>
      <c r="B51" s="10"/>
      <c r="C51" s="276"/>
      <c r="D51" s="276"/>
      <c r="E51" s="276"/>
      <c r="F51" s="8">
        <v>4</v>
      </c>
      <c r="G51" s="355">
        <v>132</v>
      </c>
      <c r="H51" s="10">
        <v>25</v>
      </c>
      <c r="I51" s="7" t="s">
        <v>36</v>
      </c>
      <c r="J51" s="287"/>
      <c r="K51" s="356">
        <v>4077.98</v>
      </c>
      <c r="L51" s="355"/>
      <c r="M51" s="289"/>
      <c r="N51" s="357">
        <v>624</v>
      </c>
      <c r="O51" s="290">
        <f t="shared" si="4"/>
        <v>0.15301693485500173</v>
      </c>
      <c r="P51" s="290">
        <f t="shared" si="19"/>
        <v>0</v>
      </c>
      <c r="Q51" s="291">
        <f t="shared" si="5"/>
        <v>0</v>
      </c>
      <c r="R51" s="291">
        <f t="shared" si="20"/>
        <v>0</v>
      </c>
      <c r="S51" s="357">
        <v>75</v>
      </c>
      <c r="T51" s="292">
        <f t="shared" si="6"/>
        <v>187.2</v>
      </c>
      <c r="U51" s="254">
        <f t="shared" si="21"/>
        <v>4283.93</v>
      </c>
      <c r="V51" s="356">
        <v>4115533223</v>
      </c>
      <c r="W51" s="357">
        <v>29208</v>
      </c>
      <c r="X51" s="264">
        <f t="shared" si="7"/>
        <v>140904.31</v>
      </c>
      <c r="Y51" s="293">
        <f t="shared" si="8"/>
        <v>0.73186899999999999</v>
      </c>
      <c r="Z51" s="357">
        <v>112945</v>
      </c>
      <c r="AA51" s="293">
        <f t="shared" si="9"/>
        <v>0.93734799999999996</v>
      </c>
      <c r="AB51" s="293">
        <f t="shared" si="10"/>
        <v>0.206487</v>
      </c>
      <c r="AC51" s="294">
        <f t="shared" si="11"/>
        <v>0.206487</v>
      </c>
      <c r="AD51" s="295">
        <f t="shared" si="22"/>
        <v>0</v>
      </c>
      <c r="AE51" s="296">
        <f t="shared" si="23"/>
        <v>0.206487</v>
      </c>
      <c r="AF51" s="357">
        <v>0</v>
      </c>
      <c r="AG51" s="357">
        <v>0</v>
      </c>
      <c r="AH51" s="254">
        <f t="shared" si="24"/>
        <v>0</v>
      </c>
      <c r="AI51" s="9">
        <f t="shared" si="12"/>
        <v>0</v>
      </c>
      <c r="AJ51" s="9">
        <v>0</v>
      </c>
      <c r="AK51" s="9">
        <f t="shared" si="25"/>
        <v>0</v>
      </c>
      <c r="AL51" s="9">
        <f t="shared" si="26"/>
        <v>0</v>
      </c>
      <c r="AM51" s="9">
        <f t="shared" si="27"/>
        <v>0</v>
      </c>
      <c r="AN51" s="9">
        <f t="shared" si="28"/>
        <v>0</v>
      </c>
      <c r="AO51" s="9">
        <f t="shared" si="13"/>
        <v>10194737</v>
      </c>
      <c r="AP51" s="9">
        <f t="shared" si="29"/>
        <v>10194737</v>
      </c>
      <c r="AQ51" s="9">
        <f t="shared" si="30"/>
        <v>10194737</v>
      </c>
      <c r="AR51" s="291">
        <v>9436665</v>
      </c>
      <c r="AS51" s="9">
        <f t="shared" si="31"/>
        <v>758072</v>
      </c>
      <c r="AT51" s="297" t="str">
        <f t="shared" si="32"/>
        <v>Yes</v>
      </c>
      <c r="AU51" s="357">
        <v>9420222.4751999993</v>
      </c>
      <c r="AV51" s="291">
        <f t="shared" si="14"/>
        <v>80810.475200000001</v>
      </c>
      <c r="AW51" s="291">
        <f t="shared" si="33"/>
        <v>9501032.9503999986</v>
      </c>
      <c r="AX51" s="291">
        <f t="shared" si="15"/>
        <v>9501032.9503999986</v>
      </c>
      <c r="AY51" s="358">
        <f t="shared" si="34"/>
        <v>80810.475199999288</v>
      </c>
      <c r="AZ51" s="301"/>
      <c r="BA51" s="301"/>
      <c r="BB51" s="302"/>
      <c r="BC51" s="291">
        <f t="shared" si="35"/>
        <v>9581843.4255999979</v>
      </c>
      <c r="BD51" s="298">
        <f t="shared" si="46"/>
        <v>9662653.9007999972</v>
      </c>
      <c r="BE51" s="298">
        <f t="shared" si="46"/>
        <v>9743464.3759999964</v>
      </c>
      <c r="BF51" s="298">
        <f t="shared" si="46"/>
        <v>9824274.8511999957</v>
      </c>
      <c r="BG51" s="298">
        <f t="shared" si="47"/>
        <v>10194737</v>
      </c>
      <c r="BH51" s="298">
        <f t="shared" si="47"/>
        <v>10194737</v>
      </c>
      <c r="BI51" s="298">
        <f t="shared" si="38"/>
        <v>10194737</v>
      </c>
      <c r="BK51" s="298">
        <f t="shared" si="39"/>
        <v>9581843.4255999979</v>
      </c>
      <c r="BL51" s="298">
        <f t="shared" si="40"/>
        <v>9662653.9007999972</v>
      </c>
      <c r="BM51" s="298">
        <f t="shared" si="41"/>
        <v>9743464.3759999964</v>
      </c>
      <c r="BN51" s="298">
        <f t="shared" si="42"/>
        <v>9824274.8511999957</v>
      </c>
      <c r="BO51" s="298">
        <f t="shared" si="43"/>
        <v>10194737</v>
      </c>
      <c r="BP51" s="298">
        <f t="shared" si="44"/>
        <v>10194737</v>
      </c>
      <c r="BQ51" s="298">
        <f t="shared" si="45"/>
        <v>10194737</v>
      </c>
    </row>
    <row r="52" spans="1:69" ht="15" x14ac:dyDescent="0.2">
      <c r="A52" s="10" t="s">
        <v>8</v>
      </c>
      <c r="B52" s="10"/>
      <c r="C52" s="276"/>
      <c r="D52" s="276"/>
      <c r="E52" s="276"/>
      <c r="F52" s="8">
        <v>4</v>
      </c>
      <c r="G52" s="355">
        <v>122</v>
      </c>
      <c r="H52" s="10">
        <v>26</v>
      </c>
      <c r="I52" s="7" t="s">
        <v>37</v>
      </c>
      <c r="J52" s="287"/>
      <c r="K52" s="356">
        <v>408.86</v>
      </c>
      <c r="L52" s="355"/>
      <c r="M52" s="289"/>
      <c r="N52" s="357">
        <v>102</v>
      </c>
      <c r="O52" s="290">
        <f t="shared" si="4"/>
        <v>0.24947414762999559</v>
      </c>
      <c r="P52" s="290">
        <f t="shared" si="19"/>
        <v>0</v>
      </c>
      <c r="Q52" s="291">
        <f t="shared" si="5"/>
        <v>0</v>
      </c>
      <c r="R52" s="291">
        <f t="shared" si="20"/>
        <v>0</v>
      </c>
      <c r="S52" s="357">
        <v>6</v>
      </c>
      <c r="T52" s="292">
        <f t="shared" si="6"/>
        <v>30.6</v>
      </c>
      <c r="U52" s="254">
        <f t="shared" si="21"/>
        <v>440.96000000000004</v>
      </c>
      <c r="V52" s="356">
        <v>645287072</v>
      </c>
      <c r="W52" s="357">
        <v>4268</v>
      </c>
      <c r="X52" s="264">
        <f t="shared" si="7"/>
        <v>151191.91</v>
      </c>
      <c r="Y52" s="293">
        <f t="shared" si="8"/>
        <v>0.78530299999999997</v>
      </c>
      <c r="Z52" s="357">
        <v>92417</v>
      </c>
      <c r="AA52" s="293">
        <f t="shared" si="9"/>
        <v>0.76698299999999997</v>
      </c>
      <c r="AB52" s="293">
        <f t="shared" si="10"/>
        <v>0.220193</v>
      </c>
      <c r="AC52" s="294">
        <f t="shared" si="11"/>
        <v>0.220193</v>
      </c>
      <c r="AD52" s="295">
        <f t="shared" si="22"/>
        <v>0</v>
      </c>
      <c r="AE52" s="296">
        <f t="shared" si="23"/>
        <v>0.220193</v>
      </c>
      <c r="AF52" s="357">
        <v>201</v>
      </c>
      <c r="AG52" s="357">
        <v>6</v>
      </c>
      <c r="AH52" s="254">
        <f t="shared" si="24"/>
        <v>600</v>
      </c>
      <c r="AI52" s="9">
        <f t="shared" si="12"/>
        <v>120600</v>
      </c>
      <c r="AJ52" s="9">
        <v>0</v>
      </c>
      <c r="AK52" s="9">
        <f t="shared" si="25"/>
        <v>0</v>
      </c>
      <c r="AL52" s="9">
        <f t="shared" si="26"/>
        <v>0</v>
      </c>
      <c r="AM52" s="9">
        <f t="shared" si="27"/>
        <v>0</v>
      </c>
      <c r="AN52" s="9">
        <f t="shared" si="28"/>
        <v>120600</v>
      </c>
      <c r="AO52" s="9">
        <f t="shared" si="13"/>
        <v>1119035</v>
      </c>
      <c r="AP52" s="9">
        <f t="shared" si="29"/>
        <v>1239635</v>
      </c>
      <c r="AQ52" s="9">
        <f t="shared" si="30"/>
        <v>1239635</v>
      </c>
      <c r="AR52" s="291">
        <v>659216</v>
      </c>
      <c r="AS52" s="9">
        <f t="shared" si="31"/>
        <v>580419</v>
      </c>
      <c r="AT52" s="297" t="str">
        <f t="shared" si="32"/>
        <v>Yes</v>
      </c>
      <c r="AU52" s="357">
        <v>830163.66540000006</v>
      </c>
      <c r="AV52" s="291">
        <f t="shared" si="14"/>
        <v>61872.665399999998</v>
      </c>
      <c r="AW52" s="291">
        <f t="shared" si="33"/>
        <v>892036.33080000011</v>
      </c>
      <c r="AX52" s="291">
        <f t="shared" si="15"/>
        <v>892036.33080000011</v>
      </c>
      <c r="AY52" s="358">
        <f t="shared" si="34"/>
        <v>61872.665400000056</v>
      </c>
      <c r="AZ52" s="301"/>
      <c r="BA52" s="301"/>
      <c r="BB52" s="302"/>
      <c r="BC52" s="291">
        <f t="shared" si="35"/>
        <v>953908.99620000017</v>
      </c>
      <c r="BD52" s="298">
        <f t="shared" si="46"/>
        <v>1015781.6616000002</v>
      </c>
      <c r="BE52" s="298">
        <f t="shared" si="46"/>
        <v>1077654.3270000003</v>
      </c>
      <c r="BF52" s="298">
        <f t="shared" si="46"/>
        <v>1139526.9924000003</v>
      </c>
      <c r="BG52" s="298">
        <f t="shared" si="47"/>
        <v>1239635</v>
      </c>
      <c r="BH52" s="298">
        <f t="shared" si="47"/>
        <v>1239635</v>
      </c>
      <c r="BI52" s="298">
        <f t="shared" si="38"/>
        <v>1239635</v>
      </c>
      <c r="BK52" s="298">
        <f t="shared" si="39"/>
        <v>953908.99620000017</v>
      </c>
      <c r="BL52" s="298">
        <f t="shared" si="40"/>
        <v>1015781.6616000002</v>
      </c>
      <c r="BM52" s="298">
        <f t="shared" si="41"/>
        <v>1077654.3270000003</v>
      </c>
      <c r="BN52" s="298">
        <f t="shared" si="42"/>
        <v>1139526.9924000003</v>
      </c>
      <c r="BO52" s="298">
        <f t="shared" si="43"/>
        <v>1239635</v>
      </c>
      <c r="BP52" s="298">
        <f t="shared" si="44"/>
        <v>1239635</v>
      </c>
      <c r="BQ52" s="298">
        <f t="shared" si="45"/>
        <v>1239635</v>
      </c>
    </row>
    <row r="53" spans="1:69" ht="15" x14ac:dyDescent="0.2">
      <c r="A53" s="10" t="s">
        <v>14</v>
      </c>
      <c r="B53" s="10"/>
      <c r="C53" s="276"/>
      <c r="D53" s="276"/>
      <c r="E53" s="276"/>
      <c r="F53" s="8">
        <v>5</v>
      </c>
      <c r="G53" s="355">
        <v>84</v>
      </c>
      <c r="H53" s="10">
        <v>27</v>
      </c>
      <c r="I53" s="7" t="s">
        <v>38</v>
      </c>
      <c r="J53" s="287"/>
      <c r="K53" s="356">
        <v>1551.28</v>
      </c>
      <c r="L53" s="355"/>
      <c r="M53" s="289"/>
      <c r="N53" s="357">
        <v>577</v>
      </c>
      <c r="O53" s="290">
        <f t="shared" si="4"/>
        <v>0.37195090505904804</v>
      </c>
      <c r="P53" s="290">
        <f t="shared" si="19"/>
        <v>0</v>
      </c>
      <c r="Q53" s="291">
        <f t="shared" si="5"/>
        <v>0</v>
      </c>
      <c r="R53" s="291">
        <f t="shared" si="20"/>
        <v>0</v>
      </c>
      <c r="S53" s="357">
        <v>108</v>
      </c>
      <c r="T53" s="292">
        <f t="shared" si="6"/>
        <v>173.1</v>
      </c>
      <c r="U53" s="254">
        <f t="shared" si="21"/>
        <v>1751.3799999999999</v>
      </c>
      <c r="V53" s="356">
        <v>2321389950</v>
      </c>
      <c r="W53" s="357">
        <v>12976</v>
      </c>
      <c r="X53" s="264">
        <f t="shared" si="7"/>
        <v>178898.73</v>
      </c>
      <c r="Y53" s="293">
        <f t="shared" si="8"/>
        <v>0.92921500000000001</v>
      </c>
      <c r="Z53" s="357">
        <v>76360</v>
      </c>
      <c r="AA53" s="293">
        <f t="shared" si="9"/>
        <v>0.63372300000000004</v>
      </c>
      <c r="AB53" s="293">
        <f t="shared" si="10"/>
        <v>0.15943299999999999</v>
      </c>
      <c r="AC53" s="294">
        <f t="shared" si="11"/>
        <v>0.15943299999999999</v>
      </c>
      <c r="AD53" s="295">
        <f t="shared" si="22"/>
        <v>0</v>
      </c>
      <c r="AE53" s="296">
        <f t="shared" si="23"/>
        <v>0.15943299999999999</v>
      </c>
      <c r="AF53" s="357">
        <v>0</v>
      </c>
      <c r="AG53" s="357">
        <v>0</v>
      </c>
      <c r="AH53" s="254">
        <f t="shared" si="24"/>
        <v>0</v>
      </c>
      <c r="AI53" s="9">
        <f t="shared" si="12"/>
        <v>0</v>
      </c>
      <c r="AJ53" s="9">
        <v>0</v>
      </c>
      <c r="AK53" s="9">
        <f t="shared" si="25"/>
        <v>0</v>
      </c>
      <c r="AL53" s="9">
        <f t="shared" si="26"/>
        <v>0</v>
      </c>
      <c r="AM53" s="9">
        <f t="shared" si="27"/>
        <v>0</v>
      </c>
      <c r="AN53" s="9">
        <f t="shared" si="28"/>
        <v>0</v>
      </c>
      <c r="AO53" s="9">
        <f t="shared" si="13"/>
        <v>3218100</v>
      </c>
      <c r="AP53" s="9">
        <f t="shared" si="29"/>
        <v>3218100</v>
      </c>
      <c r="AQ53" s="9">
        <f t="shared" si="30"/>
        <v>3218100</v>
      </c>
      <c r="AR53" s="291">
        <v>6326998</v>
      </c>
      <c r="AS53" s="9">
        <f t="shared" si="31"/>
        <v>3108898</v>
      </c>
      <c r="AT53" s="297" t="str">
        <f t="shared" si="32"/>
        <v>No</v>
      </c>
      <c r="AU53" s="357">
        <v>5192084</v>
      </c>
      <c r="AV53" s="291">
        <f t="shared" si="14"/>
        <v>258971.2034</v>
      </c>
      <c r="AW53" s="291">
        <f t="shared" si="33"/>
        <v>5192084</v>
      </c>
      <c r="AX53" s="291">
        <f t="shared" si="15"/>
        <v>5192084</v>
      </c>
      <c r="AY53" s="358">
        <f t="shared" si="34"/>
        <v>0</v>
      </c>
      <c r="AZ53" s="301"/>
      <c r="BA53" s="301"/>
      <c r="BB53" s="302"/>
      <c r="BC53" s="291">
        <f t="shared" si="35"/>
        <v>4933112.7966</v>
      </c>
      <c r="BD53" s="298">
        <f t="shared" si="46"/>
        <v>4674141.5932</v>
      </c>
      <c r="BE53" s="298">
        <f t="shared" si="46"/>
        <v>4415170.3898</v>
      </c>
      <c r="BF53" s="298">
        <f t="shared" si="46"/>
        <v>4156199.1864</v>
      </c>
      <c r="BG53" s="298">
        <f t="shared" si="47"/>
        <v>3897227.983</v>
      </c>
      <c r="BH53" s="298">
        <f t="shared" si="47"/>
        <v>3638256.7796</v>
      </c>
      <c r="BI53" s="298">
        <f t="shared" si="38"/>
        <v>3218100</v>
      </c>
      <c r="BK53" s="298">
        <f t="shared" si="39"/>
        <v>4933112.7966</v>
      </c>
      <c r="BL53" s="298">
        <f t="shared" si="40"/>
        <v>4674141.5932</v>
      </c>
      <c r="BM53" s="298">
        <f t="shared" si="41"/>
        <v>4415170.3898</v>
      </c>
      <c r="BN53" s="298">
        <f t="shared" si="42"/>
        <v>4156199.1864</v>
      </c>
      <c r="BO53" s="298">
        <f t="shared" si="43"/>
        <v>3897227.983</v>
      </c>
      <c r="BP53" s="298">
        <f t="shared" si="44"/>
        <v>3638256.7796</v>
      </c>
      <c r="BQ53" s="298">
        <f t="shared" si="45"/>
        <v>3218100</v>
      </c>
    </row>
    <row r="54" spans="1:69" ht="15" x14ac:dyDescent="0.2">
      <c r="A54" s="10" t="s">
        <v>14</v>
      </c>
      <c r="B54" s="10"/>
      <c r="C54" s="276"/>
      <c r="D54" s="276"/>
      <c r="E54" s="276"/>
      <c r="F54" s="8">
        <v>6</v>
      </c>
      <c r="G54" s="355">
        <v>64</v>
      </c>
      <c r="H54" s="10">
        <v>28</v>
      </c>
      <c r="I54" s="7" t="s">
        <v>39</v>
      </c>
      <c r="J54" s="287"/>
      <c r="K54" s="356">
        <v>2211.62</v>
      </c>
      <c r="L54" s="355"/>
      <c r="M54" s="289"/>
      <c r="N54" s="357">
        <v>518</v>
      </c>
      <c r="O54" s="290">
        <f t="shared" si="4"/>
        <v>0.23421745146092007</v>
      </c>
      <c r="P54" s="290">
        <f t="shared" si="19"/>
        <v>0</v>
      </c>
      <c r="Q54" s="291">
        <f t="shared" si="5"/>
        <v>0</v>
      </c>
      <c r="R54" s="291">
        <f t="shared" si="20"/>
        <v>0</v>
      </c>
      <c r="S54" s="357">
        <v>13</v>
      </c>
      <c r="T54" s="292">
        <f t="shared" si="6"/>
        <v>155.4</v>
      </c>
      <c r="U54" s="254">
        <f t="shared" si="21"/>
        <v>2370.27</v>
      </c>
      <c r="V54" s="356">
        <v>1788735536</v>
      </c>
      <c r="W54" s="357">
        <v>15927</v>
      </c>
      <c r="X54" s="264">
        <f t="shared" si="7"/>
        <v>112308.38</v>
      </c>
      <c r="Y54" s="293">
        <f t="shared" si="8"/>
        <v>0.58333900000000005</v>
      </c>
      <c r="Z54" s="357">
        <v>103380</v>
      </c>
      <c r="AA54" s="293">
        <f t="shared" si="9"/>
        <v>0.85796600000000001</v>
      </c>
      <c r="AB54" s="293">
        <f t="shared" si="10"/>
        <v>0.33427299999999999</v>
      </c>
      <c r="AC54" s="294">
        <f t="shared" si="11"/>
        <v>0.33427299999999999</v>
      </c>
      <c r="AD54" s="295">
        <f t="shared" si="22"/>
        <v>0</v>
      </c>
      <c r="AE54" s="296">
        <f t="shared" si="23"/>
        <v>0.33427299999999999</v>
      </c>
      <c r="AF54" s="357">
        <v>0</v>
      </c>
      <c r="AG54" s="357">
        <v>0</v>
      </c>
      <c r="AH54" s="254">
        <f t="shared" si="24"/>
        <v>0</v>
      </c>
      <c r="AI54" s="9">
        <f t="shared" si="12"/>
        <v>0</v>
      </c>
      <c r="AJ54" s="9">
        <v>0</v>
      </c>
      <c r="AK54" s="9">
        <f t="shared" si="25"/>
        <v>0</v>
      </c>
      <c r="AL54" s="9">
        <f t="shared" si="26"/>
        <v>0</v>
      </c>
      <c r="AM54" s="9">
        <f t="shared" si="27"/>
        <v>0</v>
      </c>
      <c r="AN54" s="9">
        <f t="shared" si="28"/>
        <v>0</v>
      </c>
      <c r="AO54" s="9">
        <f t="shared" si="13"/>
        <v>9131456</v>
      </c>
      <c r="AP54" s="9">
        <f t="shared" si="29"/>
        <v>9131456</v>
      </c>
      <c r="AQ54" s="9">
        <f t="shared" si="30"/>
        <v>9131456</v>
      </c>
      <c r="AR54" s="291">
        <v>13503310</v>
      </c>
      <c r="AS54" s="9">
        <f t="shared" si="31"/>
        <v>4371854</v>
      </c>
      <c r="AT54" s="297" t="str">
        <f t="shared" si="32"/>
        <v>No</v>
      </c>
      <c r="AU54" s="357">
        <v>12040218</v>
      </c>
      <c r="AV54" s="291">
        <f t="shared" si="14"/>
        <v>364175.43819999998</v>
      </c>
      <c r="AW54" s="291">
        <f t="shared" si="33"/>
        <v>12040218</v>
      </c>
      <c r="AX54" s="291">
        <f t="shared" si="15"/>
        <v>12040218</v>
      </c>
      <c r="AY54" s="358">
        <f t="shared" si="34"/>
        <v>0</v>
      </c>
      <c r="AZ54" s="301"/>
      <c r="BA54" s="301"/>
      <c r="BB54" s="302"/>
      <c r="BC54" s="291">
        <f t="shared" si="35"/>
        <v>11676042.561799999</v>
      </c>
      <c r="BD54" s="298">
        <f t="shared" si="46"/>
        <v>11311867.123599999</v>
      </c>
      <c r="BE54" s="298">
        <f t="shared" si="46"/>
        <v>10947691.685399998</v>
      </c>
      <c r="BF54" s="298">
        <f t="shared" si="46"/>
        <v>10583516.247199997</v>
      </c>
      <c r="BG54" s="298">
        <f t="shared" si="47"/>
        <v>10219340.808999997</v>
      </c>
      <c r="BH54" s="298">
        <f t="shared" si="47"/>
        <v>9855165.370799996</v>
      </c>
      <c r="BI54" s="298">
        <f t="shared" si="38"/>
        <v>9131456</v>
      </c>
      <c r="BK54" s="298">
        <f t="shared" si="39"/>
        <v>11676042.561799999</v>
      </c>
      <c r="BL54" s="298">
        <f t="shared" si="40"/>
        <v>11311867.123599999</v>
      </c>
      <c r="BM54" s="298">
        <f t="shared" si="41"/>
        <v>10947691.685399998</v>
      </c>
      <c r="BN54" s="298">
        <f t="shared" si="42"/>
        <v>10583516.247199997</v>
      </c>
      <c r="BO54" s="298">
        <f t="shared" si="43"/>
        <v>10219340.808999997</v>
      </c>
      <c r="BP54" s="298">
        <f t="shared" si="44"/>
        <v>9855165.370799996</v>
      </c>
      <c r="BQ54" s="298">
        <f t="shared" si="45"/>
        <v>9131456</v>
      </c>
    </row>
    <row r="55" spans="1:69" ht="15" x14ac:dyDescent="0.2">
      <c r="A55" s="10" t="s">
        <v>8</v>
      </c>
      <c r="B55" s="10"/>
      <c r="C55" s="276"/>
      <c r="D55" s="276"/>
      <c r="E55" s="276"/>
      <c r="F55" s="8">
        <v>5</v>
      </c>
      <c r="G55" s="360">
        <v>58</v>
      </c>
      <c r="H55" s="10">
        <v>29</v>
      </c>
      <c r="I55" s="7" t="s">
        <v>40</v>
      </c>
      <c r="J55" s="287"/>
      <c r="K55" s="356">
        <v>167.89</v>
      </c>
      <c r="L55" s="360"/>
      <c r="M55" s="289"/>
      <c r="N55" s="357">
        <v>50</v>
      </c>
      <c r="O55" s="290">
        <f t="shared" si="4"/>
        <v>0.29781404491035801</v>
      </c>
      <c r="P55" s="290">
        <f t="shared" si="19"/>
        <v>0</v>
      </c>
      <c r="Q55" s="291">
        <f t="shared" si="5"/>
        <v>0</v>
      </c>
      <c r="R55" s="291">
        <f t="shared" si="20"/>
        <v>0</v>
      </c>
      <c r="S55" s="357">
        <v>0</v>
      </c>
      <c r="T55" s="292">
        <f t="shared" si="6"/>
        <v>15</v>
      </c>
      <c r="U55" s="254">
        <f t="shared" si="21"/>
        <v>182.89</v>
      </c>
      <c r="V55" s="356">
        <v>264040418.66999999</v>
      </c>
      <c r="W55" s="357">
        <v>1518</v>
      </c>
      <c r="X55" s="264">
        <f t="shared" si="7"/>
        <v>173939.67</v>
      </c>
      <c r="Y55" s="293">
        <f t="shared" si="8"/>
        <v>0.90345699999999995</v>
      </c>
      <c r="Z55" s="357">
        <v>91786</v>
      </c>
      <c r="AA55" s="293">
        <f t="shared" si="9"/>
        <v>0.76174600000000003</v>
      </c>
      <c r="AB55" s="293">
        <f t="shared" si="10"/>
        <v>0.13905600000000001</v>
      </c>
      <c r="AC55" s="294">
        <f t="shared" si="11"/>
        <v>0.13905600000000001</v>
      </c>
      <c r="AD55" s="295">
        <f t="shared" si="22"/>
        <v>0</v>
      </c>
      <c r="AE55" s="296">
        <f t="shared" si="23"/>
        <v>0.13905600000000001</v>
      </c>
      <c r="AF55" s="357">
        <v>89</v>
      </c>
      <c r="AG55" s="357">
        <v>6</v>
      </c>
      <c r="AH55" s="254">
        <f t="shared" si="24"/>
        <v>600</v>
      </c>
      <c r="AI55" s="9">
        <f t="shared" si="12"/>
        <v>53400</v>
      </c>
      <c r="AJ55" s="9">
        <v>0</v>
      </c>
      <c r="AK55" s="9">
        <f t="shared" si="25"/>
        <v>0</v>
      </c>
      <c r="AL55" s="9">
        <f t="shared" si="26"/>
        <v>0</v>
      </c>
      <c r="AM55" s="9">
        <f t="shared" si="27"/>
        <v>0</v>
      </c>
      <c r="AN55" s="9">
        <f t="shared" si="28"/>
        <v>53400</v>
      </c>
      <c r="AO55" s="9">
        <f t="shared" si="13"/>
        <v>293103</v>
      </c>
      <c r="AP55" s="9">
        <f t="shared" si="29"/>
        <v>346503</v>
      </c>
      <c r="AQ55" s="9">
        <f t="shared" si="30"/>
        <v>346503</v>
      </c>
      <c r="AR55" s="291">
        <v>491388</v>
      </c>
      <c r="AS55" s="9">
        <f t="shared" si="31"/>
        <v>144885</v>
      </c>
      <c r="AT55" s="297" t="str">
        <f t="shared" si="32"/>
        <v>No</v>
      </c>
      <c r="AU55" s="357">
        <v>403912</v>
      </c>
      <c r="AV55" s="291">
        <f t="shared" si="14"/>
        <v>12068.9205</v>
      </c>
      <c r="AW55" s="291">
        <f t="shared" si="33"/>
        <v>403912</v>
      </c>
      <c r="AX55" s="291">
        <f t="shared" si="15"/>
        <v>403912</v>
      </c>
      <c r="AY55" s="358">
        <f t="shared" si="34"/>
        <v>0</v>
      </c>
      <c r="AZ55" s="301"/>
      <c r="BA55" s="301"/>
      <c r="BB55" s="302"/>
      <c r="BC55" s="291">
        <f t="shared" si="35"/>
        <v>391843.07949999999</v>
      </c>
      <c r="BD55" s="298">
        <f t="shared" si="46"/>
        <v>379774.15899999999</v>
      </c>
      <c r="BE55" s="298">
        <f t="shared" si="46"/>
        <v>367705.23849999998</v>
      </c>
      <c r="BF55" s="298">
        <f t="shared" si="46"/>
        <v>355636.31799999997</v>
      </c>
      <c r="BG55" s="298">
        <f t="shared" si="47"/>
        <v>343567.39749999996</v>
      </c>
      <c r="BH55" s="298">
        <f t="shared" si="47"/>
        <v>331498.47699999996</v>
      </c>
      <c r="BI55" s="298">
        <f t="shared" si="38"/>
        <v>346503</v>
      </c>
      <c r="BK55" s="298">
        <f t="shared" si="39"/>
        <v>391843.07949999999</v>
      </c>
      <c r="BL55" s="298">
        <f t="shared" si="40"/>
        <v>379774.15899999999</v>
      </c>
      <c r="BM55" s="298">
        <f t="shared" si="41"/>
        <v>367705.23849999998</v>
      </c>
      <c r="BN55" s="298">
        <f t="shared" si="42"/>
        <v>355636.31799999997</v>
      </c>
      <c r="BO55" s="298">
        <f t="shared" si="43"/>
        <v>343567.39749999996</v>
      </c>
      <c r="BP55" s="298">
        <f t="shared" si="44"/>
        <v>331498.47699999996</v>
      </c>
      <c r="BQ55" s="298">
        <f t="shared" si="45"/>
        <v>346503</v>
      </c>
    </row>
    <row r="56" spans="1:69" ht="15" x14ac:dyDescent="0.2">
      <c r="A56" s="10" t="s">
        <v>4</v>
      </c>
      <c r="B56" s="10"/>
      <c r="C56" s="276"/>
      <c r="D56" s="276"/>
      <c r="E56" s="276"/>
      <c r="F56" s="8">
        <v>6</v>
      </c>
      <c r="G56" s="355">
        <v>104</v>
      </c>
      <c r="H56" s="10">
        <v>30</v>
      </c>
      <c r="I56" s="7" t="s">
        <v>41</v>
      </c>
      <c r="J56" s="287"/>
      <c r="K56" s="356">
        <v>614.17999999999995</v>
      </c>
      <c r="L56" s="355"/>
      <c r="M56" s="289"/>
      <c r="N56" s="357">
        <v>144</v>
      </c>
      <c r="O56" s="290">
        <f t="shared" si="4"/>
        <v>0.23445895340128303</v>
      </c>
      <c r="P56" s="290">
        <f t="shared" si="19"/>
        <v>0</v>
      </c>
      <c r="Q56" s="291">
        <f t="shared" si="5"/>
        <v>0</v>
      </c>
      <c r="R56" s="291">
        <f t="shared" si="20"/>
        <v>0</v>
      </c>
      <c r="S56" s="357">
        <v>8</v>
      </c>
      <c r="T56" s="292">
        <f t="shared" si="6"/>
        <v>43.2</v>
      </c>
      <c r="U56" s="254">
        <f t="shared" si="21"/>
        <v>659.38</v>
      </c>
      <c r="V56" s="356">
        <v>742774994.33000004</v>
      </c>
      <c r="W56" s="357">
        <v>5421</v>
      </c>
      <c r="X56" s="264">
        <f t="shared" si="7"/>
        <v>137018.07999999999</v>
      </c>
      <c r="Y56" s="293">
        <f t="shared" si="8"/>
        <v>0.71168299999999995</v>
      </c>
      <c r="Z56" s="357">
        <v>106604</v>
      </c>
      <c r="AA56" s="293">
        <f t="shared" si="9"/>
        <v>0.88472300000000004</v>
      </c>
      <c r="AB56" s="293">
        <f t="shared" si="10"/>
        <v>0.236405</v>
      </c>
      <c r="AC56" s="294">
        <f t="shared" si="11"/>
        <v>0.236405</v>
      </c>
      <c r="AD56" s="295">
        <f t="shared" si="22"/>
        <v>0</v>
      </c>
      <c r="AE56" s="296">
        <f t="shared" si="23"/>
        <v>0.236405</v>
      </c>
      <c r="AF56" s="357">
        <v>0</v>
      </c>
      <c r="AG56" s="357">
        <v>0</v>
      </c>
      <c r="AH56" s="254">
        <f t="shared" si="24"/>
        <v>0</v>
      </c>
      <c r="AI56" s="9">
        <f t="shared" si="12"/>
        <v>0</v>
      </c>
      <c r="AJ56" s="9">
        <v>1</v>
      </c>
      <c r="AK56" s="9">
        <f t="shared" si="25"/>
        <v>4</v>
      </c>
      <c r="AL56" s="9">
        <f t="shared" si="26"/>
        <v>400</v>
      </c>
      <c r="AM56" s="9">
        <f t="shared" si="27"/>
        <v>400</v>
      </c>
      <c r="AN56" s="9">
        <f t="shared" si="28"/>
        <v>400</v>
      </c>
      <c r="AO56" s="9">
        <f t="shared" si="13"/>
        <v>1796525</v>
      </c>
      <c r="AP56" s="9">
        <f t="shared" si="29"/>
        <v>1796925</v>
      </c>
      <c r="AQ56" s="9">
        <f t="shared" si="30"/>
        <v>1796925</v>
      </c>
      <c r="AR56" s="291">
        <v>2523462</v>
      </c>
      <c r="AS56" s="9">
        <f t="shared" si="31"/>
        <v>726537</v>
      </c>
      <c r="AT56" s="297" t="str">
        <f t="shared" si="32"/>
        <v>No</v>
      </c>
      <c r="AU56" s="357">
        <v>2316189</v>
      </c>
      <c r="AV56" s="291">
        <f t="shared" si="14"/>
        <v>60520.532099999997</v>
      </c>
      <c r="AW56" s="291">
        <f t="shared" si="33"/>
        <v>2316189</v>
      </c>
      <c r="AX56" s="291">
        <f t="shared" si="15"/>
        <v>2316189</v>
      </c>
      <c r="AY56" s="358">
        <f t="shared" si="34"/>
        <v>0</v>
      </c>
      <c r="AZ56" s="301"/>
      <c r="BA56" s="301"/>
      <c r="BB56" s="302"/>
      <c r="BC56" s="291">
        <f t="shared" si="35"/>
        <v>2255668.4679</v>
      </c>
      <c r="BD56" s="298">
        <f t="shared" si="46"/>
        <v>2195147.9358000001</v>
      </c>
      <c r="BE56" s="298">
        <f t="shared" si="46"/>
        <v>2134627.4037000001</v>
      </c>
      <c r="BF56" s="298">
        <f t="shared" si="46"/>
        <v>2074106.8716000002</v>
      </c>
      <c r="BG56" s="298">
        <f t="shared" si="47"/>
        <v>2013586.3395000002</v>
      </c>
      <c r="BH56" s="298">
        <f t="shared" si="47"/>
        <v>1953065.8074000003</v>
      </c>
      <c r="BI56" s="298">
        <f t="shared" si="38"/>
        <v>1796925</v>
      </c>
      <c r="BK56" s="298">
        <f t="shared" si="39"/>
        <v>2255668.4679</v>
      </c>
      <c r="BL56" s="298">
        <f t="shared" si="40"/>
        <v>2195147.9358000001</v>
      </c>
      <c r="BM56" s="298">
        <f t="shared" si="41"/>
        <v>2134627.4037000001</v>
      </c>
      <c r="BN56" s="298">
        <f t="shared" si="42"/>
        <v>2074106.8716000002</v>
      </c>
      <c r="BO56" s="298">
        <f t="shared" si="43"/>
        <v>2013586.3395000002</v>
      </c>
      <c r="BP56" s="298">
        <f t="shared" si="44"/>
        <v>1953065.8074000003</v>
      </c>
      <c r="BQ56" s="298">
        <f t="shared" si="45"/>
        <v>1796925</v>
      </c>
    </row>
    <row r="57" spans="1:69" ht="15" x14ac:dyDescent="0.2">
      <c r="A57" s="10" t="s">
        <v>4</v>
      </c>
      <c r="B57" s="10"/>
      <c r="C57" s="276"/>
      <c r="D57" s="276"/>
      <c r="E57" s="276"/>
      <c r="F57" s="8">
        <v>1</v>
      </c>
      <c r="G57" s="355">
        <v>154</v>
      </c>
      <c r="H57" s="10">
        <v>31</v>
      </c>
      <c r="I57" s="7" t="s">
        <v>42</v>
      </c>
      <c r="J57" s="287"/>
      <c r="K57" s="356">
        <v>120.9</v>
      </c>
      <c r="L57" s="355"/>
      <c r="M57" s="289"/>
      <c r="N57" s="357">
        <v>25</v>
      </c>
      <c r="O57" s="290">
        <f t="shared" si="4"/>
        <v>0.20678246484698096</v>
      </c>
      <c r="P57" s="290">
        <f t="shared" si="19"/>
        <v>0</v>
      </c>
      <c r="Q57" s="291">
        <f t="shared" si="5"/>
        <v>0</v>
      </c>
      <c r="R57" s="291">
        <f t="shared" si="20"/>
        <v>0</v>
      </c>
      <c r="S57" s="357">
        <v>3</v>
      </c>
      <c r="T57" s="292">
        <f t="shared" si="6"/>
        <v>7.5</v>
      </c>
      <c r="U57" s="254">
        <f t="shared" si="21"/>
        <v>129.15</v>
      </c>
      <c r="V57" s="356">
        <v>563980513</v>
      </c>
      <c r="W57" s="357">
        <v>1302</v>
      </c>
      <c r="X57" s="264">
        <f t="shared" si="7"/>
        <v>433164.76</v>
      </c>
      <c r="Y57" s="293">
        <f t="shared" si="8"/>
        <v>2.2498930000000001</v>
      </c>
      <c r="Z57" s="357">
        <v>82083</v>
      </c>
      <c r="AA57" s="293">
        <f t="shared" si="9"/>
        <v>0.68121900000000002</v>
      </c>
      <c r="AB57" s="293">
        <f t="shared" si="10"/>
        <v>-0.77929099999999996</v>
      </c>
      <c r="AC57" s="294">
        <f t="shared" si="11"/>
        <v>0.01</v>
      </c>
      <c r="AD57" s="295">
        <f t="shared" si="22"/>
        <v>0</v>
      </c>
      <c r="AE57" s="296">
        <f t="shared" si="23"/>
        <v>0.01</v>
      </c>
      <c r="AF57" s="357">
        <v>29</v>
      </c>
      <c r="AG57" s="357">
        <v>4</v>
      </c>
      <c r="AH57" s="254">
        <f t="shared" si="24"/>
        <v>400</v>
      </c>
      <c r="AI57" s="9">
        <f t="shared" si="12"/>
        <v>11600</v>
      </c>
      <c r="AJ57" s="9">
        <v>0</v>
      </c>
      <c r="AK57" s="9">
        <f t="shared" si="25"/>
        <v>0</v>
      </c>
      <c r="AL57" s="9">
        <f t="shared" si="26"/>
        <v>0</v>
      </c>
      <c r="AM57" s="9">
        <f t="shared" si="27"/>
        <v>0</v>
      </c>
      <c r="AN57" s="9">
        <f t="shared" si="28"/>
        <v>11600</v>
      </c>
      <c r="AO57" s="9">
        <f t="shared" si="13"/>
        <v>14885</v>
      </c>
      <c r="AP57" s="9">
        <f t="shared" si="29"/>
        <v>26485</v>
      </c>
      <c r="AQ57" s="9">
        <f t="shared" si="30"/>
        <v>26485</v>
      </c>
      <c r="AR57" s="291">
        <v>6976</v>
      </c>
      <c r="AS57" s="9">
        <f t="shared" si="31"/>
        <v>19509</v>
      </c>
      <c r="AT57" s="297" t="str">
        <f t="shared" si="32"/>
        <v>Yes</v>
      </c>
      <c r="AU57" s="357">
        <v>11228.6594</v>
      </c>
      <c r="AV57" s="291">
        <f t="shared" si="14"/>
        <v>2079.6594</v>
      </c>
      <c r="AW57" s="291">
        <f t="shared" si="33"/>
        <v>13308.318800000001</v>
      </c>
      <c r="AX57" s="291">
        <f t="shared" si="15"/>
        <v>13308.318800000001</v>
      </c>
      <c r="AY57" s="358">
        <f t="shared" si="34"/>
        <v>2079.6594000000005</v>
      </c>
      <c r="AZ57" s="301"/>
      <c r="BA57" s="301"/>
      <c r="BB57" s="302"/>
      <c r="BC57" s="291">
        <f t="shared" si="35"/>
        <v>15387.978200000001</v>
      </c>
      <c r="BD57" s="298">
        <f t="shared" si="46"/>
        <v>17467.637600000002</v>
      </c>
      <c r="BE57" s="298">
        <f t="shared" si="46"/>
        <v>19547.297000000002</v>
      </c>
      <c r="BF57" s="298">
        <f t="shared" si="46"/>
        <v>21626.956400000003</v>
      </c>
      <c r="BG57" s="298">
        <f t="shared" si="47"/>
        <v>26485</v>
      </c>
      <c r="BH57" s="298">
        <f t="shared" si="47"/>
        <v>26485</v>
      </c>
      <c r="BI57" s="298">
        <f t="shared" si="38"/>
        <v>26485</v>
      </c>
      <c r="BK57" s="298">
        <f t="shared" si="39"/>
        <v>15387.978200000001</v>
      </c>
      <c r="BL57" s="298">
        <f t="shared" si="40"/>
        <v>17467.637600000002</v>
      </c>
      <c r="BM57" s="298">
        <f t="shared" si="41"/>
        <v>19547.297000000002</v>
      </c>
      <c r="BN57" s="298">
        <f t="shared" si="42"/>
        <v>21626.956400000003</v>
      </c>
      <c r="BO57" s="298">
        <f t="shared" si="43"/>
        <v>26485</v>
      </c>
      <c r="BP57" s="298">
        <f t="shared" si="44"/>
        <v>26485</v>
      </c>
      <c r="BQ57" s="298">
        <f t="shared" si="45"/>
        <v>26485</v>
      </c>
    </row>
    <row r="58" spans="1:69" ht="15" x14ac:dyDescent="0.2">
      <c r="A58" s="10" t="s">
        <v>8</v>
      </c>
      <c r="B58" s="10"/>
      <c r="C58" s="276"/>
      <c r="D58" s="276"/>
      <c r="E58" s="276"/>
      <c r="F58" s="8">
        <v>7</v>
      </c>
      <c r="G58" s="355">
        <v>87</v>
      </c>
      <c r="H58" s="10">
        <v>32</v>
      </c>
      <c r="I58" s="7" t="s">
        <v>43</v>
      </c>
      <c r="J58" s="287"/>
      <c r="K58" s="356">
        <v>1609.73</v>
      </c>
      <c r="L58" s="355"/>
      <c r="M58" s="289"/>
      <c r="N58" s="357">
        <v>408</v>
      </c>
      <c r="O58" s="290">
        <f t="shared" si="4"/>
        <v>0.25345865455697542</v>
      </c>
      <c r="P58" s="290">
        <f t="shared" si="19"/>
        <v>0</v>
      </c>
      <c r="Q58" s="291">
        <f t="shared" si="5"/>
        <v>0</v>
      </c>
      <c r="R58" s="291">
        <f t="shared" si="20"/>
        <v>0</v>
      </c>
      <c r="S58" s="357">
        <v>16</v>
      </c>
      <c r="T58" s="292">
        <f t="shared" si="6"/>
        <v>122.4</v>
      </c>
      <c r="U58" s="254">
        <f t="shared" si="21"/>
        <v>1736.13</v>
      </c>
      <c r="V58" s="356">
        <v>1492783189.6700001</v>
      </c>
      <c r="W58" s="357">
        <v>12422</v>
      </c>
      <c r="X58" s="264">
        <f t="shared" si="7"/>
        <v>120172.53</v>
      </c>
      <c r="Y58" s="293">
        <f t="shared" si="8"/>
        <v>0.62418600000000002</v>
      </c>
      <c r="Z58" s="357">
        <v>91461</v>
      </c>
      <c r="AA58" s="293">
        <f t="shared" si="9"/>
        <v>0.75904899999999997</v>
      </c>
      <c r="AB58" s="293">
        <f t="shared" si="10"/>
        <v>0.33535500000000001</v>
      </c>
      <c r="AC58" s="294">
        <f t="shared" si="11"/>
        <v>0.33535500000000001</v>
      </c>
      <c r="AD58" s="295">
        <f t="shared" si="22"/>
        <v>0</v>
      </c>
      <c r="AE58" s="296">
        <f t="shared" si="23"/>
        <v>0.33535500000000001</v>
      </c>
      <c r="AF58" s="357">
        <v>0</v>
      </c>
      <c r="AG58" s="357">
        <v>0</v>
      </c>
      <c r="AH58" s="254">
        <f t="shared" si="24"/>
        <v>0</v>
      </c>
      <c r="AI58" s="9">
        <f t="shared" si="12"/>
        <v>0</v>
      </c>
      <c r="AJ58" s="9">
        <v>0</v>
      </c>
      <c r="AK58" s="9">
        <f t="shared" si="25"/>
        <v>0</v>
      </c>
      <c r="AL58" s="9">
        <f t="shared" si="26"/>
        <v>0</v>
      </c>
      <c r="AM58" s="9">
        <f t="shared" si="27"/>
        <v>0</v>
      </c>
      <c r="AN58" s="9">
        <f t="shared" si="28"/>
        <v>0</v>
      </c>
      <c r="AO58" s="9">
        <f t="shared" si="13"/>
        <v>6710084</v>
      </c>
      <c r="AP58" s="9">
        <f t="shared" si="29"/>
        <v>6710084</v>
      </c>
      <c r="AQ58" s="9">
        <f t="shared" si="30"/>
        <v>6710084</v>
      </c>
      <c r="AR58" s="291">
        <v>8756165</v>
      </c>
      <c r="AS58" s="9">
        <f t="shared" si="31"/>
        <v>2046081</v>
      </c>
      <c r="AT58" s="297" t="str">
        <f t="shared" si="32"/>
        <v>No</v>
      </c>
      <c r="AU58" s="357">
        <v>7952911</v>
      </c>
      <c r="AV58" s="291">
        <f t="shared" si="14"/>
        <v>170438.54730000001</v>
      </c>
      <c r="AW58" s="291">
        <f t="shared" si="33"/>
        <v>7952911</v>
      </c>
      <c r="AX58" s="291">
        <f t="shared" si="15"/>
        <v>7952911</v>
      </c>
      <c r="AY58" s="358">
        <f t="shared" si="34"/>
        <v>0</v>
      </c>
      <c r="AZ58" s="301"/>
      <c r="BA58" s="301"/>
      <c r="BB58" s="302"/>
      <c r="BC58" s="291">
        <f t="shared" si="35"/>
        <v>7782472.4527000003</v>
      </c>
      <c r="BD58" s="298">
        <f t="shared" si="46"/>
        <v>7612033.9054000005</v>
      </c>
      <c r="BE58" s="298">
        <f t="shared" si="46"/>
        <v>7441595.3581000008</v>
      </c>
      <c r="BF58" s="298">
        <f t="shared" si="46"/>
        <v>7271156.810800001</v>
      </c>
      <c r="BG58" s="298">
        <f t="shared" si="47"/>
        <v>7100718.2635000013</v>
      </c>
      <c r="BH58" s="298">
        <f t="shared" si="47"/>
        <v>6930279.7162000015</v>
      </c>
      <c r="BI58" s="298">
        <f t="shared" si="38"/>
        <v>6710084</v>
      </c>
      <c r="BK58" s="298">
        <f t="shared" si="39"/>
        <v>7782472.4527000003</v>
      </c>
      <c r="BL58" s="298">
        <f t="shared" si="40"/>
        <v>7612033.9054000005</v>
      </c>
      <c r="BM58" s="298">
        <f t="shared" si="41"/>
        <v>7441595.3581000008</v>
      </c>
      <c r="BN58" s="298">
        <f t="shared" si="42"/>
        <v>7271156.810800001</v>
      </c>
      <c r="BO58" s="298">
        <f t="shared" si="43"/>
        <v>7100718.2635000013</v>
      </c>
      <c r="BP58" s="298">
        <f t="shared" si="44"/>
        <v>6930279.7162000015</v>
      </c>
      <c r="BQ58" s="298">
        <f t="shared" si="45"/>
        <v>6710084</v>
      </c>
    </row>
    <row r="59" spans="1:69" ht="15" x14ac:dyDescent="0.2">
      <c r="A59" s="10" t="s">
        <v>14</v>
      </c>
      <c r="B59" s="10"/>
      <c r="C59" s="276"/>
      <c r="D59" s="276"/>
      <c r="E59" s="276"/>
      <c r="F59" s="8">
        <v>6</v>
      </c>
      <c r="G59" s="355">
        <v>95</v>
      </c>
      <c r="H59" s="10">
        <v>33</v>
      </c>
      <c r="I59" s="7" t="s">
        <v>44</v>
      </c>
      <c r="J59" s="287"/>
      <c r="K59" s="356">
        <v>2038.75</v>
      </c>
      <c r="L59" s="355"/>
      <c r="M59" s="289"/>
      <c r="N59" s="357">
        <v>507</v>
      </c>
      <c r="O59" s="290">
        <f t="shared" si="4"/>
        <v>0.24868179031269161</v>
      </c>
      <c r="P59" s="290">
        <f t="shared" si="19"/>
        <v>0</v>
      </c>
      <c r="Q59" s="291">
        <f t="shared" si="5"/>
        <v>0</v>
      </c>
      <c r="R59" s="291">
        <f t="shared" si="20"/>
        <v>0</v>
      </c>
      <c r="S59" s="357">
        <v>97</v>
      </c>
      <c r="T59" s="292">
        <f t="shared" si="6"/>
        <v>152.1</v>
      </c>
      <c r="U59" s="254">
        <f t="shared" si="21"/>
        <v>2215.1</v>
      </c>
      <c r="V59" s="356">
        <v>2084716103.3299999</v>
      </c>
      <c r="W59" s="357">
        <v>13973</v>
      </c>
      <c r="X59" s="264">
        <f t="shared" si="7"/>
        <v>149196.03</v>
      </c>
      <c r="Y59" s="293">
        <f t="shared" si="8"/>
        <v>0.77493599999999996</v>
      </c>
      <c r="Z59" s="357">
        <v>91841</v>
      </c>
      <c r="AA59" s="293">
        <f t="shared" si="9"/>
        <v>0.76220200000000005</v>
      </c>
      <c r="AB59" s="293">
        <f t="shared" si="10"/>
        <v>0.228884</v>
      </c>
      <c r="AC59" s="294">
        <f t="shared" si="11"/>
        <v>0.228884</v>
      </c>
      <c r="AD59" s="295">
        <f t="shared" si="22"/>
        <v>0</v>
      </c>
      <c r="AE59" s="296">
        <f t="shared" si="23"/>
        <v>0.228884</v>
      </c>
      <c r="AF59" s="357">
        <v>0</v>
      </c>
      <c r="AG59" s="357">
        <v>0</v>
      </c>
      <c r="AH59" s="254">
        <f t="shared" si="24"/>
        <v>0</v>
      </c>
      <c r="AI59" s="9">
        <f t="shared" si="12"/>
        <v>0</v>
      </c>
      <c r="AJ59" s="9">
        <v>0</v>
      </c>
      <c r="AK59" s="9">
        <f t="shared" si="25"/>
        <v>0</v>
      </c>
      <c r="AL59" s="9">
        <f t="shared" si="26"/>
        <v>0</v>
      </c>
      <c r="AM59" s="9">
        <f t="shared" si="27"/>
        <v>0</v>
      </c>
      <c r="AN59" s="9">
        <f t="shared" si="28"/>
        <v>0</v>
      </c>
      <c r="AO59" s="9">
        <f t="shared" si="13"/>
        <v>5843186</v>
      </c>
      <c r="AP59" s="9">
        <f t="shared" si="29"/>
        <v>5843186</v>
      </c>
      <c r="AQ59" s="9">
        <f t="shared" si="30"/>
        <v>5843186</v>
      </c>
      <c r="AR59" s="291">
        <v>4646922</v>
      </c>
      <c r="AS59" s="9">
        <f t="shared" si="31"/>
        <v>1196264</v>
      </c>
      <c r="AT59" s="297" t="str">
        <f t="shared" si="32"/>
        <v>Yes</v>
      </c>
      <c r="AU59" s="357">
        <v>5104924.7423999999</v>
      </c>
      <c r="AV59" s="291">
        <f t="shared" si="14"/>
        <v>127521.7424</v>
      </c>
      <c r="AW59" s="291">
        <f t="shared" si="33"/>
        <v>5232446.4847999997</v>
      </c>
      <c r="AX59" s="291">
        <f t="shared" si="15"/>
        <v>5232446.4847999997</v>
      </c>
      <c r="AY59" s="358">
        <f t="shared" si="34"/>
        <v>127521.74239999987</v>
      </c>
      <c r="AZ59" s="301"/>
      <c r="BA59" s="301"/>
      <c r="BB59" s="302"/>
      <c r="BC59" s="291">
        <f t="shared" si="35"/>
        <v>5359968.2271999996</v>
      </c>
      <c r="BD59" s="298">
        <f t="shared" si="46"/>
        <v>5487489.9695999995</v>
      </c>
      <c r="BE59" s="298">
        <f t="shared" si="46"/>
        <v>5615011.7119999994</v>
      </c>
      <c r="BF59" s="298">
        <f t="shared" si="46"/>
        <v>5742533.4543999992</v>
      </c>
      <c r="BG59" s="298">
        <f t="shared" si="47"/>
        <v>5843186</v>
      </c>
      <c r="BH59" s="298">
        <f t="shared" si="47"/>
        <v>5843186</v>
      </c>
      <c r="BI59" s="298">
        <f t="shared" si="38"/>
        <v>5843186</v>
      </c>
      <c r="BK59" s="298">
        <f t="shared" si="39"/>
        <v>5359968.2271999996</v>
      </c>
      <c r="BL59" s="298">
        <f t="shared" si="40"/>
        <v>5487489.9695999995</v>
      </c>
      <c r="BM59" s="298">
        <f t="shared" si="41"/>
        <v>5615011.7119999994</v>
      </c>
      <c r="BN59" s="298">
        <f t="shared" si="42"/>
        <v>5742533.4543999992</v>
      </c>
      <c r="BO59" s="298">
        <f t="shared" si="43"/>
        <v>5843186</v>
      </c>
      <c r="BP59" s="298">
        <f t="shared" si="44"/>
        <v>5843186</v>
      </c>
      <c r="BQ59" s="298">
        <f t="shared" si="45"/>
        <v>5843186</v>
      </c>
    </row>
    <row r="60" spans="1:69" ht="15" x14ac:dyDescent="0.2">
      <c r="A60" s="10" t="s">
        <v>6</v>
      </c>
      <c r="B60" s="10">
        <v>1</v>
      </c>
      <c r="C60" s="276">
        <v>1</v>
      </c>
      <c r="D60" s="276">
        <v>1</v>
      </c>
      <c r="E60" s="276"/>
      <c r="F60" s="8">
        <v>8</v>
      </c>
      <c r="G60" s="355">
        <v>59</v>
      </c>
      <c r="H60" s="10">
        <v>34</v>
      </c>
      <c r="I60" s="7" t="s">
        <v>45</v>
      </c>
      <c r="J60" s="287"/>
      <c r="K60" s="356">
        <v>11704.88</v>
      </c>
      <c r="L60" s="355"/>
      <c r="M60" s="289"/>
      <c r="N60" s="357">
        <v>6411</v>
      </c>
      <c r="O60" s="290">
        <f t="shared" si="4"/>
        <v>0.54772026710226851</v>
      </c>
      <c r="P60" s="290">
        <f t="shared" si="19"/>
        <v>0</v>
      </c>
      <c r="Q60" s="291">
        <f t="shared" si="5"/>
        <v>0</v>
      </c>
      <c r="R60" s="291">
        <f t="shared" si="20"/>
        <v>0</v>
      </c>
      <c r="S60" s="357">
        <v>3298</v>
      </c>
      <c r="T60" s="292">
        <f t="shared" si="6"/>
        <v>1923.3</v>
      </c>
      <c r="U60" s="254">
        <f t="shared" si="21"/>
        <v>14452.679999999998</v>
      </c>
      <c r="V60" s="356">
        <v>11350977717.67</v>
      </c>
      <c r="W60" s="357">
        <v>84479</v>
      </c>
      <c r="X60" s="264">
        <f t="shared" si="7"/>
        <v>134364.49</v>
      </c>
      <c r="Y60" s="293">
        <f t="shared" si="8"/>
        <v>0.69789999999999996</v>
      </c>
      <c r="Z60" s="357">
        <v>71672</v>
      </c>
      <c r="AA60" s="293">
        <f t="shared" si="9"/>
        <v>0.59481700000000004</v>
      </c>
      <c r="AB60" s="293">
        <f t="shared" si="10"/>
        <v>0.33302500000000002</v>
      </c>
      <c r="AC60" s="294">
        <f t="shared" si="11"/>
        <v>0.33302500000000002</v>
      </c>
      <c r="AD60" s="295">
        <f t="shared" si="22"/>
        <v>0</v>
      </c>
      <c r="AE60" s="296">
        <f t="shared" si="23"/>
        <v>0.33302500000000002</v>
      </c>
      <c r="AF60" s="357">
        <v>0</v>
      </c>
      <c r="AG60" s="357">
        <v>0</v>
      </c>
      <c r="AH60" s="254">
        <f t="shared" si="24"/>
        <v>0</v>
      </c>
      <c r="AI60" s="9">
        <f t="shared" si="12"/>
        <v>0</v>
      </c>
      <c r="AJ60" s="9">
        <v>0</v>
      </c>
      <c r="AK60" s="9">
        <f t="shared" si="25"/>
        <v>0</v>
      </c>
      <c r="AL60" s="9">
        <f t="shared" si="26"/>
        <v>0</v>
      </c>
      <c r="AM60" s="9">
        <f t="shared" si="27"/>
        <v>0</v>
      </c>
      <c r="AN60" s="9">
        <f t="shared" si="28"/>
        <v>0</v>
      </c>
      <c r="AO60" s="9">
        <f t="shared" si="13"/>
        <v>55471021</v>
      </c>
      <c r="AP60" s="9">
        <f t="shared" si="29"/>
        <v>55471021</v>
      </c>
      <c r="AQ60" s="9">
        <f t="shared" si="30"/>
        <v>55471021</v>
      </c>
      <c r="AR60" s="291">
        <v>31290480</v>
      </c>
      <c r="AS60" s="9">
        <f t="shared" si="31"/>
        <v>24180541</v>
      </c>
      <c r="AT60" s="297" t="str">
        <f t="shared" si="32"/>
        <v>Yes</v>
      </c>
      <c r="AU60" s="357">
        <v>40276118.670599997</v>
      </c>
      <c r="AV60" s="291">
        <f t="shared" si="14"/>
        <v>2577645.6705999998</v>
      </c>
      <c r="AW60" s="291">
        <f t="shared" si="33"/>
        <v>42853764.341199994</v>
      </c>
      <c r="AX60" s="291">
        <f t="shared" si="15"/>
        <v>42853764.341199994</v>
      </c>
      <c r="AY60" s="358">
        <f t="shared" si="34"/>
        <v>2577645.670599997</v>
      </c>
      <c r="AZ60" s="301"/>
      <c r="BA60" s="301"/>
      <c r="BB60" s="302"/>
      <c r="BC60" s="291">
        <f t="shared" si="35"/>
        <v>45431410.011799991</v>
      </c>
      <c r="BD60" s="298">
        <f t="shared" ref="BD60:BF75" si="48">IF($AT60="Yes",BC60+$AV60,BC60-$AV60)</f>
        <v>48009055.682399988</v>
      </c>
      <c r="BE60" s="298">
        <f t="shared" si="48"/>
        <v>50586701.352999985</v>
      </c>
      <c r="BF60" s="298">
        <f t="shared" si="48"/>
        <v>53164347.023599982</v>
      </c>
      <c r="BG60" s="298">
        <f t="shared" ref="BG60:BH75" si="49">IF($AT60="Yes",$AP60,BF60-$AV60)</f>
        <v>55471021</v>
      </c>
      <c r="BH60" s="298">
        <f t="shared" si="49"/>
        <v>55471021</v>
      </c>
      <c r="BI60" s="298">
        <f t="shared" si="38"/>
        <v>55471021</v>
      </c>
      <c r="BK60" s="298">
        <f t="shared" si="39"/>
        <v>45431410.011799991</v>
      </c>
      <c r="BL60" s="298">
        <f t="shared" si="40"/>
        <v>48009055.682399988</v>
      </c>
      <c r="BM60" s="298">
        <f t="shared" si="41"/>
        <v>50586701.352999985</v>
      </c>
      <c r="BN60" s="298">
        <f t="shared" si="42"/>
        <v>53164347.023599982</v>
      </c>
      <c r="BO60" s="298">
        <f t="shared" si="43"/>
        <v>55471021</v>
      </c>
      <c r="BP60" s="298">
        <f t="shared" si="44"/>
        <v>55471021</v>
      </c>
      <c r="BQ60" s="298">
        <f t="shared" si="45"/>
        <v>55471021</v>
      </c>
    </row>
    <row r="61" spans="1:69" ht="15" x14ac:dyDescent="0.2">
      <c r="A61" s="10" t="s">
        <v>46</v>
      </c>
      <c r="B61" s="10"/>
      <c r="C61" s="276"/>
      <c r="D61" s="276"/>
      <c r="E61" s="276"/>
      <c r="F61" s="8">
        <v>1</v>
      </c>
      <c r="G61" s="355">
        <v>167</v>
      </c>
      <c r="H61" s="10">
        <v>35</v>
      </c>
      <c r="I61" s="7" t="s">
        <v>47</v>
      </c>
      <c r="J61" s="287"/>
      <c r="K61" s="356">
        <v>4646.72</v>
      </c>
      <c r="L61" s="355"/>
      <c r="M61" s="289"/>
      <c r="N61" s="357">
        <v>61</v>
      </c>
      <c r="O61" s="290">
        <f t="shared" si="4"/>
        <v>1.3127539425659389E-2</v>
      </c>
      <c r="P61" s="290">
        <f t="shared" si="19"/>
        <v>0</v>
      </c>
      <c r="Q61" s="291">
        <f t="shared" si="5"/>
        <v>0</v>
      </c>
      <c r="R61" s="291">
        <f t="shared" si="20"/>
        <v>0</v>
      </c>
      <c r="S61" s="357">
        <v>55</v>
      </c>
      <c r="T61" s="292">
        <f t="shared" si="6"/>
        <v>18.3</v>
      </c>
      <c r="U61" s="254">
        <f t="shared" si="21"/>
        <v>4678.7700000000004</v>
      </c>
      <c r="V61" s="356">
        <v>12872179293</v>
      </c>
      <c r="W61" s="357">
        <v>21759</v>
      </c>
      <c r="X61" s="264">
        <f t="shared" si="7"/>
        <v>591579.54</v>
      </c>
      <c r="Y61" s="293">
        <f t="shared" si="8"/>
        <v>3.0727129999999998</v>
      </c>
      <c r="Z61" s="357">
        <v>210511</v>
      </c>
      <c r="AA61" s="293">
        <f t="shared" si="9"/>
        <v>1.747063</v>
      </c>
      <c r="AB61" s="293">
        <f t="shared" si="10"/>
        <v>-1.6750179999999999</v>
      </c>
      <c r="AC61" s="294">
        <f t="shared" si="11"/>
        <v>0.01</v>
      </c>
      <c r="AD61" s="295">
        <f t="shared" si="22"/>
        <v>0</v>
      </c>
      <c r="AE61" s="296">
        <f t="shared" si="23"/>
        <v>0.01</v>
      </c>
      <c r="AF61" s="357">
        <v>0</v>
      </c>
      <c r="AG61" s="357">
        <v>0</v>
      </c>
      <c r="AH61" s="254">
        <f t="shared" si="24"/>
        <v>0</v>
      </c>
      <c r="AI61" s="9">
        <f t="shared" si="12"/>
        <v>0</v>
      </c>
      <c r="AJ61" s="9">
        <v>0</v>
      </c>
      <c r="AK61" s="9">
        <f t="shared" si="25"/>
        <v>0</v>
      </c>
      <c r="AL61" s="9">
        <f t="shared" si="26"/>
        <v>0</v>
      </c>
      <c r="AM61" s="9">
        <f t="shared" si="27"/>
        <v>0</v>
      </c>
      <c r="AN61" s="9">
        <f t="shared" si="28"/>
        <v>0</v>
      </c>
      <c r="AO61" s="9">
        <f t="shared" si="13"/>
        <v>539228</v>
      </c>
      <c r="AP61" s="9">
        <f t="shared" si="29"/>
        <v>539228</v>
      </c>
      <c r="AQ61" s="9">
        <f t="shared" si="30"/>
        <v>539228</v>
      </c>
      <c r="AR61" s="291">
        <v>406683</v>
      </c>
      <c r="AS61" s="9">
        <f t="shared" si="31"/>
        <v>132545</v>
      </c>
      <c r="AT61" s="297" t="str">
        <f t="shared" si="32"/>
        <v>Yes</v>
      </c>
      <c r="AU61" s="357">
        <v>457357.29700000002</v>
      </c>
      <c r="AV61" s="291">
        <f t="shared" si="14"/>
        <v>14129.297</v>
      </c>
      <c r="AW61" s="291">
        <f t="shared" si="33"/>
        <v>471486.59400000004</v>
      </c>
      <c r="AX61" s="291">
        <f t="shared" si="15"/>
        <v>471486.59400000004</v>
      </c>
      <c r="AY61" s="358">
        <f t="shared" si="34"/>
        <v>14129.29700000002</v>
      </c>
      <c r="AZ61" s="301"/>
      <c r="BA61" s="301"/>
      <c r="BB61" s="302"/>
      <c r="BC61" s="291">
        <f t="shared" si="35"/>
        <v>485615.89100000006</v>
      </c>
      <c r="BD61" s="298">
        <f t="shared" si="48"/>
        <v>499745.18800000008</v>
      </c>
      <c r="BE61" s="298">
        <f t="shared" si="48"/>
        <v>513874.4850000001</v>
      </c>
      <c r="BF61" s="298">
        <f t="shared" si="48"/>
        <v>528003.78200000012</v>
      </c>
      <c r="BG61" s="298">
        <f t="shared" si="49"/>
        <v>539228</v>
      </c>
      <c r="BH61" s="298">
        <f t="shared" si="49"/>
        <v>539228</v>
      </c>
      <c r="BI61" s="298">
        <f t="shared" si="38"/>
        <v>539228</v>
      </c>
      <c r="BK61" s="298">
        <f t="shared" si="39"/>
        <v>485615.89100000006</v>
      </c>
      <c r="BL61" s="298">
        <f t="shared" si="40"/>
        <v>499745.18800000008</v>
      </c>
      <c r="BM61" s="298">
        <f t="shared" si="41"/>
        <v>513874.4850000001</v>
      </c>
      <c r="BN61" s="298">
        <f t="shared" si="42"/>
        <v>528003.78200000012</v>
      </c>
      <c r="BO61" s="298">
        <f t="shared" si="43"/>
        <v>539228</v>
      </c>
      <c r="BP61" s="298">
        <f t="shared" si="44"/>
        <v>539228</v>
      </c>
      <c r="BQ61" s="298">
        <f t="shared" si="45"/>
        <v>539228</v>
      </c>
    </row>
    <row r="62" spans="1:69" ht="15" x14ac:dyDescent="0.2">
      <c r="A62" s="10" t="s">
        <v>8</v>
      </c>
      <c r="B62" s="10"/>
      <c r="C62" s="276"/>
      <c r="D62" s="276"/>
      <c r="E62" s="276"/>
      <c r="F62" s="8">
        <v>6</v>
      </c>
      <c r="G62" s="355">
        <v>114</v>
      </c>
      <c r="H62" s="10">
        <v>36</v>
      </c>
      <c r="I62" s="7" t="s">
        <v>48</v>
      </c>
      <c r="J62" s="287"/>
      <c r="K62" s="356">
        <v>528.96</v>
      </c>
      <c r="L62" s="355"/>
      <c r="M62" s="289"/>
      <c r="N62" s="357">
        <v>171</v>
      </c>
      <c r="O62" s="290">
        <f t="shared" si="4"/>
        <v>0.32327586206896547</v>
      </c>
      <c r="P62" s="290">
        <f t="shared" si="19"/>
        <v>0</v>
      </c>
      <c r="Q62" s="291">
        <f t="shared" si="5"/>
        <v>0</v>
      </c>
      <c r="R62" s="291">
        <f t="shared" si="20"/>
        <v>0</v>
      </c>
      <c r="S62" s="357">
        <v>6</v>
      </c>
      <c r="T62" s="292">
        <f t="shared" si="6"/>
        <v>51.3</v>
      </c>
      <c r="U62" s="254">
        <f t="shared" si="21"/>
        <v>581.76</v>
      </c>
      <c r="V62" s="356">
        <v>724594227.33000004</v>
      </c>
      <c r="W62" s="357">
        <v>4493</v>
      </c>
      <c r="X62" s="264">
        <f t="shared" si="7"/>
        <v>161271.81</v>
      </c>
      <c r="Y62" s="293">
        <f t="shared" si="8"/>
        <v>0.83765900000000004</v>
      </c>
      <c r="Z62" s="357">
        <v>71641</v>
      </c>
      <c r="AA62" s="293">
        <f t="shared" si="9"/>
        <v>0.59455899999999995</v>
      </c>
      <c r="AB62" s="293">
        <f t="shared" si="10"/>
        <v>0.23527100000000001</v>
      </c>
      <c r="AC62" s="294">
        <f t="shared" si="11"/>
        <v>0.23527100000000001</v>
      </c>
      <c r="AD62" s="295">
        <f t="shared" si="22"/>
        <v>0</v>
      </c>
      <c r="AE62" s="296">
        <f t="shared" si="23"/>
        <v>0.23527100000000001</v>
      </c>
      <c r="AF62" s="357">
        <v>297</v>
      </c>
      <c r="AG62" s="357">
        <v>6</v>
      </c>
      <c r="AH62" s="254">
        <f t="shared" si="24"/>
        <v>600</v>
      </c>
      <c r="AI62" s="9">
        <f t="shared" si="12"/>
        <v>178200</v>
      </c>
      <c r="AJ62" s="9">
        <v>0</v>
      </c>
      <c r="AK62" s="9">
        <f t="shared" si="25"/>
        <v>0</v>
      </c>
      <c r="AL62" s="9">
        <f t="shared" si="26"/>
        <v>0</v>
      </c>
      <c r="AM62" s="9">
        <f t="shared" si="27"/>
        <v>0</v>
      </c>
      <c r="AN62" s="9">
        <f t="shared" si="28"/>
        <v>178200</v>
      </c>
      <c r="AO62" s="9">
        <f t="shared" si="13"/>
        <v>1577441</v>
      </c>
      <c r="AP62" s="9">
        <f t="shared" si="29"/>
        <v>1755641</v>
      </c>
      <c r="AQ62" s="9">
        <f t="shared" si="30"/>
        <v>1755641</v>
      </c>
      <c r="AR62" s="291">
        <v>1675092</v>
      </c>
      <c r="AS62" s="9">
        <f t="shared" si="31"/>
        <v>80549</v>
      </c>
      <c r="AT62" s="297" t="str">
        <f t="shared" si="32"/>
        <v>Yes</v>
      </c>
      <c r="AU62" s="357">
        <v>1671456.5234000001</v>
      </c>
      <c r="AV62" s="291">
        <f t="shared" si="14"/>
        <v>8586.5234</v>
      </c>
      <c r="AW62" s="291">
        <f t="shared" si="33"/>
        <v>1680043.0468000001</v>
      </c>
      <c r="AX62" s="291">
        <f t="shared" si="15"/>
        <v>1680043.0468000001</v>
      </c>
      <c r="AY62" s="358">
        <f t="shared" si="34"/>
        <v>8586.5234000000637</v>
      </c>
      <c r="AZ62" s="301"/>
      <c r="BA62" s="301"/>
      <c r="BB62" s="302"/>
      <c r="BC62" s="291">
        <f t="shared" si="35"/>
        <v>1688629.5702000002</v>
      </c>
      <c r="BD62" s="298">
        <f t="shared" si="48"/>
        <v>1697216.0936000003</v>
      </c>
      <c r="BE62" s="298">
        <f t="shared" si="48"/>
        <v>1705802.6170000003</v>
      </c>
      <c r="BF62" s="298">
        <f t="shared" si="48"/>
        <v>1714389.1404000004</v>
      </c>
      <c r="BG62" s="298">
        <f t="shared" si="49"/>
        <v>1755641</v>
      </c>
      <c r="BH62" s="298">
        <f t="shared" si="49"/>
        <v>1755641</v>
      </c>
      <c r="BI62" s="298">
        <f t="shared" si="38"/>
        <v>1755641</v>
      </c>
      <c r="BK62" s="298">
        <f t="shared" si="39"/>
        <v>1688629.5702000002</v>
      </c>
      <c r="BL62" s="298">
        <f t="shared" si="40"/>
        <v>1697216.0936000003</v>
      </c>
      <c r="BM62" s="298">
        <f t="shared" si="41"/>
        <v>1705802.6170000003</v>
      </c>
      <c r="BN62" s="298">
        <f t="shared" si="42"/>
        <v>1714389.1404000004</v>
      </c>
      <c r="BO62" s="298">
        <f t="shared" si="43"/>
        <v>1755641</v>
      </c>
      <c r="BP62" s="298">
        <f t="shared" si="44"/>
        <v>1755641</v>
      </c>
      <c r="BQ62" s="298">
        <f t="shared" si="45"/>
        <v>1755641</v>
      </c>
    </row>
    <row r="63" spans="1:69" ht="15" x14ac:dyDescent="0.2">
      <c r="A63" s="10" t="s">
        <v>6</v>
      </c>
      <c r="B63" s="276">
        <v>1</v>
      </c>
      <c r="C63" s="276">
        <v>1</v>
      </c>
      <c r="D63" s="276">
        <v>1</v>
      </c>
      <c r="E63" s="276"/>
      <c r="F63" s="8">
        <v>10</v>
      </c>
      <c r="G63" s="359">
        <v>12</v>
      </c>
      <c r="H63" s="10">
        <v>37</v>
      </c>
      <c r="I63" s="7" t="s">
        <v>49</v>
      </c>
      <c r="J63" s="287"/>
      <c r="K63" s="356">
        <v>1358.84</v>
      </c>
      <c r="L63" s="359"/>
      <c r="M63" s="289"/>
      <c r="N63" s="357">
        <v>737</v>
      </c>
      <c r="O63" s="290">
        <f t="shared" si="4"/>
        <v>0.54237437814606582</v>
      </c>
      <c r="P63" s="290">
        <f t="shared" si="19"/>
        <v>0</v>
      </c>
      <c r="Q63" s="291">
        <f t="shared" si="5"/>
        <v>0</v>
      </c>
      <c r="R63" s="291">
        <f t="shared" si="20"/>
        <v>0</v>
      </c>
      <c r="S63" s="357">
        <v>40</v>
      </c>
      <c r="T63" s="292">
        <f t="shared" si="6"/>
        <v>221.1</v>
      </c>
      <c r="U63" s="254">
        <f t="shared" si="21"/>
        <v>1589.9399999999998</v>
      </c>
      <c r="V63" s="356">
        <v>1091479200</v>
      </c>
      <c r="W63" s="357">
        <v>12596</v>
      </c>
      <c r="X63" s="264">
        <f t="shared" si="7"/>
        <v>86652.84</v>
      </c>
      <c r="Y63" s="293">
        <f t="shared" si="8"/>
        <v>0.45008199999999998</v>
      </c>
      <c r="Z63" s="357">
        <v>56301</v>
      </c>
      <c r="AA63" s="293">
        <f t="shared" si="9"/>
        <v>0.46725100000000003</v>
      </c>
      <c r="AB63" s="293">
        <f t="shared" si="10"/>
        <v>0.544767</v>
      </c>
      <c r="AC63" s="294">
        <f t="shared" si="11"/>
        <v>0.544767</v>
      </c>
      <c r="AD63" s="295">
        <f t="shared" si="22"/>
        <v>0.04</v>
      </c>
      <c r="AE63" s="296">
        <f t="shared" si="23"/>
        <v>0.58476700000000004</v>
      </c>
      <c r="AF63" s="357">
        <v>0</v>
      </c>
      <c r="AG63" s="357">
        <v>0</v>
      </c>
      <c r="AH63" s="254">
        <f t="shared" si="24"/>
        <v>0</v>
      </c>
      <c r="AI63" s="9">
        <f t="shared" si="12"/>
        <v>0</v>
      </c>
      <c r="AJ63" s="9">
        <v>0</v>
      </c>
      <c r="AK63" s="9">
        <f t="shared" si="25"/>
        <v>0</v>
      </c>
      <c r="AL63" s="9">
        <f t="shared" si="26"/>
        <v>0</v>
      </c>
      <c r="AM63" s="9">
        <f t="shared" si="27"/>
        <v>0</v>
      </c>
      <c r="AN63" s="9">
        <f t="shared" si="28"/>
        <v>0</v>
      </c>
      <c r="AO63" s="9">
        <f t="shared" si="13"/>
        <v>10715305</v>
      </c>
      <c r="AP63" s="9">
        <f t="shared" si="29"/>
        <v>10715305</v>
      </c>
      <c r="AQ63" s="9">
        <f t="shared" si="30"/>
        <v>10715305</v>
      </c>
      <c r="AR63" s="291">
        <v>7902388</v>
      </c>
      <c r="AS63" s="9">
        <f t="shared" si="31"/>
        <v>2812917</v>
      </c>
      <c r="AT63" s="297" t="str">
        <f t="shared" si="32"/>
        <v>Yes</v>
      </c>
      <c r="AU63" s="357">
        <v>9140279.9521999992</v>
      </c>
      <c r="AV63" s="291">
        <f t="shared" si="14"/>
        <v>299856.9522</v>
      </c>
      <c r="AW63" s="291">
        <f t="shared" si="33"/>
        <v>9440136.9043999985</v>
      </c>
      <c r="AX63" s="291">
        <f t="shared" si="15"/>
        <v>9440136.9043999985</v>
      </c>
      <c r="AY63" s="358">
        <f t="shared" si="34"/>
        <v>299856.95219999924</v>
      </c>
      <c r="AZ63" s="301"/>
      <c r="BA63" s="301"/>
      <c r="BB63" s="302"/>
      <c r="BC63" s="291">
        <f t="shared" si="35"/>
        <v>9739993.8565999977</v>
      </c>
      <c r="BD63" s="298">
        <f t="shared" si="48"/>
        <v>10039850.808799997</v>
      </c>
      <c r="BE63" s="298">
        <f t="shared" si="48"/>
        <v>10339707.760999996</v>
      </c>
      <c r="BF63" s="298">
        <f t="shared" si="48"/>
        <v>10639564.713199995</v>
      </c>
      <c r="BG63" s="298">
        <f t="shared" si="49"/>
        <v>10715305</v>
      </c>
      <c r="BH63" s="298">
        <f t="shared" si="49"/>
        <v>10715305</v>
      </c>
      <c r="BI63" s="298">
        <f t="shared" si="38"/>
        <v>10715305</v>
      </c>
      <c r="BK63" s="298">
        <f t="shared" si="39"/>
        <v>9739993.8565999977</v>
      </c>
      <c r="BL63" s="298">
        <f t="shared" si="40"/>
        <v>10039850.808799997</v>
      </c>
      <c r="BM63" s="298">
        <f t="shared" si="41"/>
        <v>10339707.760999996</v>
      </c>
      <c r="BN63" s="298">
        <f t="shared" si="42"/>
        <v>10639564.713199995</v>
      </c>
      <c r="BO63" s="298">
        <f t="shared" si="43"/>
        <v>10715305</v>
      </c>
      <c r="BP63" s="298">
        <f t="shared" si="44"/>
        <v>10715305</v>
      </c>
      <c r="BQ63" s="298">
        <f t="shared" si="45"/>
        <v>10715305</v>
      </c>
    </row>
    <row r="64" spans="1:69" ht="15" x14ac:dyDescent="0.2">
      <c r="A64" s="10" t="s">
        <v>4</v>
      </c>
      <c r="B64" s="10"/>
      <c r="C64" s="276"/>
      <c r="D64" s="276"/>
      <c r="E64" s="276"/>
      <c r="F64" s="8">
        <v>3</v>
      </c>
      <c r="G64" s="355">
        <v>135</v>
      </c>
      <c r="H64" s="10">
        <v>38</v>
      </c>
      <c r="I64" s="7" t="s">
        <v>50</v>
      </c>
      <c r="J64" s="287"/>
      <c r="K64" s="356">
        <v>948.77</v>
      </c>
      <c r="L64" s="355"/>
      <c r="M64" s="289"/>
      <c r="N64" s="357">
        <v>135</v>
      </c>
      <c r="O64" s="290">
        <f t="shared" si="4"/>
        <v>0.14228949060362364</v>
      </c>
      <c r="P64" s="290">
        <f t="shared" si="19"/>
        <v>0</v>
      </c>
      <c r="Q64" s="291">
        <f t="shared" si="5"/>
        <v>0</v>
      </c>
      <c r="R64" s="291">
        <f t="shared" si="20"/>
        <v>0</v>
      </c>
      <c r="S64" s="357">
        <v>10</v>
      </c>
      <c r="T64" s="292">
        <f t="shared" si="6"/>
        <v>40.5</v>
      </c>
      <c r="U64" s="254">
        <f t="shared" si="21"/>
        <v>991.77</v>
      </c>
      <c r="V64" s="356">
        <v>1036982772.67</v>
      </c>
      <c r="W64" s="357">
        <v>7248</v>
      </c>
      <c r="X64" s="264">
        <f t="shared" si="7"/>
        <v>143071.57</v>
      </c>
      <c r="Y64" s="293">
        <f t="shared" si="8"/>
        <v>0.74312599999999995</v>
      </c>
      <c r="Z64" s="357">
        <v>117631</v>
      </c>
      <c r="AA64" s="293">
        <f t="shared" si="9"/>
        <v>0.97623700000000002</v>
      </c>
      <c r="AB64" s="293">
        <f t="shared" si="10"/>
        <v>0.186941</v>
      </c>
      <c r="AC64" s="294">
        <f t="shared" si="11"/>
        <v>0.186941</v>
      </c>
      <c r="AD64" s="295">
        <f t="shared" si="22"/>
        <v>0</v>
      </c>
      <c r="AE64" s="296">
        <f t="shared" si="23"/>
        <v>0.186941</v>
      </c>
      <c r="AF64" s="357">
        <v>956</v>
      </c>
      <c r="AG64" s="357">
        <v>13</v>
      </c>
      <c r="AH64" s="254">
        <f t="shared" si="24"/>
        <v>1300</v>
      </c>
      <c r="AI64" s="9">
        <f t="shared" si="12"/>
        <v>1242800</v>
      </c>
      <c r="AJ64" s="9">
        <v>0</v>
      </c>
      <c r="AK64" s="9">
        <f t="shared" si="25"/>
        <v>0</v>
      </c>
      <c r="AL64" s="9">
        <f t="shared" si="26"/>
        <v>0</v>
      </c>
      <c r="AM64" s="9">
        <f t="shared" si="27"/>
        <v>0</v>
      </c>
      <c r="AN64" s="9">
        <f t="shared" si="28"/>
        <v>1242800</v>
      </c>
      <c r="AO64" s="9">
        <f t="shared" si="13"/>
        <v>2136764</v>
      </c>
      <c r="AP64" s="9">
        <f t="shared" si="29"/>
        <v>3379564</v>
      </c>
      <c r="AQ64" s="9">
        <f t="shared" si="30"/>
        <v>3379564</v>
      </c>
      <c r="AR64" s="291">
        <v>3895303</v>
      </c>
      <c r="AS64" s="9">
        <f t="shared" si="31"/>
        <v>515739</v>
      </c>
      <c r="AT64" s="297" t="str">
        <f t="shared" si="32"/>
        <v>No</v>
      </c>
      <c r="AU64" s="357">
        <v>3165733</v>
      </c>
      <c r="AV64" s="291">
        <f t="shared" si="14"/>
        <v>42961.058700000001</v>
      </c>
      <c r="AW64" s="291">
        <f t="shared" si="33"/>
        <v>3165733</v>
      </c>
      <c r="AX64" s="291">
        <f t="shared" si="15"/>
        <v>3165733</v>
      </c>
      <c r="AY64" s="358">
        <f t="shared" si="34"/>
        <v>0</v>
      </c>
      <c r="AZ64" s="301"/>
      <c r="BA64" s="301"/>
      <c r="BB64" s="302"/>
      <c r="BC64" s="291">
        <f t="shared" si="35"/>
        <v>3122771.9413000001</v>
      </c>
      <c r="BD64" s="298">
        <f t="shared" si="48"/>
        <v>3079810.8826000001</v>
      </c>
      <c r="BE64" s="298">
        <f t="shared" si="48"/>
        <v>3036849.8239000002</v>
      </c>
      <c r="BF64" s="298">
        <f t="shared" si="48"/>
        <v>2993888.7652000003</v>
      </c>
      <c r="BG64" s="298">
        <f t="shared" si="49"/>
        <v>2950927.7065000003</v>
      </c>
      <c r="BH64" s="298">
        <f t="shared" si="49"/>
        <v>2907966.6478000004</v>
      </c>
      <c r="BI64" s="298">
        <f t="shared" si="38"/>
        <v>3379564</v>
      </c>
      <c r="BK64" s="298">
        <f t="shared" si="39"/>
        <v>3122771.9413000001</v>
      </c>
      <c r="BL64" s="298">
        <f t="shared" si="40"/>
        <v>3079810.8826000001</v>
      </c>
      <c r="BM64" s="298">
        <f t="shared" si="41"/>
        <v>3036849.8239000002</v>
      </c>
      <c r="BN64" s="298">
        <f t="shared" si="42"/>
        <v>2993888.7652000003</v>
      </c>
      <c r="BO64" s="298">
        <f t="shared" si="43"/>
        <v>2950927.7065000003</v>
      </c>
      <c r="BP64" s="298">
        <f t="shared" si="44"/>
        <v>2907966.6478000004</v>
      </c>
      <c r="BQ64" s="298">
        <f t="shared" si="45"/>
        <v>3379564</v>
      </c>
    </row>
    <row r="65" spans="1:69" ht="15" x14ac:dyDescent="0.2">
      <c r="A65" s="10" t="s">
        <v>8</v>
      </c>
      <c r="B65" s="10"/>
      <c r="C65" s="276"/>
      <c r="D65" s="276"/>
      <c r="E65" s="276"/>
      <c r="F65" s="8">
        <v>7</v>
      </c>
      <c r="G65" s="355">
        <v>118</v>
      </c>
      <c r="H65" s="10">
        <v>39</v>
      </c>
      <c r="I65" s="7" t="s">
        <v>51</v>
      </c>
      <c r="J65" s="287"/>
      <c r="K65" s="356">
        <v>179</v>
      </c>
      <c r="L65" s="355"/>
      <c r="M65" s="289"/>
      <c r="N65" s="357">
        <v>46</v>
      </c>
      <c r="O65" s="290">
        <f t="shared" si="4"/>
        <v>0.25698324022346369</v>
      </c>
      <c r="P65" s="290">
        <f t="shared" si="19"/>
        <v>0</v>
      </c>
      <c r="Q65" s="291">
        <f t="shared" si="5"/>
        <v>0</v>
      </c>
      <c r="R65" s="291">
        <f t="shared" si="20"/>
        <v>0</v>
      </c>
      <c r="S65" s="357">
        <v>1</v>
      </c>
      <c r="T65" s="292">
        <f t="shared" si="6"/>
        <v>13.8</v>
      </c>
      <c r="U65" s="254">
        <f t="shared" si="21"/>
        <v>193.05</v>
      </c>
      <c r="V65" s="356">
        <v>227054576.66999999</v>
      </c>
      <c r="W65" s="357">
        <v>1721</v>
      </c>
      <c r="X65" s="264">
        <f t="shared" si="7"/>
        <v>131931.76999999999</v>
      </c>
      <c r="Y65" s="293">
        <f t="shared" si="8"/>
        <v>0.68526399999999998</v>
      </c>
      <c r="Z65" s="357">
        <v>86667</v>
      </c>
      <c r="AA65" s="293">
        <f t="shared" si="9"/>
        <v>0.71926299999999999</v>
      </c>
      <c r="AB65" s="293">
        <f t="shared" si="10"/>
        <v>0.30453599999999997</v>
      </c>
      <c r="AC65" s="294">
        <f t="shared" si="11"/>
        <v>0.30453599999999997</v>
      </c>
      <c r="AD65" s="295">
        <f t="shared" si="22"/>
        <v>0</v>
      </c>
      <c r="AE65" s="296">
        <f t="shared" si="23"/>
        <v>0.30453599999999997</v>
      </c>
      <c r="AF65" s="357">
        <v>0</v>
      </c>
      <c r="AG65" s="357">
        <v>0</v>
      </c>
      <c r="AH65" s="254">
        <f t="shared" si="24"/>
        <v>0</v>
      </c>
      <c r="AI65" s="9">
        <f t="shared" si="12"/>
        <v>0</v>
      </c>
      <c r="AJ65" s="9">
        <v>43</v>
      </c>
      <c r="AK65" s="9">
        <f t="shared" si="25"/>
        <v>4</v>
      </c>
      <c r="AL65" s="9">
        <f t="shared" si="26"/>
        <v>400</v>
      </c>
      <c r="AM65" s="9">
        <f t="shared" si="27"/>
        <v>17200</v>
      </c>
      <c r="AN65" s="9">
        <f t="shared" si="28"/>
        <v>17200</v>
      </c>
      <c r="AO65" s="9">
        <f t="shared" si="13"/>
        <v>677563</v>
      </c>
      <c r="AP65" s="9">
        <f t="shared" si="29"/>
        <v>694763</v>
      </c>
      <c r="AQ65" s="9">
        <f t="shared" si="30"/>
        <v>694763</v>
      </c>
      <c r="AR65" s="291">
        <v>1091881</v>
      </c>
      <c r="AS65" s="9">
        <f t="shared" si="31"/>
        <v>397118</v>
      </c>
      <c r="AT65" s="297" t="str">
        <f t="shared" si="32"/>
        <v>No</v>
      </c>
      <c r="AU65" s="357">
        <v>947176</v>
      </c>
      <c r="AV65" s="291">
        <f t="shared" si="14"/>
        <v>33079.929400000001</v>
      </c>
      <c r="AW65" s="291">
        <f t="shared" si="33"/>
        <v>947176</v>
      </c>
      <c r="AX65" s="291">
        <f t="shared" si="15"/>
        <v>947176</v>
      </c>
      <c r="AY65" s="358">
        <f t="shared" si="34"/>
        <v>0</v>
      </c>
      <c r="AZ65" s="301"/>
      <c r="BA65" s="301"/>
      <c r="BB65" s="302"/>
      <c r="BC65" s="291">
        <f t="shared" si="35"/>
        <v>914096.07059999998</v>
      </c>
      <c r="BD65" s="298">
        <f t="shared" si="48"/>
        <v>881016.14119999995</v>
      </c>
      <c r="BE65" s="298">
        <f t="shared" si="48"/>
        <v>847936.21179999993</v>
      </c>
      <c r="BF65" s="298">
        <f t="shared" si="48"/>
        <v>814856.28239999991</v>
      </c>
      <c r="BG65" s="298">
        <f t="shared" si="49"/>
        <v>781776.35299999989</v>
      </c>
      <c r="BH65" s="298">
        <f t="shared" si="49"/>
        <v>748696.42359999986</v>
      </c>
      <c r="BI65" s="298">
        <f t="shared" si="38"/>
        <v>694763</v>
      </c>
      <c r="BK65" s="298">
        <f t="shared" si="39"/>
        <v>914096.07059999998</v>
      </c>
      <c r="BL65" s="298">
        <f t="shared" si="40"/>
        <v>881016.14119999995</v>
      </c>
      <c r="BM65" s="298">
        <f t="shared" si="41"/>
        <v>847936.21179999993</v>
      </c>
      <c r="BN65" s="298">
        <f t="shared" si="42"/>
        <v>814856.28239999991</v>
      </c>
      <c r="BO65" s="298">
        <f t="shared" si="43"/>
        <v>781776.35299999989</v>
      </c>
      <c r="BP65" s="298">
        <f t="shared" si="44"/>
        <v>748696.42359999986</v>
      </c>
      <c r="BQ65" s="298">
        <f t="shared" si="45"/>
        <v>694763</v>
      </c>
    </row>
    <row r="66" spans="1:69" ht="15" x14ac:dyDescent="0.2">
      <c r="A66" s="10" t="s">
        <v>14</v>
      </c>
      <c r="B66" s="10"/>
      <c r="C66" s="276"/>
      <c r="D66" s="276"/>
      <c r="E66" s="276"/>
      <c r="F66" s="8">
        <v>5</v>
      </c>
      <c r="G66" s="355">
        <v>106</v>
      </c>
      <c r="H66" s="10">
        <v>40</v>
      </c>
      <c r="I66" s="7" t="s">
        <v>52</v>
      </c>
      <c r="J66" s="287"/>
      <c r="K66" s="356">
        <v>847.21</v>
      </c>
      <c r="L66" s="355"/>
      <c r="M66" s="289"/>
      <c r="N66" s="357">
        <v>93</v>
      </c>
      <c r="O66" s="290">
        <f t="shared" si="4"/>
        <v>0.109772075400432</v>
      </c>
      <c r="P66" s="290">
        <f t="shared" si="19"/>
        <v>0</v>
      </c>
      <c r="Q66" s="291">
        <f t="shared" si="5"/>
        <v>0</v>
      </c>
      <c r="R66" s="291">
        <f t="shared" si="20"/>
        <v>0</v>
      </c>
      <c r="S66" s="357">
        <v>16</v>
      </c>
      <c r="T66" s="292">
        <f t="shared" si="6"/>
        <v>27.9</v>
      </c>
      <c r="U66" s="254">
        <f t="shared" si="21"/>
        <v>879.11</v>
      </c>
      <c r="V66" s="356">
        <v>862107097.66999996</v>
      </c>
      <c r="W66" s="357">
        <v>5256</v>
      </c>
      <c r="X66" s="264">
        <f t="shared" si="7"/>
        <v>164023.42000000001</v>
      </c>
      <c r="Y66" s="293">
        <f t="shared" si="8"/>
        <v>0.85195100000000001</v>
      </c>
      <c r="Z66" s="357">
        <v>100689</v>
      </c>
      <c r="AA66" s="293">
        <f t="shared" si="9"/>
        <v>0.83563299999999996</v>
      </c>
      <c r="AB66" s="293">
        <f t="shared" si="10"/>
        <v>0.152944</v>
      </c>
      <c r="AC66" s="294">
        <f t="shared" si="11"/>
        <v>0.152944</v>
      </c>
      <c r="AD66" s="295">
        <f t="shared" si="22"/>
        <v>0</v>
      </c>
      <c r="AE66" s="296">
        <f t="shared" si="23"/>
        <v>0.152944</v>
      </c>
      <c r="AF66" s="357">
        <v>0</v>
      </c>
      <c r="AG66" s="357">
        <v>0</v>
      </c>
      <c r="AH66" s="254">
        <f t="shared" si="24"/>
        <v>0</v>
      </c>
      <c r="AI66" s="9">
        <f t="shared" si="12"/>
        <v>0</v>
      </c>
      <c r="AJ66" s="9">
        <v>0</v>
      </c>
      <c r="AK66" s="9">
        <f t="shared" si="25"/>
        <v>0</v>
      </c>
      <c r="AL66" s="9">
        <f t="shared" si="26"/>
        <v>0</v>
      </c>
      <c r="AM66" s="9">
        <f t="shared" si="27"/>
        <v>0</v>
      </c>
      <c r="AN66" s="9">
        <f t="shared" si="28"/>
        <v>0</v>
      </c>
      <c r="AO66" s="9">
        <f t="shared" si="13"/>
        <v>1549589</v>
      </c>
      <c r="AP66" s="9">
        <f t="shared" si="29"/>
        <v>1549589</v>
      </c>
      <c r="AQ66" s="9">
        <f t="shared" si="30"/>
        <v>1549589</v>
      </c>
      <c r="AR66" s="291">
        <v>1439845</v>
      </c>
      <c r="AS66" s="9">
        <f t="shared" si="31"/>
        <v>109744</v>
      </c>
      <c r="AT66" s="297" t="str">
        <f t="shared" si="32"/>
        <v>Yes</v>
      </c>
      <c r="AU66" s="357">
        <v>1445790.7104</v>
      </c>
      <c r="AV66" s="291">
        <f t="shared" si="14"/>
        <v>11698.7104</v>
      </c>
      <c r="AW66" s="291">
        <f t="shared" si="33"/>
        <v>1457489.4208</v>
      </c>
      <c r="AX66" s="291">
        <f t="shared" si="15"/>
        <v>1457489.4208</v>
      </c>
      <c r="AY66" s="358">
        <f t="shared" si="34"/>
        <v>11698.710399999982</v>
      </c>
      <c r="AZ66" s="301"/>
      <c r="BA66" s="301"/>
      <c r="BB66" s="302"/>
      <c r="BC66" s="291">
        <f t="shared" si="35"/>
        <v>1469188.1311999999</v>
      </c>
      <c r="BD66" s="298">
        <f t="shared" si="48"/>
        <v>1480886.8415999999</v>
      </c>
      <c r="BE66" s="298">
        <f t="shared" si="48"/>
        <v>1492585.5519999999</v>
      </c>
      <c r="BF66" s="298">
        <f t="shared" si="48"/>
        <v>1504284.2623999999</v>
      </c>
      <c r="BG66" s="298">
        <f t="shared" si="49"/>
        <v>1549589</v>
      </c>
      <c r="BH66" s="298">
        <f t="shared" si="49"/>
        <v>1549589</v>
      </c>
      <c r="BI66" s="298">
        <f t="shared" si="38"/>
        <v>1549589</v>
      </c>
      <c r="BK66" s="298">
        <f t="shared" si="39"/>
        <v>1469188.1311999999</v>
      </c>
      <c r="BL66" s="298">
        <f t="shared" si="40"/>
        <v>1480886.8415999999</v>
      </c>
      <c r="BM66" s="298">
        <f t="shared" si="41"/>
        <v>1492585.5519999999</v>
      </c>
      <c r="BN66" s="298">
        <f t="shared" si="42"/>
        <v>1504284.2623999999</v>
      </c>
      <c r="BO66" s="298">
        <f t="shared" si="43"/>
        <v>1549589</v>
      </c>
      <c r="BP66" s="298">
        <f t="shared" si="44"/>
        <v>1549589</v>
      </c>
      <c r="BQ66" s="298">
        <f t="shared" si="45"/>
        <v>1549589</v>
      </c>
    </row>
    <row r="67" spans="1:69" ht="15" x14ac:dyDescent="0.2">
      <c r="A67" s="10" t="s">
        <v>8</v>
      </c>
      <c r="B67" s="10"/>
      <c r="C67" s="276"/>
      <c r="D67" s="276"/>
      <c r="E67" s="276"/>
      <c r="F67" s="8">
        <v>5</v>
      </c>
      <c r="G67" s="355">
        <v>76</v>
      </c>
      <c r="H67" s="10">
        <v>41</v>
      </c>
      <c r="I67" s="7" t="s">
        <v>53</v>
      </c>
      <c r="J67" s="287"/>
      <c r="K67" s="356">
        <v>955.84</v>
      </c>
      <c r="L67" s="355"/>
      <c r="M67" s="289"/>
      <c r="N67" s="357">
        <v>203</v>
      </c>
      <c r="O67" s="290">
        <f t="shared" si="4"/>
        <v>0.21237864077669902</v>
      </c>
      <c r="P67" s="290">
        <f t="shared" si="19"/>
        <v>0</v>
      </c>
      <c r="Q67" s="291">
        <f t="shared" si="5"/>
        <v>0</v>
      </c>
      <c r="R67" s="291">
        <f t="shared" si="20"/>
        <v>0</v>
      </c>
      <c r="S67" s="357">
        <v>2</v>
      </c>
      <c r="T67" s="292">
        <f t="shared" si="6"/>
        <v>60.9</v>
      </c>
      <c r="U67" s="254">
        <f t="shared" si="21"/>
        <v>1017.24</v>
      </c>
      <c r="V67" s="356">
        <v>1272740846.6700001</v>
      </c>
      <c r="W67" s="357">
        <v>9032</v>
      </c>
      <c r="X67" s="264">
        <f t="shared" si="7"/>
        <v>140914.62</v>
      </c>
      <c r="Y67" s="293">
        <f t="shared" si="8"/>
        <v>0.73192199999999996</v>
      </c>
      <c r="Z67" s="357">
        <v>91339</v>
      </c>
      <c r="AA67" s="293">
        <f t="shared" si="9"/>
        <v>0.75803600000000004</v>
      </c>
      <c r="AB67" s="293">
        <f t="shared" si="10"/>
        <v>0.26024399999999998</v>
      </c>
      <c r="AC67" s="294">
        <f t="shared" si="11"/>
        <v>0.26024399999999998</v>
      </c>
      <c r="AD67" s="295">
        <f t="shared" si="22"/>
        <v>0</v>
      </c>
      <c r="AE67" s="296">
        <f t="shared" si="23"/>
        <v>0.26024399999999998</v>
      </c>
      <c r="AF67" s="357">
        <v>0</v>
      </c>
      <c r="AG67" s="357">
        <v>0</v>
      </c>
      <c r="AH67" s="254">
        <f t="shared" si="24"/>
        <v>0</v>
      </c>
      <c r="AI67" s="9">
        <f t="shared" si="12"/>
        <v>0</v>
      </c>
      <c r="AJ67" s="9">
        <v>0</v>
      </c>
      <c r="AK67" s="9">
        <f t="shared" si="25"/>
        <v>0</v>
      </c>
      <c r="AL67" s="9">
        <f t="shared" si="26"/>
        <v>0</v>
      </c>
      <c r="AM67" s="9">
        <f t="shared" si="27"/>
        <v>0</v>
      </c>
      <c r="AN67" s="9">
        <f t="shared" si="28"/>
        <v>0</v>
      </c>
      <c r="AO67" s="9">
        <f t="shared" si="13"/>
        <v>3051020</v>
      </c>
      <c r="AP67" s="9">
        <f t="shared" si="29"/>
        <v>3051020</v>
      </c>
      <c r="AQ67" s="9">
        <f t="shared" si="30"/>
        <v>3051020</v>
      </c>
      <c r="AR67" s="291">
        <v>3686134</v>
      </c>
      <c r="AS67" s="9">
        <f t="shared" si="31"/>
        <v>635114</v>
      </c>
      <c r="AT67" s="297" t="str">
        <f t="shared" si="32"/>
        <v>No</v>
      </c>
      <c r="AU67" s="357">
        <v>3555957</v>
      </c>
      <c r="AV67" s="291">
        <f t="shared" si="14"/>
        <v>52904.996200000001</v>
      </c>
      <c r="AW67" s="291">
        <f t="shared" si="33"/>
        <v>3555957</v>
      </c>
      <c r="AX67" s="291">
        <f t="shared" si="15"/>
        <v>3555957</v>
      </c>
      <c r="AY67" s="358">
        <f t="shared" si="34"/>
        <v>0</v>
      </c>
      <c r="AZ67" s="301"/>
      <c r="BA67" s="301"/>
      <c r="BB67" s="302"/>
      <c r="BC67" s="291">
        <f t="shared" si="35"/>
        <v>3503052.0038000001</v>
      </c>
      <c r="BD67" s="298">
        <f t="shared" si="48"/>
        <v>3450147.0076000001</v>
      </c>
      <c r="BE67" s="298">
        <f t="shared" si="48"/>
        <v>3397242.0114000002</v>
      </c>
      <c r="BF67" s="298">
        <f t="shared" si="48"/>
        <v>3344337.0152000003</v>
      </c>
      <c r="BG67" s="298">
        <f t="shared" si="49"/>
        <v>3291432.0190000003</v>
      </c>
      <c r="BH67" s="298">
        <f t="shared" si="49"/>
        <v>3238527.0228000004</v>
      </c>
      <c r="BI67" s="298">
        <f t="shared" si="38"/>
        <v>3051020</v>
      </c>
      <c r="BK67" s="298">
        <f t="shared" si="39"/>
        <v>3503052.0038000001</v>
      </c>
      <c r="BL67" s="298">
        <f t="shared" si="40"/>
        <v>3450147.0076000001</v>
      </c>
      <c r="BM67" s="298">
        <f t="shared" si="41"/>
        <v>3397242.0114000002</v>
      </c>
      <c r="BN67" s="298">
        <f t="shared" si="42"/>
        <v>3344337.0152000003</v>
      </c>
      <c r="BO67" s="298">
        <f t="shared" si="43"/>
        <v>3291432.0190000003</v>
      </c>
      <c r="BP67" s="298">
        <f t="shared" si="44"/>
        <v>3238527.0228000004</v>
      </c>
      <c r="BQ67" s="298">
        <f t="shared" si="45"/>
        <v>3051020</v>
      </c>
    </row>
    <row r="68" spans="1:69" ht="15" x14ac:dyDescent="0.2">
      <c r="A68" s="10" t="s">
        <v>14</v>
      </c>
      <c r="B68" s="10"/>
      <c r="C68" s="276"/>
      <c r="D68" s="276"/>
      <c r="E68" s="276"/>
      <c r="F68" s="8">
        <v>6</v>
      </c>
      <c r="G68" s="355">
        <v>88</v>
      </c>
      <c r="H68" s="10">
        <v>42</v>
      </c>
      <c r="I68" s="7" t="s">
        <v>54</v>
      </c>
      <c r="J68" s="287"/>
      <c r="K68" s="356">
        <v>1866.49</v>
      </c>
      <c r="L68" s="355"/>
      <c r="M68" s="289"/>
      <c r="N68" s="357">
        <v>390</v>
      </c>
      <c r="O68" s="290">
        <f t="shared" si="4"/>
        <v>0.20894834689711705</v>
      </c>
      <c r="P68" s="290">
        <f t="shared" si="19"/>
        <v>0</v>
      </c>
      <c r="Q68" s="291">
        <f t="shared" si="5"/>
        <v>0</v>
      </c>
      <c r="R68" s="291">
        <f t="shared" si="20"/>
        <v>0</v>
      </c>
      <c r="S68" s="357">
        <v>7</v>
      </c>
      <c r="T68" s="292">
        <f t="shared" si="6"/>
        <v>117</v>
      </c>
      <c r="U68" s="254">
        <f t="shared" si="21"/>
        <v>1985.24</v>
      </c>
      <c r="V68" s="356">
        <v>1664012492.6700001</v>
      </c>
      <c r="W68" s="357">
        <v>12856</v>
      </c>
      <c r="X68" s="264">
        <f t="shared" si="7"/>
        <v>129434.7</v>
      </c>
      <c r="Y68" s="293">
        <f t="shared" si="8"/>
        <v>0.67229399999999995</v>
      </c>
      <c r="Z68" s="357">
        <v>100780</v>
      </c>
      <c r="AA68" s="293">
        <f t="shared" si="9"/>
        <v>0.83638800000000002</v>
      </c>
      <c r="AB68" s="293">
        <f t="shared" si="10"/>
        <v>0.278478</v>
      </c>
      <c r="AC68" s="294">
        <f t="shared" si="11"/>
        <v>0.278478</v>
      </c>
      <c r="AD68" s="295">
        <f t="shared" si="22"/>
        <v>0</v>
      </c>
      <c r="AE68" s="296">
        <f t="shared" si="23"/>
        <v>0.278478</v>
      </c>
      <c r="AF68" s="357">
        <v>0</v>
      </c>
      <c r="AG68" s="357">
        <v>0</v>
      </c>
      <c r="AH68" s="254">
        <f t="shared" si="24"/>
        <v>0</v>
      </c>
      <c r="AI68" s="9">
        <f t="shared" si="12"/>
        <v>0</v>
      </c>
      <c r="AJ68" s="9">
        <v>0</v>
      </c>
      <c r="AK68" s="9">
        <f t="shared" si="25"/>
        <v>0</v>
      </c>
      <c r="AL68" s="9">
        <f t="shared" si="26"/>
        <v>0</v>
      </c>
      <c r="AM68" s="9">
        <f t="shared" si="27"/>
        <v>0</v>
      </c>
      <c r="AN68" s="9">
        <f t="shared" si="28"/>
        <v>0</v>
      </c>
      <c r="AO68" s="9">
        <f t="shared" si="13"/>
        <v>6371546</v>
      </c>
      <c r="AP68" s="9">
        <f t="shared" si="29"/>
        <v>6371546</v>
      </c>
      <c r="AQ68" s="9">
        <f t="shared" si="30"/>
        <v>6371546</v>
      </c>
      <c r="AR68" s="291">
        <v>7538993</v>
      </c>
      <c r="AS68" s="9">
        <f t="shared" si="31"/>
        <v>1167447</v>
      </c>
      <c r="AT68" s="297" t="str">
        <f t="shared" si="32"/>
        <v>No</v>
      </c>
      <c r="AU68" s="357">
        <v>6902775</v>
      </c>
      <c r="AV68" s="291">
        <f t="shared" si="14"/>
        <v>97248.335099999997</v>
      </c>
      <c r="AW68" s="291">
        <f t="shared" si="33"/>
        <v>6902775</v>
      </c>
      <c r="AX68" s="291">
        <f t="shared" si="15"/>
        <v>6902775</v>
      </c>
      <c r="AY68" s="358">
        <f t="shared" si="34"/>
        <v>0</v>
      </c>
      <c r="AZ68" s="301"/>
      <c r="BA68" s="301"/>
      <c r="BB68" s="302"/>
      <c r="BC68" s="291">
        <f t="shared" si="35"/>
        <v>6805526.6649000002</v>
      </c>
      <c r="BD68" s="298">
        <f t="shared" si="48"/>
        <v>6708278.3298000004</v>
      </c>
      <c r="BE68" s="298">
        <f t="shared" si="48"/>
        <v>6611029.9947000006</v>
      </c>
      <c r="BF68" s="298">
        <f t="shared" si="48"/>
        <v>6513781.6596000008</v>
      </c>
      <c r="BG68" s="298">
        <f t="shared" si="49"/>
        <v>6416533.324500001</v>
      </c>
      <c r="BH68" s="298">
        <f t="shared" si="49"/>
        <v>6319284.9894000012</v>
      </c>
      <c r="BI68" s="298">
        <f t="shared" si="38"/>
        <v>6371546</v>
      </c>
      <c r="BK68" s="298">
        <f t="shared" si="39"/>
        <v>6805526.6649000002</v>
      </c>
      <c r="BL68" s="298">
        <f t="shared" si="40"/>
        <v>6708278.3298000004</v>
      </c>
      <c r="BM68" s="298">
        <f t="shared" si="41"/>
        <v>6611029.9947000006</v>
      </c>
      <c r="BN68" s="298">
        <f t="shared" si="42"/>
        <v>6513781.6596000008</v>
      </c>
      <c r="BO68" s="298">
        <f t="shared" si="43"/>
        <v>6416533.324500001</v>
      </c>
      <c r="BP68" s="298">
        <f t="shared" si="44"/>
        <v>6319284.9894000012</v>
      </c>
      <c r="BQ68" s="298">
        <f t="shared" si="45"/>
        <v>6371546</v>
      </c>
    </row>
    <row r="69" spans="1:69" ht="15" x14ac:dyDescent="0.2">
      <c r="A69" s="10" t="s">
        <v>6</v>
      </c>
      <c r="B69" s="10">
        <v>1</v>
      </c>
      <c r="C69" s="276">
        <v>1</v>
      </c>
      <c r="D69" s="276">
        <v>0</v>
      </c>
      <c r="E69" s="276">
        <v>1</v>
      </c>
      <c r="F69" s="8">
        <v>10</v>
      </c>
      <c r="G69" s="359">
        <v>9</v>
      </c>
      <c r="H69" s="10">
        <v>43</v>
      </c>
      <c r="I69" s="7" t="s">
        <v>55</v>
      </c>
      <c r="J69" s="287"/>
      <c r="K69" s="356">
        <v>8026.66</v>
      </c>
      <c r="L69" s="359"/>
      <c r="M69" s="289"/>
      <c r="N69" s="357">
        <v>5050</v>
      </c>
      <c r="O69" s="290">
        <f t="shared" si="4"/>
        <v>0.62915334647287913</v>
      </c>
      <c r="P69" s="290">
        <f t="shared" si="19"/>
        <v>2.9153346472879149E-2</v>
      </c>
      <c r="Q69" s="291">
        <f t="shared" si="5"/>
        <v>234.00400000000016</v>
      </c>
      <c r="R69" s="291">
        <f t="shared" si="20"/>
        <v>35.100600000000021</v>
      </c>
      <c r="S69" s="357">
        <v>1076</v>
      </c>
      <c r="T69" s="292">
        <f t="shared" si="6"/>
        <v>1515</v>
      </c>
      <c r="U69" s="254">
        <f t="shared" si="21"/>
        <v>9845.7605999999996</v>
      </c>
      <c r="V69" s="356">
        <v>4158046027</v>
      </c>
      <c r="W69" s="357">
        <v>50453</v>
      </c>
      <c r="X69" s="264">
        <f t="shared" si="7"/>
        <v>82414.25</v>
      </c>
      <c r="Y69" s="293">
        <f t="shared" si="8"/>
        <v>0.428066</v>
      </c>
      <c r="Z69" s="357">
        <v>55468</v>
      </c>
      <c r="AA69" s="293">
        <f t="shared" si="9"/>
        <v>0.460337</v>
      </c>
      <c r="AB69" s="293">
        <f t="shared" si="10"/>
        <v>0.562253</v>
      </c>
      <c r="AC69" s="294">
        <f t="shared" si="11"/>
        <v>0.562253</v>
      </c>
      <c r="AD69" s="295">
        <f t="shared" si="22"/>
        <v>0.05</v>
      </c>
      <c r="AE69" s="296">
        <f t="shared" si="23"/>
        <v>0.61225300000000005</v>
      </c>
      <c r="AF69" s="357">
        <v>0</v>
      </c>
      <c r="AG69" s="357">
        <v>0</v>
      </c>
      <c r="AH69" s="254">
        <f t="shared" si="24"/>
        <v>0</v>
      </c>
      <c r="AI69" s="9">
        <f t="shared" si="12"/>
        <v>0</v>
      </c>
      <c r="AJ69" s="9">
        <v>0</v>
      </c>
      <c r="AK69" s="9">
        <f t="shared" si="25"/>
        <v>0</v>
      </c>
      <c r="AL69" s="9">
        <f t="shared" si="26"/>
        <v>0</v>
      </c>
      <c r="AM69" s="9">
        <f t="shared" si="27"/>
        <v>0</v>
      </c>
      <c r="AN69" s="9">
        <f t="shared" si="28"/>
        <v>0</v>
      </c>
      <c r="AO69" s="9">
        <f t="shared" si="13"/>
        <v>69473812</v>
      </c>
      <c r="AP69" s="9">
        <f t="shared" si="29"/>
        <v>69473812</v>
      </c>
      <c r="AQ69" s="9">
        <f t="shared" si="30"/>
        <v>69473812</v>
      </c>
      <c r="AR69" s="291">
        <v>49075156</v>
      </c>
      <c r="AS69" s="9">
        <f t="shared" si="31"/>
        <v>20398656</v>
      </c>
      <c r="AT69" s="297" t="str">
        <f t="shared" si="32"/>
        <v>Yes</v>
      </c>
      <c r="AU69" s="357">
        <v>56561508.729599997</v>
      </c>
      <c r="AV69" s="291">
        <f t="shared" si="14"/>
        <v>2174496.7296000002</v>
      </c>
      <c r="AW69" s="291">
        <f t="shared" si="33"/>
        <v>58736005.459199995</v>
      </c>
      <c r="AX69" s="291">
        <f t="shared" si="15"/>
        <v>58736005.459199995</v>
      </c>
      <c r="AY69" s="358">
        <f t="shared" si="34"/>
        <v>2174496.7295999974</v>
      </c>
      <c r="AZ69" s="301"/>
      <c r="BA69" s="301"/>
      <c r="BB69" s="302"/>
      <c r="BC69" s="291">
        <f t="shared" si="35"/>
        <v>60910502.188799992</v>
      </c>
      <c r="BD69" s="298">
        <f t="shared" si="48"/>
        <v>63084998.91839999</v>
      </c>
      <c r="BE69" s="298">
        <f t="shared" si="48"/>
        <v>65259495.647999987</v>
      </c>
      <c r="BF69" s="298">
        <f t="shared" si="48"/>
        <v>67433992.377599984</v>
      </c>
      <c r="BG69" s="298">
        <f t="shared" si="49"/>
        <v>69473812</v>
      </c>
      <c r="BH69" s="298">
        <f t="shared" si="49"/>
        <v>69473812</v>
      </c>
      <c r="BI69" s="298">
        <f t="shared" si="38"/>
        <v>69473812</v>
      </c>
      <c r="BK69" s="298">
        <f t="shared" si="39"/>
        <v>60910502.188799992</v>
      </c>
      <c r="BL69" s="298">
        <f t="shared" si="40"/>
        <v>63084998.91839999</v>
      </c>
      <c r="BM69" s="298">
        <f t="shared" si="41"/>
        <v>65259495.647999987</v>
      </c>
      <c r="BN69" s="298">
        <f t="shared" si="42"/>
        <v>67433992.377599984</v>
      </c>
      <c r="BO69" s="298">
        <f t="shared" si="43"/>
        <v>69473812</v>
      </c>
      <c r="BP69" s="298">
        <f t="shared" si="44"/>
        <v>69473812</v>
      </c>
      <c r="BQ69" s="298">
        <f t="shared" si="45"/>
        <v>69473812</v>
      </c>
    </row>
    <row r="70" spans="1:69" ht="15" x14ac:dyDescent="0.2">
      <c r="A70" s="10" t="s">
        <v>19</v>
      </c>
      <c r="B70" s="10"/>
      <c r="C70" s="276">
        <v>1</v>
      </c>
      <c r="D70" s="276">
        <v>1</v>
      </c>
      <c r="E70" s="276"/>
      <c r="F70" s="8">
        <v>9</v>
      </c>
      <c r="G70" s="359">
        <v>26</v>
      </c>
      <c r="H70" s="10">
        <v>44</v>
      </c>
      <c r="I70" s="7" t="s">
        <v>56</v>
      </c>
      <c r="J70" s="287"/>
      <c r="K70" s="356">
        <v>3136.07</v>
      </c>
      <c r="L70" s="359"/>
      <c r="M70" s="289"/>
      <c r="N70" s="357">
        <v>1605</v>
      </c>
      <c r="O70" s="290">
        <f t="shared" si="4"/>
        <v>0.51178704556977361</v>
      </c>
      <c r="P70" s="290">
        <f t="shared" si="19"/>
        <v>0</v>
      </c>
      <c r="Q70" s="291">
        <f t="shared" si="5"/>
        <v>0</v>
      </c>
      <c r="R70" s="291">
        <f t="shared" si="20"/>
        <v>0</v>
      </c>
      <c r="S70" s="357">
        <v>272</v>
      </c>
      <c r="T70" s="292">
        <f t="shared" si="6"/>
        <v>481.5</v>
      </c>
      <c r="U70" s="254">
        <f t="shared" si="21"/>
        <v>3685.57</v>
      </c>
      <c r="V70" s="356">
        <v>2907842389.3299999</v>
      </c>
      <c r="W70" s="357">
        <v>28860</v>
      </c>
      <c r="X70" s="264">
        <f t="shared" si="7"/>
        <v>100756.84</v>
      </c>
      <c r="Y70" s="293">
        <f t="shared" si="8"/>
        <v>0.523339</v>
      </c>
      <c r="Z70" s="357">
        <v>65333</v>
      </c>
      <c r="AA70" s="293">
        <f t="shared" si="9"/>
        <v>0.54220800000000002</v>
      </c>
      <c r="AB70" s="293">
        <f t="shared" si="10"/>
        <v>0.47099999999999997</v>
      </c>
      <c r="AC70" s="294">
        <f t="shared" si="11"/>
        <v>0.47099999999999997</v>
      </c>
      <c r="AD70" s="295">
        <f t="shared" si="22"/>
        <v>0</v>
      </c>
      <c r="AE70" s="296">
        <f t="shared" si="23"/>
        <v>0.47099999999999997</v>
      </c>
      <c r="AF70" s="357">
        <v>0</v>
      </c>
      <c r="AG70" s="357">
        <v>0</v>
      </c>
      <c r="AH70" s="254">
        <f t="shared" si="24"/>
        <v>0</v>
      </c>
      <c r="AI70" s="9">
        <f t="shared" si="12"/>
        <v>0</v>
      </c>
      <c r="AJ70" s="9">
        <v>0</v>
      </c>
      <c r="AK70" s="9">
        <f t="shared" si="25"/>
        <v>0</v>
      </c>
      <c r="AL70" s="9">
        <f t="shared" si="26"/>
        <v>0</v>
      </c>
      <c r="AM70" s="9">
        <f t="shared" si="27"/>
        <v>0</v>
      </c>
      <c r="AN70" s="9">
        <f t="shared" si="28"/>
        <v>0</v>
      </c>
      <c r="AO70" s="9">
        <f t="shared" si="13"/>
        <v>20006287</v>
      </c>
      <c r="AP70" s="9">
        <f t="shared" si="29"/>
        <v>20006287</v>
      </c>
      <c r="AQ70" s="9">
        <f t="shared" si="30"/>
        <v>20006287</v>
      </c>
      <c r="AR70" s="291">
        <v>19595415</v>
      </c>
      <c r="AS70" s="9">
        <f t="shared" si="31"/>
        <v>410872</v>
      </c>
      <c r="AT70" s="297" t="str">
        <f t="shared" si="32"/>
        <v>Yes</v>
      </c>
      <c r="AU70" s="357">
        <v>19869201.955200002</v>
      </c>
      <c r="AV70" s="291">
        <f t="shared" si="14"/>
        <v>43798.955199999997</v>
      </c>
      <c r="AW70" s="291">
        <f t="shared" si="33"/>
        <v>19913000.910400003</v>
      </c>
      <c r="AX70" s="291">
        <f t="shared" si="15"/>
        <v>19913000.910400003</v>
      </c>
      <c r="AY70" s="358">
        <f t="shared" si="34"/>
        <v>43798.955200001597</v>
      </c>
      <c r="AZ70" s="301"/>
      <c r="BA70" s="301"/>
      <c r="BB70" s="302"/>
      <c r="BC70" s="291">
        <f t="shared" si="35"/>
        <v>19956799.865600005</v>
      </c>
      <c r="BD70" s="298">
        <f t="shared" si="48"/>
        <v>20000598.820800006</v>
      </c>
      <c r="BE70" s="298">
        <f t="shared" si="48"/>
        <v>20044397.776000008</v>
      </c>
      <c r="BF70" s="298">
        <f t="shared" si="48"/>
        <v>20088196.73120001</v>
      </c>
      <c r="BG70" s="298">
        <f t="shared" si="49"/>
        <v>20006287</v>
      </c>
      <c r="BH70" s="298">
        <f t="shared" si="49"/>
        <v>20006287</v>
      </c>
      <c r="BI70" s="298">
        <f t="shared" si="38"/>
        <v>20006287</v>
      </c>
      <c r="BK70" s="298">
        <f t="shared" si="39"/>
        <v>19956799.865600005</v>
      </c>
      <c r="BL70" s="298">
        <f t="shared" si="40"/>
        <v>20000598.820800006</v>
      </c>
      <c r="BM70" s="298">
        <f t="shared" si="41"/>
        <v>20044397.776000008</v>
      </c>
      <c r="BN70" s="298">
        <f t="shared" si="42"/>
        <v>20088196.73120001</v>
      </c>
      <c r="BO70" s="298">
        <f t="shared" si="43"/>
        <v>20006287</v>
      </c>
      <c r="BP70" s="298">
        <f t="shared" si="44"/>
        <v>20006287</v>
      </c>
      <c r="BQ70" s="298">
        <f t="shared" si="45"/>
        <v>20006287</v>
      </c>
    </row>
    <row r="71" spans="1:69" ht="15" x14ac:dyDescent="0.2">
      <c r="A71" s="10" t="s">
        <v>14</v>
      </c>
      <c r="B71" s="10"/>
      <c r="C71" s="276"/>
      <c r="D71" s="276"/>
      <c r="E71" s="276"/>
      <c r="F71" s="8">
        <v>4</v>
      </c>
      <c r="G71" s="355">
        <v>72</v>
      </c>
      <c r="H71" s="10">
        <v>45</v>
      </c>
      <c r="I71" s="7" t="s">
        <v>57</v>
      </c>
      <c r="J71" s="287"/>
      <c r="K71" s="356">
        <v>2462.02</v>
      </c>
      <c r="L71" s="355"/>
      <c r="M71" s="289"/>
      <c r="N71" s="357">
        <v>578</v>
      </c>
      <c r="O71" s="290">
        <f t="shared" si="4"/>
        <v>0.23476657378900254</v>
      </c>
      <c r="P71" s="290">
        <f t="shared" si="19"/>
        <v>0</v>
      </c>
      <c r="Q71" s="291">
        <f t="shared" si="5"/>
        <v>0</v>
      </c>
      <c r="R71" s="291">
        <f t="shared" si="20"/>
        <v>0</v>
      </c>
      <c r="S71" s="357">
        <v>57</v>
      </c>
      <c r="T71" s="292">
        <f t="shared" si="6"/>
        <v>173.4</v>
      </c>
      <c r="U71" s="254">
        <f t="shared" si="21"/>
        <v>2649.67</v>
      </c>
      <c r="V71" s="356">
        <v>3235230338</v>
      </c>
      <c r="W71" s="357">
        <v>18766</v>
      </c>
      <c r="X71" s="264">
        <f t="shared" si="7"/>
        <v>172398.5</v>
      </c>
      <c r="Y71" s="293">
        <f t="shared" si="8"/>
        <v>0.89545200000000003</v>
      </c>
      <c r="Z71" s="357">
        <v>93416</v>
      </c>
      <c r="AA71" s="293">
        <f t="shared" si="9"/>
        <v>0.77527400000000002</v>
      </c>
      <c r="AB71" s="293">
        <f t="shared" si="10"/>
        <v>0.140601</v>
      </c>
      <c r="AC71" s="294">
        <f t="shared" si="11"/>
        <v>0.140601</v>
      </c>
      <c r="AD71" s="295">
        <f t="shared" si="22"/>
        <v>0</v>
      </c>
      <c r="AE71" s="296">
        <f t="shared" si="23"/>
        <v>0.140601</v>
      </c>
      <c r="AF71" s="357">
        <v>0</v>
      </c>
      <c r="AG71" s="357">
        <v>0</v>
      </c>
      <c r="AH71" s="254">
        <f t="shared" si="24"/>
        <v>0</v>
      </c>
      <c r="AI71" s="9">
        <f t="shared" si="12"/>
        <v>0</v>
      </c>
      <c r="AJ71" s="9">
        <v>0</v>
      </c>
      <c r="AK71" s="9">
        <f t="shared" si="25"/>
        <v>0</v>
      </c>
      <c r="AL71" s="9">
        <f t="shared" si="26"/>
        <v>0</v>
      </c>
      <c r="AM71" s="9">
        <f t="shared" si="27"/>
        <v>0</v>
      </c>
      <c r="AN71" s="9">
        <f t="shared" si="28"/>
        <v>0</v>
      </c>
      <c r="AO71" s="9">
        <f t="shared" si="13"/>
        <v>4293596</v>
      </c>
      <c r="AP71" s="9">
        <f t="shared" si="29"/>
        <v>4293596</v>
      </c>
      <c r="AQ71" s="9">
        <f t="shared" si="30"/>
        <v>4293596</v>
      </c>
      <c r="AR71" s="291">
        <v>6918462</v>
      </c>
      <c r="AS71" s="9">
        <f t="shared" si="31"/>
        <v>2624866</v>
      </c>
      <c r="AT71" s="297" t="str">
        <f t="shared" si="32"/>
        <v>No</v>
      </c>
      <c r="AU71" s="357">
        <v>6076507</v>
      </c>
      <c r="AV71" s="291">
        <f t="shared" si="14"/>
        <v>218651.33780000001</v>
      </c>
      <c r="AW71" s="291">
        <f t="shared" si="33"/>
        <v>6076507</v>
      </c>
      <c r="AX71" s="291">
        <f t="shared" si="15"/>
        <v>6076507</v>
      </c>
      <c r="AY71" s="358">
        <f t="shared" si="34"/>
        <v>0</v>
      </c>
      <c r="AZ71" s="301"/>
      <c r="BA71" s="301"/>
      <c r="BB71" s="302"/>
      <c r="BC71" s="291">
        <f t="shared" si="35"/>
        <v>5857855.6622000001</v>
      </c>
      <c r="BD71" s="298">
        <f t="shared" si="48"/>
        <v>5639204.3244000003</v>
      </c>
      <c r="BE71" s="298">
        <f t="shared" si="48"/>
        <v>5420552.9866000004</v>
      </c>
      <c r="BF71" s="298">
        <f t="shared" si="48"/>
        <v>5201901.6488000005</v>
      </c>
      <c r="BG71" s="298">
        <f t="shared" si="49"/>
        <v>4983250.3110000007</v>
      </c>
      <c r="BH71" s="298">
        <f t="shared" si="49"/>
        <v>4764598.9732000008</v>
      </c>
      <c r="BI71" s="298">
        <f t="shared" si="38"/>
        <v>4293596</v>
      </c>
      <c r="BK71" s="298">
        <f t="shared" si="39"/>
        <v>5857855.6622000001</v>
      </c>
      <c r="BL71" s="298">
        <f t="shared" si="40"/>
        <v>5639204.3244000003</v>
      </c>
      <c r="BM71" s="298">
        <f t="shared" si="41"/>
        <v>5420552.9866000004</v>
      </c>
      <c r="BN71" s="298">
        <f t="shared" si="42"/>
        <v>5201901.6488000005</v>
      </c>
      <c r="BO71" s="298">
        <f t="shared" si="43"/>
        <v>4983250.3110000007</v>
      </c>
      <c r="BP71" s="298">
        <f t="shared" si="44"/>
        <v>4764598.9732000008</v>
      </c>
      <c r="BQ71" s="298">
        <f t="shared" si="45"/>
        <v>4293596</v>
      </c>
    </row>
    <row r="72" spans="1:69" ht="15" x14ac:dyDescent="0.2">
      <c r="A72" s="10" t="s">
        <v>46</v>
      </c>
      <c r="B72" s="10"/>
      <c r="C72" s="276"/>
      <c r="D72" s="276"/>
      <c r="E72" s="276"/>
      <c r="F72" s="8">
        <v>1</v>
      </c>
      <c r="G72" s="355">
        <v>148</v>
      </c>
      <c r="H72" s="10">
        <v>46</v>
      </c>
      <c r="I72" s="7" t="s">
        <v>58</v>
      </c>
      <c r="J72" s="287"/>
      <c r="K72" s="356">
        <v>1249.94</v>
      </c>
      <c r="L72" s="355"/>
      <c r="M72" s="289"/>
      <c r="N72" s="357">
        <v>128</v>
      </c>
      <c r="O72" s="290">
        <f t="shared" si="4"/>
        <v>0.10240491543594092</v>
      </c>
      <c r="P72" s="290">
        <f t="shared" si="19"/>
        <v>0</v>
      </c>
      <c r="Q72" s="291">
        <f t="shared" si="5"/>
        <v>0</v>
      </c>
      <c r="R72" s="291">
        <f t="shared" si="20"/>
        <v>0</v>
      </c>
      <c r="S72" s="357">
        <v>16</v>
      </c>
      <c r="T72" s="292">
        <f t="shared" si="6"/>
        <v>38.4</v>
      </c>
      <c r="U72" s="254">
        <f t="shared" si="21"/>
        <v>1292.3400000000001</v>
      </c>
      <c r="V72" s="356">
        <v>1783716354.3299999</v>
      </c>
      <c r="W72" s="357">
        <v>7558</v>
      </c>
      <c r="X72" s="264">
        <f t="shared" si="7"/>
        <v>236003.75</v>
      </c>
      <c r="Y72" s="293">
        <f t="shared" si="8"/>
        <v>1.2258230000000001</v>
      </c>
      <c r="Z72" s="357">
        <v>142841</v>
      </c>
      <c r="AA72" s="293">
        <f t="shared" si="9"/>
        <v>1.185459</v>
      </c>
      <c r="AB72" s="293">
        <f t="shared" si="10"/>
        <v>-0.21371399999999999</v>
      </c>
      <c r="AC72" s="294">
        <f t="shared" si="11"/>
        <v>0.01</v>
      </c>
      <c r="AD72" s="295">
        <f t="shared" si="22"/>
        <v>0</v>
      </c>
      <c r="AE72" s="296">
        <f t="shared" si="23"/>
        <v>0.01</v>
      </c>
      <c r="AF72" s="357">
        <v>414</v>
      </c>
      <c r="AG72" s="357">
        <v>4</v>
      </c>
      <c r="AH72" s="254">
        <f t="shared" si="24"/>
        <v>400</v>
      </c>
      <c r="AI72" s="9">
        <f t="shared" si="12"/>
        <v>165600</v>
      </c>
      <c r="AJ72" s="9">
        <v>0</v>
      </c>
      <c r="AK72" s="9">
        <f t="shared" si="25"/>
        <v>0</v>
      </c>
      <c r="AL72" s="9">
        <f t="shared" si="26"/>
        <v>0</v>
      </c>
      <c r="AM72" s="9">
        <f t="shared" si="27"/>
        <v>0</v>
      </c>
      <c r="AN72" s="9">
        <f t="shared" si="28"/>
        <v>165600</v>
      </c>
      <c r="AO72" s="9">
        <f t="shared" si="13"/>
        <v>148942</v>
      </c>
      <c r="AP72" s="9">
        <f t="shared" si="29"/>
        <v>314542</v>
      </c>
      <c r="AQ72" s="9">
        <f t="shared" si="30"/>
        <v>314542</v>
      </c>
      <c r="AR72" s="291">
        <v>177907</v>
      </c>
      <c r="AS72" s="9">
        <f t="shared" si="31"/>
        <v>136635</v>
      </c>
      <c r="AT72" s="297" t="str">
        <f t="shared" si="32"/>
        <v>Yes</v>
      </c>
      <c r="AU72" s="357">
        <v>186645.291</v>
      </c>
      <c r="AV72" s="291">
        <f t="shared" si="14"/>
        <v>14565.290999999999</v>
      </c>
      <c r="AW72" s="291">
        <f t="shared" si="33"/>
        <v>201210.58199999999</v>
      </c>
      <c r="AX72" s="291">
        <f t="shared" si="15"/>
        <v>201210.58199999999</v>
      </c>
      <c r="AY72" s="358">
        <f t="shared" si="34"/>
        <v>14565.290999999997</v>
      </c>
      <c r="AZ72" s="301"/>
      <c r="BA72" s="301"/>
      <c r="BB72" s="302"/>
      <c r="BC72" s="291">
        <f t="shared" si="35"/>
        <v>215775.87299999999</v>
      </c>
      <c r="BD72" s="298">
        <f t="shared" si="48"/>
        <v>230341.16399999999</v>
      </c>
      <c r="BE72" s="298">
        <f t="shared" si="48"/>
        <v>244906.45499999999</v>
      </c>
      <c r="BF72" s="298">
        <f t="shared" si="48"/>
        <v>259471.74599999998</v>
      </c>
      <c r="BG72" s="298">
        <f t="shared" si="49"/>
        <v>314542</v>
      </c>
      <c r="BH72" s="298">
        <f t="shared" si="49"/>
        <v>314542</v>
      </c>
      <c r="BI72" s="298">
        <f t="shared" si="38"/>
        <v>314542</v>
      </c>
      <c r="BK72" s="298">
        <f t="shared" si="39"/>
        <v>215775.87299999999</v>
      </c>
      <c r="BL72" s="298">
        <f t="shared" si="40"/>
        <v>230341.16399999999</v>
      </c>
      <c r="BM72" s="298">
        <f t="shared" si="41"/>
        <v>244906.45499999999</v>
      </c>
      <c r="BN72" s="298">
        <f t="shared" si="42"/>
        <v>259471.74599999998</v>
      </c>
      <c r="BO72" s="298">
        <f t="shared" si="43"/>
        <v>314542</v>
      </c>
      <c r="BP72" s="298">
        <f t="shared" si="44"/>
        <v>314542</v>
      </c>
      <c r="BQ72" s="298">
        <f t="shared" si="45"/>
        <v>314542</v>
      </c>
    </row>
    <row r="73" spans="1:69" ht="15" x14ac:dyDescent="0.2">
      <c r="A73" s="10" t="s">
        <v>32</v>
      </c>
      <c r="B73" s="10"/>
      <c r="C73" s="276">
        <v>1</v>
      </c>
      <c r="D73" s="276">
        <v>1</v>
      </c>
      <c r="E73" s="276"/>
      <c r="F73" s="8">
        <v>8</v>
      </c>
      <c r="G73" s="359">
        <v>34</v>
      </c>
      <c r="H73" s="10">
        <v>47</v>
      </c>
      <c r="I73" s="7" t="s">
        <v>59</v>
      </c>
      <c r="J73" s="287"/>
      <c r="K73" s="356">
        <v>1116.52</v>
      </c>
      <c r="L73" s="359"/>
      <c r="M73" s="289"/>
      <c r="N73" s="357">
        <v>509</v>
      </c>
      <c r="O73" s="290">
        <f t="shared" si="4"/>
        <v>0.455880772399957</v>
      </c>
      <c r="P73" s="290">
        <f t="shared" si="19"/>
        <v>0</v>
      </c>
      <c r="Q73" s="291">
        <f t="shared" si="5"/>
        <v>0</v>
      </c>
      <c r="R73" s="291">
        <f t="shared" si="20"/>
        <v>0</v>
      </c>
      <c r="S73" s="357">
        <v>77</v>
      </c>
      <c r="T73" s="292">
        <f t="shared" si="6"/>
        <v>152.69999999999999</v>
      </c>
      <c r="U73" s="254">
        <f t="shared" si="21"/>
        <v>1288.47</v>
      </c>
      <c r="V73" s="356">
        <v>1410573865.6700001</v>
      </c>
      <c r="W73" s="357">
        <v>11379</v>
      </c>
      <c r="X73" s="264">
        <f t="shared" si="7"/>
        <v>123962.9</v>
      </c>
      <c r="Y73" s="293">
        <f t="shared" si="8"/>
        <v>0.64387399999999995</v>
      </c>
      <c r="Z73" s="357">
        <v>74974</v>
      </c>
      <c r="AA73" s="293">
        <f t="shared" si="9"/>
        <v>0.62222100000000002</v>
      </c>
      <c r="AB73" s="293">
        <f t="shared" si="10"/>
        <v>0.362622</v>
      </c>
      <c r="AC73" s="294">
        <f t="shared" si="11"/>
        <v>0.362622</v>
      </c>
      <c r="AD73" s="295">
        <f t="shared" si="22"/>
        <v>0</v>
      </c>
      <c r="AE73" s="296">
        <f t="shared" si="23"/>
        <v>0.362622</v>
      </c>
      <c r="AF73" s="357">
        <v>0</v>
      </c>
      <c r="AG73" s="357">
        <v>0</v>
      </c>
      <c r="AH73" s="254">
        <f t="shared" si="24"/>
        <v>0</v>
      </c>
      <c r="AI73" s="9">
        <f t="shared" si="12"/>
        <v>0</v>
      </c>
      <c r="AJ73" s="9">
        <v>0</v>
      </c>
      <c r="AK73" s="9">
        <f t="shared" si="25"/>
        <v>0</v>
      </c>
      <c r="AL73" s="9">
        <f t="shared" si="26"/>
        <v>0</v>
      </c>
      <c r="AM73" s="9">
        <f t="shared" si="27"/>
        <v>0</v>
      </c>
      <c r="AN73" s="9">
        <f t="shared" si="28"/>
        <v>0</v>
      </c>
      <c r="AO73" s="9">
        <f t="shared" si="13"/>
        <v>5384798</v>
      </c>
      <c r="AP73" s="9">
        <f t="shared" si="29"/>
        <v>5384798</v>
      </c>
      <c r="AQ73" s="9">
        <f t="shared" si="30"/>
        <v>5669122</v>
      </c>
      <c r="AR73" s="291">
        <v>5669122</v>
      </c>
      <c r="AS73" s="9">
        <f t="shared" si="31"/>
        <v>284324</v>
      </c>
      <c r="AT73" s="297" t="str">
        <f t="shared" si="32"/>
        <v>No</v>
      </c>
      <c r="AU73" s="357">
        <v>5669122</v>
      </c>
      <c r="AV73" s="291">
        <f t="shared" si="14"/>
        <v>23684.189200000001</v>
      </c>
      <c r="AW73" s="291">
        <f t="shared" si="33"/>
        <v>5669122</v>
      </c>
      <c r="AX73" s="291">
        <f t="shared" si="15"/>
        <v>5669122</v>
      </c>
      <c r="AY73" s="358">
        <f t="shared" si="34"/>
        <v>0</v>
      </c>
      <c r="AZ73" s="301"/>
      <c r="BA73" s="301"/>
      <c r="BB73" s="302"/>
      <c r="BC73" s="291">
        <f t="shared" si="35"/>
        <v>5645437.8108000001</v>
      </c>
      <c r="BD73" s="298">
        <f t="shared" si="48"/>
        <v>5621753.6216000002</v>
      </c>
      <c r="BE73" s="298">
        <f t="shared" si="48"/>
        <v>5598069.4324000003</v>
      </c>
      <c r="BF73" s="298">
        <f t="shared" si="48"/>
        <v>5574385.2432000004</v>
      </c>
      <c r="BG73" s="298">
        <f t="shared" si="49"/>
        <v>5550701.0540000005</v>
      </c>
      <c r="BH73" s="298">
        <f t="shared" si="49"/>
        <v>5527016.8648000006</v>
      </c>
      <c r="BI73" s="298">
        <f t="shared" si="38"/>
        <v>5384798</v>
      </c>
      <c r="BK73" s="298">
        <f t="shared" si="39"/>
        <v>5669122</v>
      </c>
      <c r="BL73" s="298">
        <f t="shared" si="40"/>
        <v>5669122</v>
      </c>
      <c r="BM73" s="298">
        <f t="shared" si="41"/>
        <v>5669122</v>
      </c>
      <c r="BN73" s="298">
        <f t="shared" si="42"/>
        <v>5669122</v>
      </c>
      <c r="BO73" s="298">
        <f t="shared" si="43"/>
        <v>5669122</v>
      </c>
      <c r="BP73" s="298">
        <f t="shared" si="44"/>
        <v>5669122</v>
      </c>
      <c r="BQ73" s="298">
        <f t="shared" si="45"/>
        <v>5669122</v>
      </c>
    </row>
    <row r="74" spans="1:69" ht="15" x14ac:dyDescent="0.2">
      <c r="A74" s="10" t="s">
        <v>4</v>
      </c>
      <c r="B74" s="10"/>
      <c r="C74" s="276"/>
      <c r="D74" s="276"/>
      <c r="E74" s="276"/>
      <c r="F74" s="8">
        <v>7</v>
      </c>
      <c r="G74" s="355">
        <v>92</v>
      </c>
      <c r="H74" s="10">
        <v>48</v>
      </c>
      <c r="I74" s="7" t="s">
        <v>60</v>
      </c>
      <c r="J74" s="287"/>
      <c r="K74" s="356">
        <v>2627.05</v>
      </c>
      <c r="L74" s="355"/>
      <c r="M74" s="289"/>
      <c r="N74" s="357">
        <v>413</v>
      </c>
      <c r="O74" s="290">
        <f t="shared" si="4"/>
        <v>0.15721055937268036</v>
      </c>
      <c r="P74" s="290">
        <f t="shared" si="19"/>
        <v>0</v>
      </c>
      <c r="Q74" s="291">
        <f t="shared" si="5"/>
        <v>0</v>
      </c>
      <c r="R74" s="291">
        <f t="shared" si="20"/>
        <v>0</v>
      </c>
      <c r="S74" s="357">
        <v>41</v>
      </c>
      <c r="T74" s="292">
        <f t="shared" si="6"/>
        <v>123.9</v>
      </c>
      <c r="U74" s="254">
        <f t="shared" si="21"/>
        <v>2761.2000000000003</v>
      </c>
      <c r="V74" s="356">
        <v>2020035213.6700001</v>
      </c>
      <c r="W74" s="357">
        <v>16041</v>
      </c>
      <c r="X74" s="264">
        <f t="shared" si="7"/>
        <v>125929.51</v>
      </c>
      <c r="Y74" s="293">
        <f t="shared" si="8"/>
        <v>0.654088</v>
      </c>
      <c r="Z74" s="357">
        <v>85572</v>
      </c>
      <c r="AA74" s="293">
        <f t="shared" si="9"/>
        <v>0.710175</v>
      </c>
      <c r="AB74" s="293">
        <f t="shared" si="10"/>
        <v>0.32908599999999999</v>
      </c>
      <c r="AC74" s="294">
        <f t="shared" si="11"/>
        <v>0.32908599999999999</v>
      </c>
      <c r="AD74" s="295">
        <f t="shared" si="22"/>
        <v>0</v>
      </c>
      <c r="AE74" s="296">
        <f t="shared" si="23"/>
        <v>0.32908599999999999</v>
      </c>
      <c r="AF74" s="357">
        <v>0</v>
      </c>
      <c r="AG74" s="357">
        <v>0</v>
      </c>
      <c r="AH74" s="254">
        <f t="shared" si="24"/>
        <v>0</v>
      </c>
      <c r="AI74" s="9">
        <f t="shared" si="12"/>
        <v>0</v>
      </c>
      <c r="AJ74" s="9">
        <v>0</v>
      </c>
      <c r="AK74" s="9">
        <f t="shared" si="25"/>
        <v>0</v>
      </c>
      <c r="AL74" s="9">
        <f t="shared" si="26"/>
        <v>0</v>
      </c>
      <c r="AM74" s="9">
        <f t="shared" si="27"/>
        <v>0</v>
      </c>
      <c r="AN74" s="9">
        <f t="shared" si="28"/>
        <v>0</v>
      </c>
      <c r="AO74" s="9">
        <f t="shared" si="13"/>
        <v>10472448</v>
      </c>
      <c r="AP74" s="9">
        <f t="shared" si="29"/>
        <v>10472448</v>
      </c>
      <c r="AQ74" s="9">
        <f t="shared" si="30"/>
        <v>10472448</v>
      </c>
      <c r="AR74" s="291">
        <v>9684435</v>
      </c>
      <c r="AS74" s="9">
        <f t="shared" si="31"/>
        <v>788013</v>
      </c>
      <c r="AT74" s="297" t="str">
        <f t="shared" si="32"/>
        <v>Yes</v>
      </c>
      <c r="AU74" s="357">
        <v>10030891.185799999</v>
      </c>
      <c r="AV74" s="291">
        <f t="shared" si="14"/>
        <v>84002.185800000007</v>
      </c>
      <c r="AW74" s="291">
        <f t="shared" si="33"/>
        <v>10114893.371599998</v>
      </c>
      <c r="AX74" s="291">
        <f t="shared" si="15"/>
        <v>10114893.371599998</v>
      </c>
      <c r="AY74" s="358">
        <f t="shared" si="34"/>
        <v>84002.185799999163</v>
      </c>
      <c r="AZ74" s="301"/>
      <c r="BA74" s="301"/>
      <c r="BB74" s="302"/>
      <c r="BC74" s="291">
        <f t="shared" si="35"/>
        <v>10198895.557399997</v>
      </c>
      <c r="BD74" s="298">
        <f t="shared" si="48"/>
        <v>10282897.743199997</v>
      </c>
      <c r="BE74" s="298">
        <f t="shared" si="48"/>
        <v>10366899.928999996</v>
      </c>
      <c r="BF74" s="298">
        <f t="shared" si="48"/>
        <v>10450902.114799995</v>
      </c>
      <c r="BG74" s="298">
        <f t="shared" si="49"/>
        <v>10472448</v>
      </c>
      <c r="BH74" s="298">
        <f t="shared" si="49"/>
        <v>10472448</v>
      </c>
      <c r="BI74" s="298">
        <f t="shared" si="38"/>
        <v>10472448</v>
      </c>
      <c r="BK74" s="298">
        <f t="shared" si="39"/>
        <v>10198895.557399997</v>
      </c>
      <c r="BL74" s="298">
        <f t="shared" si="40"/>
        <v>10282897.743199997</v>
      </c>
      <c r="BM74" s="298">
        <f t="shared" si="41"/>
        <v>10366899.928999996</v>
      </c>
      <c r="BN74" s="298">
        <f t="shared" si="42"/>
        <v>10450902.114799995</v>
      </c>
      <c r="BO74" s="298">
        <f t="shared" si="43"/>
        <v>10472448</v>
      </c>
      <c r="BP74" s="298">
        <f t="shared" si="44"/>
        <v>10472448</v>
      </c>
      <c r="BQ74" s="298">
        <f t="shared" si="45"/>
        <v>10472448</v>
      </c>
    </row>
    <row r="75" spans="1:69" ht="15" x14ac:dyDescent="0.2">
      <c r="A75" s="10" t="s">
        <v>32</v>
      </c>
      <c r="B75" s="10"/>
      <c r="C75" s="276"/>
      <c r="D75" s="276"/>
      <c r="E75" s="276"/>
      <c r="F75" s="8">
        <v>9</v>
      </c>
      <c r="G75" s="359">
        <v>32</v>
      </c>
      <c r="H75" s="10">
        <v>49</v>
      </c>
      <c r="I75" s="7" t="s">
        <v>61</v>
      </c>
      <c r="J75" s="287"/>
      <c r="K75" s="356">
        <v>5164.76</v>
      </c>
      <c r="L75" s="359"/>
      <c r="M75" s="289"/>
      <c r="N75" s="357">
        <v>2401</v>
      </c>
      <c r="O75" s="290">
        <f t="shared" si="4"/>
        <v>0.46488123359071865</v>
      </c>
      <c r="P75" s="290">
        <f t="shared" si="19"/>
        <v>0</v>
      </c>
      <c r="Q75" s="291">
        <f t="shared" si="5"/>
        <v>0</v>
      </c>
      <c r="R75" s="291">
        <f t="shared" si="20"/>
        <v>0</v>
      </c>
      <c r="S75" s="357">
        <v>143</v>
      </c>
      <c r="T75" s="292">
        <f t="shared" si="6"/>
        <v>720.3</v>
      </c>
      <c r="U75" s="254">
        <f t="shared" si="21"/>
        <v>5920.81</v>
      </c>
      <c r="V75" s="356">
        <v>4321096338.6700001</v>
      </c>
      <c r="W75" s="357">
        <v>44455</v>
      </c>
      <c r="X75" s="264">
        <f t="shared" si="7"/>
        <v>97201.58</v>
      </c>
      <c r="Y75" s="293">
        <f t="shared" si="8"/>
        <v>0.50487300000000002</v>
      </c>
      <c r="Z75" s="357">
        <v>76423</v>
      </c>
      <c r="AA75" s="293">
        <f t="shared" si="9"/>
        <v>0.63424599999999998</v>
      </c>
      <c r="AB75" s="293">
        <f t="shared" si="10"/>
        <v>0.45631500000000003</v>
      </c>
      <c r="AC75" s="294">
        <f t="shared" si="11"/>
        <v>0.45631500000000003</v>
      </c>
      <c r="AD75" s="295">
        <f t="shared" si="22"/>
        <v>0</v>
      </c>
      <c r="AE75" s="296">
        <f t="shared" si="23"/>
        <v>0.45631500000000003</v>
      </c>
      <c r="AF75" s="357">
        <v>0</v>
      </c>
      <c r="AG75" s="357">
        <v>0</v>
      </c>
      <c r="AH75" s="254">
        <f t="shared" si="24"/>
        <v>0</v>
      </c>
      <c r="AI75" s="9">
        <f t="shared" si="12"/>
        <v>0</v>
      </c>
      <c r="AJ75" s="9">
        <v>0</v>
      </c>
      <c r="AK75" s="9">
        <f t="shared" si="25"/>
        <v>0</v>
      </c>
      <c r="AL75" s="9">
        <f t="shared" si="26"/>
        <v>0</v>
      </c>
      <c r="AM75" s="9">
        <f t="shared" si="27"/>
        <v>0</v>
      </c>
      <c r="AN75" s="9">
        <f t="shared" si="28"/>
        <v>0</v>
      </c>
      <c r="AO75" s="9">
        <f t="shared" si="13"/>
        <v>31137720</v>
      </c>
      <c r="AP75" s="9">
        <f t="shared" si="29"/>
        <v>31137720</v>
      </c>
      <c r="AQ75" s="9">
        <f t="shared" si="30"/>
        <v>31137720</v>
      </c>
      <c r="AR75" s="291">
        <v>28585010</v>
      </c>
      <c r="AS75" s="9">
        <f t="shared" si="31"/>
        <v>2552710</v>
      </c>
      <c r="AT75" s="297" t="str">
        <f t="shared" si="32"/>
        <v>Yes</v>
      </c>
      <c r="AU75" s="357">
        <v>29823644.886</v>
      </c>
      <c r="AV75" s="291">
        <f t="shared" si="14"/>
        <v>272118.886</v>
      </c>
      <c r="AW75" s="291">
        <f t="shared" si="33"/>
        <v>30095763.772</v>
      </c>
      <c r="AX75" s="291">
        <f t="shared" si="15"/>
        <v>30095763.772</v>
      </c>
      <c r="AY75" s="358">
        <f t="shared" si="34"/>
        <v>272118.88599999994</v>
      </c>
      <c r="AZ75" s="301"/>
      <c r="BA75" s="301"/>
      <c r="BB75" s="302"/>
      <c r="BC75" s="291">
        <f t="shared" si="35"/>
        <v>30367882.658</v>
      </c>
      <c r="BD75" s="298">
        <f t="shared" si="48"/>
        <v>30640001.544</v>
      </c>
      <c r="BE75" s="298">
        <f t="shared" si="48"/>
        <v>30912120.43</v>
      </c>
      <c r="BF75" s="298">
        <f t="shared" si="48"/>
        <v>31184239.316</v>
      </c>
      <c r="BG75" s="298">
        <f t="shared" si="49"/>
        <v>31137720</v>
      </c>
      <c r="BH75" s="298">
        <f t="shared" si="49"/>
        <v>31137720</v>
      </c>
      <c r="BI75" s="298">
        <f t="shared" si="38"/>
        <v>31137720</v>
      </c>
      <c r="BK75" s="298">
        <f t="shared" si="39"/>
        <v>30367882.658</v>
      </c>
      <c r="BL75" s="298">
        <f t="shared" si="40"/>
        <v>30640001.544</v>
      </c>
      <c r="BM75" s="298">
        <f t="shared" si="41"/>
        <v>30912120.43</v>
      </c>
      <c r="BN75" s="298">
        <f t="shared" si="42"/>
        <v>31184239.316</v>
      </c>
      <c r="BO75" s="298">
        <f t="shared" si="43"/>
        <v>31137720</v>
      </c>
      <c r="BP75" s="298">
        <f t="shared" si="44"/>
        <v>31137720</v>
      </c>
      <c r="BQ75" s="298">
        <f t="shared" si="45"/>
        <v>31137720</v>
      </c>
    </row>
    <row r="76" spans="1:69" ht="15" x14ac:dyDescent="0.2">
      <c r="A76" s="10" t="s">
        <v>4</v>
      </c>
      <c r="B76" s="10"/>
      <c r="C76" s="276"/>
      <c r="D76" s="276"/>
      <c r="E76" s="276"/>
      <c r="F76" s="8">
        <v>2</v>
      </c>
      <c r="G76" s="355">
        <v>149</v>
      </c>
      <c r="H76" s="10">
        <v>50</v>
      </c>
      <c r="I76" s="7" t="s">
        <v>62</v>
      </c>
      <c r="J76" s="287"/>
      <c r="K76" s="356">
        <v>645.44000000000005</v>
      </c>
      <c r="L76" s="355"/>
      <c r="M76" s="289"/>
      <c r="N76" s="357">
        <v>120</v>
      </c>
      <c r="O76" s="290">
        <f t="shared" si="4"/>
        <v>0.18591968269707485</v>
      </c>
      <c r="P76" s="290">
        <f t="shared" si="19"/>
        <v>0</v>
      </c>
      <c r="Q76" s="291">
        <f t="shared" si="5"/>
        <v>0</v>
      </c>
      <c r="R76" s="291">
        <f t="shared" si="20"/>
        <v>0</v>
      </c>
      <c r="S76" s="357">
        <v>10</v>
      </c>
      <c r="T76" s="292">
        <f t="shared" si="6"/>
        <v>36</v>
      </c>
      <c r="U76" s="254">
        <f t="shared" si="21"/>
        <v>683.94</v>
      </c>
      <c r="V76" s="356">
        <v>1548254227.6700001</v>
      </c>
      <c r="W76" s="357">
        <v>6599</v>
      </c>
      <c r="X76" s="264">
        <f t="shared" si="7"/>
        <v>234619.51999999999</v>
      </c>
      <c r="Y76" s="293">
        <f t="shared" si="8"/>
        <v>1.2186330000000001</v>
      </c>
      <c r="Z76" s="357">
        <v>87000</v>
      </c>
      <c r="AA76" s="293">
        <f t="shared" si="9"/>
        <v>0.72202599999999995</v>
      </c>
      <c r="AB76" s="293">
        <f t="shared" si="10"/>
        <v>-6.9651000000000005E-2</v>
      </c>
      <c r="AC76" s="294">
        <f t="shared" si="11"/>
        <v>0.01</v>
      </c>
      <c r="AD76" s="295">
        <f t="shared" si="22"/>
        <v>0</v>
      </c>
      <c r="AE76" s="296">
        <f t="shared" si="23"/>
        <v>0.01</v>
      </c>
      <c r="AF76" s="357">
        <v>353</v>
      </c>
      <c r="AG76" s="357">
        <v>6</v>
      </c>
      <c r="AH76" s="254">
        <f t="shared" si="24"/>
        <v>600</v>
      </c>
      <c r="AI76" s="9">
        <f t="shared" si="12"/>
        <v>211800</v>
      </c>
      <c r="AJ76" s="9">
        <v>0</v>
      </c>
      <c r="AK76" s="9">
        <f t="shared" si="25"/>
        <v>0</v>
      </c>
      <c r="AL76" s="9">
        <f t="shared" si="26"/>
        <v>0</v>
      </c>
      <c r="AM76" s="9">
        <f t="shared" si="27"/>
        <v>0</v>
      </c>
      <c r="AN76" s="9">
        <f t="shared" si="28"/>
        <v>211800</v>
      </c>
      <c r="AO76" s="9">
        <f t="shared" si="13"/>
        <v>78824</v>
      </c>
      <c r="AP76" s="9">
        <f t="shared" si="29"/>
        <v>290624</v>
      </c>
      <c r="AQ76" s="9">
        <f t="shared" si="30"/>
        <v>290624</v>
      </c>
      <c r="AR76" s="291">
        <v>105052</v>
      </c>
      <c r="AS76" s="9">
        <f t="shared" si="31"/>
        <v>185572</v>
      </c>
      <c r="AT76" s="297" t="str">
        <f t="shared" si="32"/>
        <v>Yes</v>
      </c>
      <c r="AU76" s="357">
        <v>123707.9752</v>
      </c>
      <c r="AV76" s="291">
        <f t="shared" si="14"/>
        <v>19781.975200000001</v>
      </c>
      <c r="AW76" s="291">
        <f t="shared" si="33"/>
        <v>143489.9504</v>
      </c>
      <c r="AX76" s="291">
        <f t="shared" si="15"/>
        <v>143489.9504</v>
      </c>
      <c r="AY76" s="358">
        <f t="shared" si="34"/>
        <v>19781.975200000001</v>
      </c>
      <c r="AZ76" s="301"/>
      <c r="BA76" s="301"/>
      <c r="BB76" s="302"/>
      <c r="BC76" s="291">
        <f t="shared" si="35"/>
        <v>163271.92560000002</v>
      </c>
      <c r="BD76" s="298">
        <f t="shared" ref="BD76:BF91" si="50">IF($AT76="Yes",BC76+$AV76,BC76-$AV76)</f>
        <v>183053.9008</v>
      </c>
      <c r="BE76" s="298">
        <f t="shared" si="50"/>
        <v>202835.87599999999</v>
      </c>
      <c r="BF76" s="298">
        <f t="shared" si="50"/>
        <v>222617.85119999998</v>
      </c>
      <c r="BG76" s="298">
        <f t="shared" ref="BG76:BH91" si="51">IF($AT76="Yes",$AP76,BF76-$AV76)</f>
        <v>290624</v>
      </c>
      <c r="BH76" s="298">
        <f t="shared" si="51"/>
        <v>290624</v>
      </c>
      <c r="BI76" s="298">
        <f t="shared" si="38"/>
        <v>290624</v>
      </c>
      <c r="BK76" s="298">
        <f t="shared" si="39"/>
        <v>163271.92560000002</v>
      </c>
      <c r="BL76" s="298">
        <f t="shared" si="40"/>
        <v>183053.9008</v>
      </c>
      <c r="BM76" s="298">
        <f t="shared" si="41"/>
        <v>202835.87599999999</v>
      </c>
      <c r="BN76" s="298">
        <f t="shared" si="42"/>
        <v>222617.85119999998</v>
      </c>
      <c r="BO76" s="298">
        <f t="shared" si="43"/>
        <v>290624</v>
      </c>
      <c r="BP76" s="298">
        <f t="shared" si="44"/>
        <v>290624</v>
      </c>
      <c r="BQ76" s="298">
        <f t="shared" si="45"/>
        <v>290624</v>
      </c>
    </row>
    <row r="77" spans="1:69" ht="15" x14ac:dyDescent="0.2">
      <c r="A77" s="10" t="s">
        <v>10</v>
      </c>
      <c r="B77" s="10"/>
      <c r="C77" s="276"/>
      <c r="D77" s="276"/>
      <c r="E77" s="276"/>
      <c r="F77" s="8">
        <v>2</v>
      </c>
      <c r="G77" s="355">
        <v>147</v>
      </c>
      <c r="H77" s="10">
        <v>51</v>
      </c>
      <c r="I77" s="7" t="s">
        <v>63</v>
      </c>
      <c r="J77" s="287"/>
      <c r="K77" s="356">
        <v>9441.06</v>
      </c>
      <c r="L77" s="355"/>
      <c r="M77" s="289"/>
      <c r="N77" s="357">
        <v>1461</v>
      </c>
      <c r="O77" s="290">
        <f t="shared" si="4"/>
        <v>0.15474957261154998</v>
      </c>
      <c r="P77" s="290">
        <f t="shared" si="19"/>
        <v>0</v>
      </c>
      <c r="Q77" s="291">
        <f t="shared" si="5"/>
        <v>0</v>
      </c>
      <c r="R77" s="291">
        <f t="shared" si="20"/>
        <v>0</v>
      </c>
      <c r="S77" s="357">
        <v>229</v>
      </c>
      <c r="T77" s="292">
        <f t="shared" si="6"/>
        <v>438.3</v>
      </c>
      <c r="U77" s="254">
        <f t="shared" si="21"/>
        <v>9936.6099999999988</v>
      </c>
      <c r="V77" s="356">
        <v>16401217199.67</v>
      </c>
      <c r="W77" s="357">
        <v>61598</v>
      </c>
      <c r="X77" s="264">
        <f t="shared" si="7"/>
        <v>266262.17</v>
      </c>
      <c r="Y77" s="293">
        <f t="shared" si="8"/>
        <v>1.3829880000000001</v>
      </c>
      <c r="Z77" s="357">
        <v>134559</v>
      </c>
      <c r="AA77" s="293">
        <f t="shared" si="9"/>
        <v>1.116725</v>
      </c>
      <c r="AB77" s="293">
        <f t="shared" si="10"/>
        <v>-0.30310900000000002</v>
      </c>
      <c r="AC77" s="294">
        <f t="shared" si="11"/>
        <v>0.01</v>
      </c>
      <c r="AD77" s="295">
        <f t="shared" si="22"/>
        <v>0</v>
      </c>
      <c r="AE77" s="296">
        <f t="shared" si="23"/>
        <v>0.01</v>
      </c>
      <c r="AF77" s="357">
        <v>0</v>
      </c>
      <c r="AG77" s="357">
        <v>0</v>
      </c>
      <c r="AH77" s="254">
        <f t="shared" si="24"/>
        <v>0</v>
      </c>
      <c r="AI77" s="9">
        <f t="shared" si="12"/>
        <v>0</v>
      </c>
      <c r="AJ77" s="9">
        <v>0</v>
      </c>
      <c r="AK77" s="9">
        <f t="shared" si="25"/>
        <v>0</v>
      </c>
      <c r="AL77" s="9">
        <f t="shared" si="26"/>
        <v>0</v>
      </c>
      <c r="AM77" s="9">
        <f t="shared" si="27"/>
        <v>0</v>
      </c>
      <c r="AN77" s="9">
        <f t="shared" si="28"/>
        <v>0</v>
      </c>
      <c r="AO77" s="9">
        <f t="shared" si="13"/>
        <v>1145194</v>
      </c>
      <c r="AP77" s="9">
        <f t="shared" si="29"/>
        <v>1145194</v>
      </c>
      <c r="AQ77" s="9">
        <f t="shared" si="30"/>
        <v>1145194</v>
      </c>
      <c r="AR77" s="291">
        <v>1087165</v>
      </c>
      <c r="AS77" s="9">
        <f t="shared" si="31"/>
        <v>58029</v>
      </c>
      <c r="AT77" s="297" t="str">
        <f t="shared" si="32"/>
        <v>Yes</v>
      </c>
      <c r="AU77" s="357">
        <v>1117729.8914000001</v>
      </c>
      <c r="AV77" s="291">
        <f t="shared" si="14"/>
        <v>6185.8914000000004</v>
      </c>
      <c r="AW77" s="291">
        <f t="shared" si="33"/>
        <v>1123915.7828000002</v>
      </c>
      <c r="AX77" s="291">
        <f t="shared" si="15"/>
        <v>1123915.7828000002</v>
      </c>
      <c r="AY77" s="358">
        <f t="shared" si="34"/>
        <v>6185.8914000000805</v>
      </c>
      <c r="AZ77" s="301"/>
      <c r="BA77" s="301"/>
      <c r="BB77" s="302"/>
      <c r="BC77" s="291">
        <f t="shared" si="35"/>
        <v>1130101.6742000002</v>
      </c>
      <c r="BD77" s="298">
        <f t="shared" si="50"/>
        <v>1136287.5656000003</v>
      </c>
      <c r="BE77" s="298">
        <f t="shared" si="50"/>
        <v>1142473.4570000004</v>
      </c>
      <c r="BF77" s="298">
        <f t="shared" si="50"/>
        <v>1148659.3484000005</v>
      </c>
      <c r="BG77" s="298">
        <f t="shared" si="51"/>
        <v>1145194</v>
      </c>
      <c r="BH77" s="298">
        <f t="shared" si="51"/>
        <v>1145194</v>
      </c>
      <c r="BI77" s="298">
        <f t="shared" si="38"/>
        <v>1145194</v>
      </c>
      <c r="BK77" s="298">
        <f t="shared" si="39"/>
        <v>1130101.6742000002</v>
      </c>
      <c r="BL77" s="298">
        <f t="shared" si="40"/>
        <v>1136287.5656000003</v>
      </c>
      <c r="BM77" s="298">
        <f t="shared" si="41"/>
        <v>1142473.4570000004</v>
      </c>
      <c r="BN77" s="298">
        <f t="shared" si="42"/>
        <v>1148659.3484000005</v>
      </c>
      <c r="BO77" s="298">
        <f t="shared" si="43"/>
        <v>1145194</v>
      </c>
      <c r="BP77" s="298">
        <f t="shared" si="44"/>
        <v>1145194</v>
      </c>
      <c r="BQ77" s="298">
        <f t="shared" si="45"/>
        <v>1145194</v>
      </c>
    </row>
    <row r="78" spans="1:69" ht="15" x14ac:dyDescent="0.2">
      <c r="A78" s="10" t="s">
        <v>10</v>
      </c>
      <c r="B78" s="10"/>
      <c r="C78" s="276"/>
      <c r="D78" s="276"/>
      <c r="E78" s="276"/>
      <c r="F78" s="8">
        <v>3</v>
      </c>
      <c r="G78" s="355">
        <v>146</v>
      </c>
      <c r="H78" s="10">
        <v>52</v>
      </c>
      <c r="I78" s="7" t="s">
        <v>64</v>
      </c>
      <c r="J78" s="287"/>
      <c r="K78" s="356">
        <v>4040.75</v>
      </c>
      <c r="L78" s="355"/>
      <c r="M78" s="289"/>
      <c r="N78" s="357">
        <v>666</v>
      </c>
      <c r="O78" s="290">
        <f t="shared" si="4"/>
        <v>0.16482088721153251</v>
      </c>
      <c r="P78" s="290">
        <f t="shared" si="19"/>
        <v>0</v>
      </c>
      <c r="Q78" s="291">
        <f t="shared" si="5"/>
        <v>0</v>
      </c>
      <c r="R78" s="291">
        <f t="shared" si="20"/>
        <v>0</v>
      </c>
      <c r="S78" s="357">
        <v>164</v>
      </c>
      <c r="T78" s="292">
        <f t="shared" si="6"/>
        <v>199.8</v>
      </c>
      <c r="U78" s="254">
        <f t="shared" si="21"/>
        <v>4281.55</v>
      </c>
      <c r="V78" s="356">
        <v>5372016207</v>
      </c>
      <c r="W78" s="357">
        <v>25546</v>
      </c>
      <c r="X78" s="264">
        <f t="shared" si="7"/>
        <v>210287.96</v>
      </c>
      <c r="Y78" s="293">
        <f t="shared" si="8"/>
        <v>1.0922529999999999</v>
      </c>
      <c r="Z78" s="357">
        <v>94606</v>
      </c>
      <c r="AA78" s="293">
        <f t="shared" si="9"/>
        <v>0.78514899999999999</v>
      </c>
      <c r="AB78" s="293">
        <f t="shared" si="10"/>
        <v>-1.22E-4</v>
      </c>
      <c r="AC78" s="294">
        <f t="shared" si="11"/>
        <v>0.01</v>
      </c>
      <c r="AD78" s="295">
        <f t="shared" si="22"/>
        <v>0</v>
      </c>
      <c r="AE78" s="296">
        <f t="shared" si="23"/>
        <v>0.01</v>
      </c>
      <c r="AF78" s="357">
        <v>0</v>
      </c>
      <c r="AG78" s="357">
        <v>0</v>
      </c>
      <c r="AH78" s="254">
        <f t="shared" si="24"/>
        <v>0</v>
      </c>
      <c r="AI78" s="9">
        <f t="shared" si="12"/>
        <v>0</v>
      </c>
      <c r="AJ78" s="9">
        <v>0</v>
      </c>
      <c r="AK78" s="9">
        <f t="shared" si="25"/>
        <v>0</v>
      </c>
      <c r="AL78" s="9">
        <f t="shared" si="26"/>
        <v>0</v>
      </c>
      <c r="AM78" s="9">
        <f t="shared" si="27"/>
        <v>0</v>
      </c>
      <c r="AN78" s="9">
        <f t="shared" si="28"/>
        <v>0</v>
      </c>
      <c r="AO78" s="9">
        <f t="shared" si="13"/>
        <v>493449</v>
      </c>
      <c r="AP78" s="9">
        <f t="shared" si="29"/>
        <v>493449</v>
      </c>
      <c r="AQ78" s="9">
        <f t="shared" si="30"/>
        <v>493449</v>
      </c>
      <c r="AR78" s="291">
        <v>1095080</v>
      </c>
      <c r="AS78" s="9">
        <f t="shared" si="31"/>
        <v>601631</v>
      </c>
      <c r="AT78" s="297" t="str">
        <f t="shared" si="32"/>
        <v>No</v>
      </c>
      <c r="AU78" s="357">
        <v>843467</v>
      </c>
      <c r="AV78" s="291">
        <f t="shared" si="14"/>
        <v>50115.862300000001</v>
      </c>
      <c r="AW78" s="291">
        <f t="shared" si="33"/>
        <v>843467</v>
      </c>
      <c r="AX78" s="291">
        <f t="shared" si="15"/>
        <v>843467</v>
      </c>
      <c r="AY78" s="358">
        <f t="shared" si="34"/>
        <v>0</v>
      </c>
      <c r="AZ78" s="301"/>
      <c r="BA78" s="301"/>
      <c r="BB78" s="302"/>
      <c r="BC78" s="291">
        <f t="shared" si="35"/>
        <v>793351.13769999996</v>
      </c>
      <c r="BD78" s="298">
        <f t="shared" si="50"/>
        <v>743235.27539999993</v>
      </c>
      <c r="BE78" s="298">
        <f t="shared" si="50"/>
        <v>693119.41309999989</v>
      </c>
      <c r="BF78" s="298">
        <f t="shared" si="50"/>
        <v>643003.55079999985</v>
      </c>
      <c r="BG78" s="298">
        <f t="shared" si="51"/>
        <v>592887.68849999981</v>
      </c>
      <c r="BH78" s="298">
        <f t="shared" si="51"/>
        <v>542771.82619999978</v>
      </c>
      <c r="BI78" s="298">
        <f t="shared" si="38"/>
        <v>493449</v>
      </c>
      <c r="BK78" s="298">
        <f t="shared" si="39"/>
        <v>793351.13769999996</v>
      </c>
      <c r="BL78" s="298">
        <f t="shared" si="40"/>
        <v>743235.27539999993</v>
      </c>
      <c r="BM78" s="298">
        <f t="shared" si="41"/>
        <v>693119.41309999989</v>
      </c>
      <c r="BN78" s="298">
        <f t="shared" si="42"/>
        <v>643003.55079999985</v>
      </c>
      <c r="BO78" s="298">
        <f t="shared" si="43"/>
        <v>592887.68849999981</v>
      </c>
      <c r="BP78" s="298">
        <f t="shared" si="44"/>
        <v>542771.82619999978</v>
      </c>
      <c r="BQ78" s="298">
        <f t="shared" si="45"/>
        <v>493449</v>
      </c>
    </row>
    <row r="79" spans="1:69" ht="15" x14ac:dyDescent="0.2">
      <c r="A79" s="10" t="s">
        <v>8</v>
      </c>
      <c r="B79" s="10"/>
      <c r="C79" s="276"/>
      <c r="D79" s="276"/>
      <c r="E79" s="276"/>
      <c r="F79" s="8">
        <v>5</v>
      </c>
      <c r="G79" s="355">
        <v>79</v>
      </c>
      <c r="H79" s="10">
        <v>53</v>
      </c>
      <c r="I79" s="7" t="s">
        <v>65</v>
      </c>
      <c r="J79" s="287"/>
      <c r="K79" s="356">
        <v>210.55</v>
      </c>
      <c r="L79" s="355"/>
      <c r="M79" s="289"/>
      <c r="N79" s="357">
        <v>41</v>
      </c>
      <c r="O79" s="290">
        <f t="shared" si="4"/>
        <v>0.1947280930895274</v>
      </c>
      <c r="P79" s="290">
        <f t="shared" si="19"/>
        <v>0</v>
      </c>
      <c r="Q79" s="291">
        <f t="shared" si="5"/>
        <v>0</v>
      </c>
      <c r="R79" s="291">
        <f t="shared" si="20"/>
        <v>0</v>
      </c>
      <c r="S79" s="357">
        <v>0</v>
      </c>
      <c r="T79" s="292">
        <f t="shared" si="6"/>
        <v>12.3</v>
      </c>
      <c r="U79" s="254">
        <f t="shared" si="21"/>
        <v>222.85000000000002</v>
      </c>
      <c r="V79" s="356">
        <v>333873795.32999998</v>
      </c>
      <c r="W79" s="357">
        <v>1842</v>
      </c>
      <c r="X79" s="264">
        <f t="shared" si="7"/>
        <v>181256.13</v>
      </c>
      <c r="Y79" s="293">
        <f t="shared" si="8"/>
        <v>0.94145900000000005</v>
      </c>
      <c r="Z79" s="357">
        <v>94000</v>
      </c>
      <c r="AA79" s="293">
        <f t="shared" si="9"/>
        <v>0.78012000000000004</v>
      </c>
      <c r="AB79" s="293">
        <f t="shared" si="10"/>
        <v>0.106943</v>
      </c>
      <c r="AC79" s="294">
        <f t="shared" si="11"/>
        <v>0.106943</v>
      </c>
      <c r="AD79" s="295">
        <f t="shared" si="22"/>
        <v>0</v>
      </c>
      <c r="AE79" s="296">
        <f t="shared" si="23"/>
        <v>0.106943</v>
      </c>
      <c r="AF79" s="357">
        <v>0</v>
      </c>
      <c r="AG79" s="357">
        <v>0</v>
      </c>
      <c r="AH79" s="254">
        <f t="shared" si="24"/>
        <v>0</v>
      </c>
      <c r="AI79" s="9">
        <f t="shared" si="12"/>
        <v>0</v>
      </c>
      <c r="AJ79" s="9">
        <v>49</v>
      </c>
      <c r="AK79" s="9">
        <f t="shared" si="25"/>
        <v>4</v>
      </c>
      <c r="AL79" s="9">
        <f t="shared" si="26"/>
        <v>400</v>
      </c>
      <c r="AM79" s="9">
        <f t="shared" si="27"/>
        <v>19600</v>
      </c>
      <c r="AN79" s="9">
        <f t="shared" si="28"/>
        <v>19600</v>
      </c>
      <c r="AO79" s="9">
        <f t="shared" si="13"/>
        <v>274667</v>
      </c>
      <c r="AP79" s="9">
        <f t="shared" si="29"/>
        <v>294267</v>
      </c>
      <c r="AQ79" s="9">
        <f t="shared" si="30"/>
        <v>294267</v>
      </c>
      <c r="AR79" s="291">
        <v>923278</v>
      </c>
      <c r="AS79" s="9">
        <f t="shared" si="31"/>
        <v>629011</v>
      </c>
      <c r="AT79" s="297" t="str">
        <f t="shared" si="32"/>
        <v>No</v>
      </c>
      <c r="AU79" s="357">
        <v>736256</v>
      </c>
      <c r="AV79" s="291">
        <f t="shared" si="14"/>
        <v>52396.616300000002</v>
      </c>
      <c r="AW79" s="291">
        <f t="shared" si="33"/>
        <v>736256</v>
      </c>
      <c r="AX79" s="291">
        <f t="shared" si="15"/>
        <v>736256</v>
      </c>
      <c r="AY79" s="358">
        <f t="shared" si="34"/>
        <v>0</v>
      </c>
      <c r="AZ79" s="301"/>
      <c r="BA79" s="301"/>
      <c r="BB79" s="302"/>
      <c r="BC79" s="291">
        <f t="shared" si="35"/>
        <v>683859.38370000001</v>
      </c>
      <c r="BD79" s="298">
        <f t="shared" si="50"/>
        <v>631462.76740000001</v>
      </c>
      <c r="BE79" s="298">
        <f t="shared" si="50"/>
        <v>579066.15110000002</v>
      </c>
      <c r="BF79" s="298">
        <f t="shared" si="50"/>
        <v>526669.53480000002</v>
      </c>
      <c r="BG79" s="298">
        <f t="shared" si="51"/>
        <v>474272.91850000003</v>
      </c>
      <c r="BH79" s="298">
        <f t="shared" si="51"/>
        <v>421876.30220000003</v>
      </c>
      <c r="BI79" s="298">
        <f t="shared" si="38"/>
        <v>294267</v>
      </c>
      <c r="BK79" s="298">
        <f t="shared" si="39"/>
        <v>683859.38370000001</v>
      </c>
      <c r="BL79" s="298">
        <f t="shared" si="40"/>
        <v>631462.76740000001</v>
      </c>
      <c r="BM79" s="298">
        <f t="shared" si="41"/>
        <v>579066.15110000002</v>
      </c>
      <c r="BN79" s="298">
        <f t="shared" si="42"/>
        <v>526669.53480000002</v>
      </c>
      <c r="BO79" s="298">
        <f t="shared" si="43"/>
        <v>474272.91850000003</v>
      </c>
      <c r="BP79" s="298">
        <f t="shared" si="44"/>
        <v>421876.30220000003</v>
      </c>
      <c r="BQ79" s="298">
        <f t="shared" si="45"/>
        <v>294267</v>
      </c>
    </row>
    <row r="80" spans="1:69" ht="15" x14ac:dyDescent="0.2">
      <c r="A80" s="10" t="s">
        <v>10</v>
      </c>
      <c r="B80" s="10"/>
      <c r="C80" s="276"/>
      <c r="D80" s="276"/>
      <c r="E80" s="276"/>
      <c r="F80" s="8">
        <v>3</v>
      </c>
      <c r="G80" s="355">
        <v>140</v>
      </c>
      <c r="H80" s="10">
        <v>54</v>
      </c>
      <c r="I80" s="7" t="s">
        <v>66</v>
      </c>
      <c r="J80" s="287"/>
      <c r="K80" s="356">
        <v>5817.61</v>
      </c>
      <c r="L80" s="355"/>
      <c r="M80" s="289"/>
      <c r="N80" s="357">
        <v>791</v>
      </c>
      <c r="O80" s="290">
        <f t="shared" si="4"/>
        <v>0.13596648795639446</v>
      </c>
      <c r="P80" s="290">
        <f t="shared" si="19"/>
        <v>0</v>
      </c>
      <c r="Q80" s="291">
        <f t="shared" si="5"/>
        <v>0</v>
      </c>
      <c r="R80" s="291">
        <f t="shared" si="20"/>
        <v>0</v>
      </c>
      <c r="S80" s="357">
        <v>156</v>
      </c>
      <c r="T80" s="292">
        <f t="shared" si="6"/>
        <v>237.3</v>
      </c>
      <c r="U80" s="254">
        <f t="shared" si="21"/>
        <v>6093.91</v>
      </c>
      <c r="V80" s="356">
        <v>6101830840.6700001</v>
      </c>
      <c r="W80" s="357">
        <v>34578</v>
      </c>
      <c r="X80" s="264">
        <f t="shared" si="7"/>
        <v>176465.7</v>
      </c>
      <c r="Y80" s="293">
        <f t="shared" si="8"/>
        <v>0.91657699999999998</v>
      </c>
      <c r="Z80" s="357">
        <v>116625</v>
      </c>
      <c r="AA80" s="293">
        <f t="shared" si="9"/>
        <v>0.967889</v>
      </c>
      <c r="AB80" s="293">
        <f t="shared" si="10"/>
        <v>6.8029000000000006E-2</v>
      </c>
      <c r="AC80" s="294">
        <f t="shared" si="11"/>
        <v>6.8029000000000006E-2</v>
      </c>
      <c r="AD80" s="295">
        <f t="shared" si="22"/>
        <v>0</v>
      </c>
      <c r="AE80" s="296">
        <f t="shared" si="23"/>
        <v>6.8029000000000006E-2</v>
      </c>
      <c r="AF80" s="357">
        <v>0</v>
      </c>
      <c r="AG80" s="357">
        <v>0</v>
      </c>
      <c r="AH80" s="254">
        <f t="shared" si="24"/>
        <v>0</v>
      </c>
      <c r="AI80" s="9">
        <f t="shared" si="12"/>
        <v>0</v>
      </c>
      <c r="AJ80" s="9">
        <v>0</v>
      </c>
      <c r="AK80" s="9">
        <f t="shared" si="25"/>
        <v>0</v>
      </c>
      <c r="AL80" s="9">
        <f t="shared" si="26"/>
        <v>0</v>
      </c>
      <c r="AM80" s="9">
        <f t="shared" si="27"/>
        <v>0</v>
      </c>
      <c r="AN80" s="9">
        <f t="shared" si="28"/>
        <v>0</v>
      </c>
      <c r="AO80" s="9">
        <f t="shared" si="13"/>
        <v>4777834</v>
      </c>
      <c r="AP80" s="9">
        <f t="shared" si="29"/>
        <v>4777834</v>
      </c>
      <c r="AQ80" s="9">
        <f t="shared" si="30"/>
        <v>4777834</v>
      </c>
      <c r="AR80" s="291">
        <v>6654380</v>
      </c>
      <c r="AS80" s="9">
        <f t="shared" si="31"/>
        <v>1876546</v>
      </c>
      <c r="AT80" s="297" t="str">
        <f t="shared" si="32"/>
        <v>No</v>
      </c>
      <c r="AU80" s="357">
        <v>5379255</v>
      </c>
      <c r="AV80" s="291">
        <f t="shared" si="14"/>
        <v>156316.2818</v>
      </c>
      <c r="AW80" s="291">
        <f t="shared" si="33"/>
        <v>5379255</v>
      </c>
      <c r="AX80" s="291">
        <f t="shared" si="15"/>
        <v>5379255</v>
      </c>
      <c r="AY80" s="358">
        <f t="shared" si="34"/>
        <v>0</v>
      </c>
      <c r="AZ80" s="301"/>
      <c r="BA80" s="301"/>
      <c r="BB80" s="302"/>
      <c r="BC80" s="291">
        <f t="shared" si="35"/>
        <v>5222938.7182</v>
      </c>
      <c r="BD80" s="298">
        <f t="shared" si="50"/>
        <v>5066622.4364</v>
      </c>
      <c r="BE80" s="298">
        <f t="shared" si="50"/>
        <v>4910306.1546</v>
      </c>
      <c r="BF80" s="298">
        <f t="shared" si="50"/>
        <v>4753989.8728</v>
      </c>
      <c r="BG80" s="298">
        <f t="shared" si="51"/>
        <v>4597673.591</v>
      </c>
      <c r="BH80" s="298">
        <f t="shared" si="51"/>
        <v>4441357.3092</v>
      </c>
      <c r="BI80" s="298">
        <f t="shared" si="38"/>
        <v>4777834</v>
      </c>
      <c r="BK80" s="298">
        <f t="shared" si="39"/>
        <v>5222938.7182</v>
      </c>
      <c r="BL80" s="298">
        <f t="shared" si="40"/>
        <v>5066622.4364</v>
      </c>
      <c r="BM80" s="298">
        <f t="shared" si="41"/>
        <v>4910306.1546</v>
      </c>
      <c r="BN80" s="298">
        <f t="shared" si="42"/>
        <v>4753989.8728</v>
      </c>
      <c r="BO80" s="298">
        <f t="shared" si="43"/>
        <v>4597673.591</v>
      </c>
      <c r="BP80" s="298">
        <f t="shared" si="44"/>
        <v>4441357.3092</v>
      </c>
      <c r="BQ80" s="298">
        <f t="shared" si="45"/>
        <v>4777834</v>
      </c>
    </row>
    <row r="81" spans="1:69" ht="15" x14ac:dyDescent="0.2">
      <c r="A81" s="10" t="s">
        <v>8</v>
      </c>
      <c r="B81" s="10"/>
      <c r="C81" s="276"/>
      <c r="D81" s="276"/>
      <c r="E81" s="276"/>
      <c r="F81" s="8">
        <v>2</v>
      </c>
      <c r="G81" s="355">
        <v>141</v>
      </c>
      <c r="H81" s="10">
        <v>55</v>
      </c>
      <c r="I81" s="7" t="s">
        <v>67</v>
      </c>
      <c r="J81" s="287"/>
      <c r="K81" s="356">
        <v>330.94</v>
      </c>
      <c r="L81" s="355"/>
      <c r="M81" s="289"/>
      <c r="N81" s="357">
        <v>74</v>
      </c>
      <c r="O81" s="290">
        <f t="shared" si="4"/>
        <v>0.22360548739952862</v>
      </c>
      <c r="P81" s="290">
        <f t="shared" si="19"/>
        <v>0</v>
      </c>
      <c r="Q81" s="291">
        <f t="shared" si="5"/>
        <v>0</v>
      </c>
      <c r="R81" s="291">
        <f t="shared" si="20"/>
        <v>0</v>
      </c>
      <c r="S81" s="357">
        <v>7</v>
      </c>
      <c r="T81" s="292">
        <f t="shared" si="6"/>
        <v>22.2</v>
      </c>
      <c r="U81" s="254">
        <f t="shared" si="21"/>
        <v>354.89</v>
      </c>
      <c r="V81" s="356">
        <v>791251335.33000004</v>
      </c>
      <c r="W81" s="357">
        <v>2903</v>
      </c>
      <c r="X81" s="264">
        <f t="shared" si="7"/>
        <v>272563.33</v>
      </c>
      <c r="Y81" s="293">
        <f t="shared" si="8"/>
        <v>1.415716</v>
      </c>
      <c r="Z81" s="357">
        <v>98967</v>
      </c>
      <c r="AA81" s="293">
        <f t="shared" si="9"/>
        <v>0.82134200000000002</v>
      </c>
      <c r="AB81" s="293">
        <f t="shared" si="10"/>
        <v>-0.237404</v>
      </c>
      <c r="AC81" s="294">
        <f t="shared" si="11"/>
        <v>0.01</v>
      </c>
      <c r="AD81" s="295">
        <f t="shared" si="22"/>
        <v>0</v>
      </c>
      <c r="AE81" s="296">
        <f t="shared" si="23"/>
        <v>0.01</v>
      </c>
      <c r="AF81" s="357">
        <v>341</v>
      </c>
      <c r="AG81" s="357">
        <v>13</v>
      </c>
      <c r="AH81" s="254">
        <f t="shared" si="24"/>
        <v>1300</v>
      </c>
      <c r="AI81" s="9">
        <f t="shared" si="12"/>
        <v>443300</v>
      </c>
      <c r="AJ81" s="9">
        <v>0</v>
      </c>
      <c r="AK81" s="9">
        <f t="shared" si="25"/>
        <v>0</v>
      </c>
      <c r="AL81" s="9">
        <f t="shared" si="26"/>
        <v>0</v>
      </c>
      <c r="AM81" s="9">
        <f t="shared" si="27"/>
        <v>0</v>
      </c>
      <c r="AN81" s="9">
        <f t="shared" si="28"/>
        <v>443300</v>
      </c>
      <c r="AO81" s="9">
        <f t="shared" si="13"/>
        <v>40901</v>
      </c>
      <c r="AP81" s="9">
        <f t="shared" si="29"/>
        <v>484201</v>
      </c>
      <c r="AQ81" s="9">
        <f t="shared" si="30"/>
        <v>484201</v>
      </c>
      <c r="AR81" s="291">
        <v>82025</v>
      </c>
      <c r="AS81" s="9">
        <f t="shared" si="31"/>
        <v>402176</v>
      </c>
      <c r="AT81" s="297" t="str">
        <f t="shared" si="32"/>
        <v>Yes</v>
      </c>
      <c r="AU81" s="357">
        <v>123033.96160000001</v>
      </c>
      <c r="AV81" s="291">
        <f t="shared" si="14"/>
        <v>42871.961600000002</v>
      </c>
      <c r="AW81" s="291">
        <f t="shared" si="33"/>
        <v>165905.92320000002</v>
      </c>
      <c r="AX81" s="291">
        <f t="shared" si="15"/>
        <v>165905.92320000002</v>
      </c>
      <c r="AY81" s="358">
        <f t="shared" si="34"/>
        <v>42871.96160000001</v>
      </c>
      <c r="AZ81" s="301"/>
      <c r="BA81" s="301"/>
      <c r="BB81" s="302"/>
      <c r="BC81" s="291">
        <f t="shared" si="35"/>
        <v>208777.88480000003</v>
      </c>
      <c r="BD81" s="298">
        <f t="shared" si="50"/>
        <v>251649.84640000004</v>
      </c>
      <c r="BE81" s="298">
        <f t="shared" si="50"/>
        <v>294521.80800000002</v>
      </c>
      <c r="BF81" s="298">
        <f t="shared" si="50"/>
        <v>337393.7696</v>
      </c>
      <c r="BG81" s="298">
        <f t="shared" si="51"/>
        <v>484201</v>
      </c>
      <c r="BH81" s="298">
        <f t="shared" si="51"/>
        <v>484201</v>
      </c>
      <c r="BI81" s="298">
        <f t="shared" si="38"/>
        <v>484201</v>
      </c>
      <c r="BK81" s="298">
        <f t="shared" si="39"/>
        <v>208777.88480000003</v>
      </c>
      <c r="BL81" s="298">
        <f t="shared" si="40"/>
        <v>251649.84640000004</v>
      </c>
      <c r="BM81" s="298">
        <f t="shared" si="41"/>
        <v>294521.80800000002</v>
      </c>
      <c r="BN81" s="298">
        <f t="shared" si="42"/>
        <v>337393.7696</v>
      </c>
      <c r="BO81" s="298">
        <f t="shared" si="43"/>
        <v>484201</v>
      </c>
      <c r="BP81" s="298">
        <f t="shared" si="44"/>
        <v>484201</v>
      </c>
      <c r="BQ81" s="298">
        <f t="shared" si="45"/>
        <v>484201</v>
      </c>
    </row>
    <row r="82" spans="1:69" ht="15" x14ac:dyDescent="0.2">
      <c r="A82" s="10" t="s">
        <v>10</v>
      </c>
      <c r="B82" s="10"/>
      <c r="C82" s="276"/>
      <c r="D82" s="276"/>
      <c r="E82" s="276"/>
      <c r="F82" s="8">
        <v>5</v>
      </c>
      <c r="G82" s="355">
        <v>129</v>
      </c>
      <c r="H82" s="10">
        <v>56</v>
      </c>
      <c r="I82" s="7" t="s">
        <v>68</v>
      </c>
      <c r="J82" s="287"/>
      <c r="K82" s="356">
        <v>1694.85</v>
      </c>
      <c r="L82" s="355"/>
      <c r="M82" s="289"/>
      <c r="N82" s="357">
        <v>163</v>
      </c>
      <c r="O82" s="290">
        <f t="shared" si="4"/>
        <v>9.6173702687553472E-2</v>
      </c>
      <c r="P82" s="290">
        <f t="shared" si="19"/>
        <v>0</v>
      </c>
      <c r="Q82" s="291">
        <f t="shared" si="5"/>
        <v>0</v>
      </c>
      <c r="R82" s="291">
        <f t="shared" si="20"/>
        <v>0</v>
      </c>
      <c r="S82" s="357">
        <v>3</v>
      </c>
      <c r="T82" s="292">
        <f t="shared" si="6"/>
        <v>48.9</v>
      </c>
      <c r="U82" s="254">
        <f t="shared" si="21"/>
        <v>1744.5</v>
      </c>
      <c r="V82" s="356">
        <v>1477984689.6700001</v>
      </c>
      <c r="W82" s="357">
        <v>11305</v>
      </c>
      <c r="X82" s="264">
        <f t="shared" si="7"/>
        <v>130737.26</v>
      </c>
      <c r="Y82" s="293">
        <f t="shared" si="8"/>
        <v>0.67906</v>
      </c>
      <c r="Z82" s="357">
        <v>121114</v>
      </c>
      <c r="AA82" s="293">
        <f t="shared" si="9"/>
        <v>1.0051429999999999</v>
      </c>
      <c r="AB82" s="293">
        <f t="shared" si="10"/>
        <v>0.22311500000000001</v>
      </c>
      <c r="AC82" s="294">
        <f t="shared" si="11"/>
        <v>0.22311500000000001</v>
      </c>
      <c r="AD82" s="295">
        <f t="shared" si="22"/>
        <v>0</v>
      </c>
      <c r="AE82" s="296">
        <f t="shared" si="23"/>
        <v>0.22311500000000001</v>
      </c>
      <c r="AF82" s="357">
        <v>0</v>
      </c>
      <c r="AG82" s="357">
        <v>0</v>
      </c>
      <c r="AH82" s="254">
        <f t="shared" si="24"/>
        <v>0</v>
      </c>
      <c r="AI82" s="9">
        <f t="shared" si="12"/>
        <v>0</v>
      </c>
      <c r="AJ82" s="9">
        <v>0</v>
      </c>
      <c r="AK82" s="9">
        <f t="shared" si="25"/>
        <v>0</v>
      </c>
      <c r="AL82" s="9">
        <f t="shared" si="26"/>
        <v>0</v>
      </c>
      <c r="AM82" s="9">
        <f t="shared" si="27"/>
        <v>0</v>
      </c>
      <c r="AN82" s="9">
        <f t="shared" si="28"/>
        <v>0</v>
      </c>
      <c r="AO82" s="9">
        <f t="shared" si="13"/>
        <v>4485808</v>
      </c>
      <c r="AP82" s="9">
        <f t="shared" si="29"/>
        <v>4485808</v>
      </c>
      <c r="AQ82" s="9">
        <f t="shared" si="30"/>
        <v>4485808</v>
      </c>
      <c r="AR82" s="291">
        <v>5510220</v>
      </c>
      <c r="AS82" s="9">
        <f t="shared" si="31"/>
        <v>1024412</v>
      </c>
      <c r="AT82" s="297" t="str">
        <f t="shared" si="32"/>
        <v>No</v>
      </c>
      <c r="AU82" s="357">
        <v>5278314</v>
      </c>
      <c r="AV82" s="291">
        <f t="shared" si="14"/>
        <v>85333.5196</v>
      </c>
      <c r="AW82" s="291">
        <f t="shared" si="33"/>
        <v>5278314</v>
      </c>
      <c r="AX82" s="291">
        <f t="shared" si="15"/>
        <v>5278314</v>
      </c>
      <c r="AY82" s="358">
        <f t="shared" si="34"/>
        <v>0</v>
      </c>
      <c r="AZ82" s="301"/>
      <c r="BA82" s="301"/>
      <c r="BB82" s="302"/>
      <c r="BC82" s="291">
        <f t="shared" si="35"/>
        <v>5192980.4803999998</v>
      </c>
      <c r="BD82" s="298">
        <f t="shared" si="50"/>
        <v>5107646.9607999995</v>
      </c>
      <c r="BE82" s="298">
        <f t="shared" si="50"/>
        <v>5022313.4411999993</v>
      </c>
      <c r="BF82" s="298">
        <f t="shared" si="50"/>
        <v>4936979.9215999991</v>
      </c>
      <c r="BG82" s="298">
        <f t="shared" si="51"/>
        <v>4851646.4019999988</v>
      </c>
      <c r="BH82" s="298">
        <f t="shared" si="51"/>
        <v>4766312.8823999986</v>
      </c>
      <c r="BI82" s="298">
        <f t="shared" si="38"/>
        <v>4485808</v>
      </c>
      <c r="BK82" s="298">
        <f t="shared" si="39"/>
        <v>5192980.4803999998</v>
      </c>
      <c r="BL82" s="298">
        <f t="shared" si="40"/>
        <v>5107646.9607999995</v>
      </c>
      <c r="BM82" s="298">
        <f t="shared" si="41"/>
        <v>5022313.4411999993</v>
      </c>
      <c r="BN82" s="298">
        <f t="shared" si="42"/>
        <v>4936979.9215999991</v>
      </c>
      <c r="BO82" s="298">
        <f t="shared" si="43"/>
        <v>4851646.4019999988</v>
      </c>
      <c r="BP82" s="298">
        <f t="shared" si="44"/>
        <v>4766312.8823999986</v>
      </c>
      <c r="BQ82" s="298">
        <f t="shared" si="45"/>
        <v>4485808</v>
      </c>
    </row>
    <row r="83" spans="1:69" ht="15" x14ac:dyDescent="0.2">
      <c r="A83" s="10" t="s">
        <v>10</v>
      </c>
      <c r="B83" s="10"/>
      <c r="C83" s="276"/>
      <c r="D83" s="276"/>
      <c r="E83" s="276"/>
      <c r="F83" s="8">
        <v>1</v>
      </c>
      <c r="G83" s="355">
        <v>169</v>
      </c>
      <c r="H83" s="10">
        <v>57</v>
      </c>
      <c r="I83" s="7" t="s">
        <v>69</v>
      </c>
      <c r="J83" s="287"/>
      <c r="K83" s="356">
        <v>8588.06</v>
      </c>
      <c r="L83" s="355"/>
      <c r="M83" s="289"/>
      <c r="N83" s="357">
        <v>1891</v>
      </c>
      <c r="O83" s="290">
        <f t="shared" si="4"/>
        <v>0.22018942578417014</v>
      </c>
      <c r="P83" s="290">
        <f t="shared" si="19"/>
        <v>0</v>
      </c>
      <c r="Q83" s="291">
        <f t="shared" si="5"/>
        <v>0</v>
      </c>
      <c r="R83" s="291">
        <f t="shared" si="20"/>
        <v>0</v>
      </c>
      <c r="S83" s="357">
        <v>353</v>
      </c>
      <c r="T83" s="292">
        <f t="shared" si="6"/>
        <v>567.29999999999995</v>
      </c>
      <c r="U83" s="254">
        <f t="shared" si="21"/>
        <v>9243.6099999999988</v>
      </c>
      <c r="V83" s="356">
        <v>49439639594.330002</v>
      </c>
      <c r="W83" s="357">
        <v>62574</v>
      </c>
      <c r="X83" s="264">
        <f t="shared" si="7"/>
        <v>790098.76</v>
      </c>
      <c r="Y83" s="293">
        <f t="shared" si="8"/>
        <v>4.1038379999999997</v>
      </c>
      <c r="Z83" s="357">
        <v>142819</v>
      </c>
      <c r="AA83" s="293">
        <f t="shared" si="9"/>
        <v>1.185276</v>
      </c>
      <c r="AB83" s="293">
        <f t="shared" si="10"/>
        <v>-2.2282690000000001</v>
      </c>
      <c r="AC83" s="294">
        <f t="shared" si="11"/>
        <v>0.01</v>
      </c>
      <c r="AD83" s="295">
        <f t="shared" si="22"/>
        <v>0</v>
      </c>
      <c r="AE83" s="296">
        <f t="shared" si="23"/>
        <v>0.01</v>
      </c>
      <c r="AF83" s="357">
        <v>0</v>
      </c>
      <c r="AG83" s="357">
        <v>0</v>
      </c>
      <c r="AH83" s="254">
        <f t="shared" si="24"/>
        <v>0</v>
      </c>
      <c r="AI83" s="9">
        <f t="shared" si="12"/>
        <v>0</v>
      </c>
      <c r="AJ83" s="9">
        <v>0</v>
      </c>
      <c r="AK83" s="9">
        <f t="shared" si="25"/>
        <v>0</v>
      </c>
      <c r="AL83" s="9">
        <f t="shared" si="26"/>
        <v>0</v>
      </c>
      <c r="AM83" s="9">
        <f t="shared" si="27"/>
        <v>0</v>
      </c>
      <c r="AN83" s="9">
        <f t="shared" si="28"/>
        <v>0</v>
      </c>
      <c r="AO83" s="9">
        <f t="shared" si="13"/>
        <v>1065326</v>
      </c>
      <c r="AP83" s="9">
        <f t="shared" si="29"/>
        <v>1065326</v>
      </c>
      <c r="AQ83" s="9">
        <f t="shared" si="30"/>
        <v>1065326</v>
      </c>
      <c r="AR83" s="291">
        <v>136859</v>
      </c>
      <c r="AS83" s="9">
        <f t="shared" si="31"/>
        <v>928467</v>
      </c>
      <c r="AT83" s="297" t="str">
        <f t="shared" si="32"/>
        <v>Yes</v>
      </c>
      <c r="AU83" s="357">
        <v>477623.5822</v>
      </c>
      <c r="AV83" s="291">
        <f t="shared" si="14"/>
        <v>98974.582200000004</v>
      </c>
      <c r="AW83" s="291">
        <f t="shared" si="33"/>
        <v>576598.16440000001</v>
      </c>
      <c r="AX83" s="291">
        <f t="shared" si="15"/>
        <v>576598.16440000001</v>
      </c>
      <c r="AY83" s="358">
        <f t="shared" si="34"/>
        <v>98974.582200000004</v>
      </c>
      <c r="AZ83" s="301"/>
      <c r="BA83" s="301"/>
      <c r="BB83" s="302"/>
      <c r="BC83" s="291">
        <f t="shared" si="35"/>
        <v>675572.74659999995</v>
      </c>
      <c r="BD83" s="298">
        <f t="shared" si="50"/>
        <v>774547.32880000002</v>
      </c>
      <c r="BE83" s="298">
        <f t="shared" si="50"/>
        <v>873521.91100000008</v>
      </c>
      <c r="BF83" s="298">
        <f t="shared" si="50"/>
        <v>972496.49320000014</v>
      </c>
      <c r="BG83" s="298">
        <f t="shared" si="51"/>
        <v>1065326</v>
      </c>
      <c r="BH83" s="298">
        <f t="shared" si="51"/>
        <v>1065326</v>
      </c>
      <c r="BI83" s="298">
        <f t="shared" si="38"/>
        <v>1065326</v>
      </c>
      <c r="BK83" s="298">
        <f t="shared" si="39"/>
        <v>675572.74659999995</v>
      </c>
      <c r="BL83" s="298">
        <f t="shared" si="40"/>
        <v>774547.32880000002</v>
      </c>
      <c r="BM83" s="298">
        <f t="shared" si="41"/>
        <v>873521.91100000008</v>
      </c>
      <c r="BN83" s="298">
        <f t="shared" si="42"/>
        <v>972496.49320000014</v>
      </c>
      <c r="BO83" s="298">
        <f t="shared" si="43"/>
        <v>1065326</v>
      </c>
      <c r="BP83" s="298">
        <f t="shared" si="44"/>
        <v>1065326</v>
      </c>
      <c r="BQ83" s="298">
        <f t="shared" si="45"/>
        <v>1065326</v>
      </c>
    </row>
    <row r="84" spans="1:69" ht="15" x14ac:dyDescent="0.2">
      <c r="A84" s="10" t="s">
        <v>32</v>
      </c>
      <c r="B84" s="10"/>
      <c r="C84" s="276"/>
      <c r="D84" s="276"/>
      <c r="E84" s="276"/>
      <c r="F84" s="8">
        <v>9</v>
      </c>
      <c r="G84" s="359">
        <v>22</v>
      </c>
      <c r="H84" s="10">
        <v>58</v>
      </c>
      <c r="I84" s="7" t="s">
        <v>70</v>
      </c>
      <c r="J84" s="287"/>
      <c r="K84" s="356">
        <v>1546.15</v>
      </c>
      <c r="L84" s="359"/>
      <c r="M84" s="289"/>
      <c r="N84" s="357">
        <v>788</v>
      </c>
      <c r="O84" s="290">
        <f t="shared" si="4"/>
        <v>0.50965300908708722</v>
      </c>
      <c r="P84" s="290">
        <f t="shared" si="19"/>
        <v>0</v>
      </c>
      <c r="Q84" s="291">
        <f t="shared" si="5"/>
        <v>0</v>
      </c>
      <c r="R84" s="291">
        <f t="shared" si="20"/>
        <v>0</v>
      </c>
      <c r="S84" s="357">
        <v>21</v>
      </c>
      <c r="T84" s="292">
        <f t="shared" si="6"/>
        <v>236.4</v>
      </c>
      <c r="U84" s="254">
        <f t="shared" si="21"/>
        <v>1787.8000000000002</v>
      </c>
      <c r="V84" s="356">
        <v>1068224850</v>
      </c>
      <c r="W84" s="357">
        <v>11693</v>
      </c>
      <c r="X84" s="264">
        <f t="shared" si="7"/>
        <v>91355.93</v>
      </c>
      <c r="Y84" s="293">
        <f t="shared" si="8"/>
        <v>0.47450999999999999</v>
      </c>
      <c r="Z84" s="357">
        <v>62542</v>
      </c>
      <c r="AA84" s="293">
        <f t="shared" si="9"/>
        <v>0.51904600000000001</v>
      </c>
      <c r="AB84" s="293">
        <f t="shared" si="10"/>
        <v>0.51212899999999995</v>
      </c>
      <c r="AC84" s="294">
        <f t="shared" si="11"/>
        <v>0.51212899999999995</v>
      </c>
      <c r="AD84" s="295">
        <f t="shared" si="22"/>
        <v>0</v>
      </c>
      <c r="AE84" s="296">
        <f t="shared" si="23"/>
        <v>0.51212899999999995</v>
      </c>
      <c r="AF84" s="357">
        <v>0</v>
      </c>
      <c r="AG84" s="357">
        <v>0</v>
      </c>
      <c r="AH84" s="254">
        <f t="shared" si="24"/>
        <v>0</v>
      </c>
      <c r="AI84" s="9">
        <f t="shared" si="12"/>
        <v>0</v>
      </c>
      <c r="AJ84" s="9">
        <v>0</v>
      </c>
      <c r="AK84" s="9">
        <f t="shared" si="25"/>
        <v>0</v>
      </c>
      <c r="AL84" s="9">
        <f t="shared" si="26"/>
        <v>0</v>
      </c>
      <c r="AM84" s="9">
        <f t="shared" si="27"/>
        <v>0</v>
      </c>
      <c r="AN84" s="9">
        <f t="shared" si="28"/>
        <v>0</v>
      </c>
      <c r="AO84" s="9">
        <f t="shared" si="13"/>
        <v>10552108</v>
      </c>
      <c r="AP84" s="9">
        <f t="shared" si="29"/>
        <v>10552108</v>
      </c>
      <c r="AQ84" s="9">
        <f t="shared" si="30"/>
        <v>10552108</v>
      </c>
      <c r="AR84" s="291">
        <v>10775767</v>
      </c>
      <c r="AS84" s="9">
        <f t="shared" si="31"/>
        <v>223659</v>
      </c>
      <c r="AT84" s="297" t="str">
        <f t="shared" si="32"/>
        <v>No</v>
      </c>
      <c r="AU84" s="357">
        <v>10925151</v>
      </c>
      <c r="AV84" s="291">
        <f t="shared" si="14"/>
        <v>18630.794699999999</v>
      </c>
      <c r="AW84" s="291">
        <f t="shared" si="33"/>
        <v>10925151</v>
      </c>
      <c r="AX84" s="291">
        <f t="shared" si="15"/>
        <v>10925151</v>
      </c>
      <c r="AY84" s="358">
        <f t="shared" si="34"/>
        <v>0</v>
      </c>
      <c r="AZ84" s="301"/>
      <c r="BA84" s="301"/>
      <c r="BB84" s="302"/>
      <c r="BC84" s="291">
        <f t="shared" si="35"/>
        <v>10906520.2053</v>
      </c>
      <c r="BD84" s="298">
        <f t="shared" si="50"/>
        <v>10887889.410599999</v>
      </c>
      <c r="BE84" s="298">
        <f t="shared" si="50"/>
        <v>10869258.615899999</v>
      </c>
      <c r="BF84" s="298">
        <f t="shared" si="50"/>
        <v>10850627.821199998</v>
      </c>
      <c r="BG84" s="298">
        <f t="shared" si="51"/>
        <v>10831997.026499998</v>
      </c>
      <c r="BH84" s="298">
        <f t="shared" si="51"/>
        <v>10813366.231799997</v>
      </c>
      <c r="BI84" s="298">
        <f t="shared" si="38"/>
        <v>10552108</v>
      </c>
      <c r="BK84" s="298">
        <f t="shared" si="39"/>
        <v>10906520.2053</v>
      </c>
      <c r="BL84" s="298">
        <f t="shared" si="40"/>
        <v>10887889.410599999</v>
      </c>
      <c r="BM84" s="298">
        <f t="shared" si="41"/>
        <v>10869258.615899999</v>
      </c>
      <c r="BN84" s="298">
        <f t="shared" si="42"/>
        <v>10850627.821199998</v>
      </c>
      <c r="BO84" s="298">
        <f t="shared" si="43"/>
        <v>10831997.026499998</v>
      </c>
      <c r="BP84" s="298">
        <f t="shared" si="44"/>
        <v>10813366.231799997</v>
      </c>
      <c r="BQ84" s="298">
        <f t="shared" si="45"/>
        <v>10552108</v>
      </c>
    </row>
    <row r="85" spans="1:69" ht="15" x14ac:dyDescent="0.2">
      <c r="A85" s="10" t="s">
        <v>19</v>
      </c>
      <c r="B85" s="10"/>
      <c r="C85" s="276">
        <v>1</v>
      </c>
      <c r="D85" s="276"/>
      <c r="E85" s="276"/>
      <c r="F85" s="8">
        <v>8</v>
      </c>
      <c r="G85" s="355">
        <v>49</v>
      </c>
      <c r="H85" s="10">
        <v>59</v>
      </c>
      <c r="I85" s="7" t="s">
        <v>71</v>
      </c>
      <c r="J85" s="287"/>
      <c r="K85" s="356">
        <v>4448.07</v>
      </c>
      <c r="L85" s="355"/>
      <c r="M85" s="289"/>
      <c r="N85" s="357">
        <v>2390</v>
      </c>
      <c r="O85" s="290">
        <f t="shared" si="4"/>
        <v>0.53731168799052176</v>
      </c>
      <c r="P85" s="290">
        <f t="shared" si="19"/>
        <v>0</v>
      </c>
      <c r="Q85" s="291">
        <f t="shared" si="5"/>
        <v>0</v>
      </c>
      <c r="R85" s="291">
        <f t="shared" si="20"/>
        <v>0</v>
      </c>
      <c r="S85" s="357">
        <v>169</v>
      </c>
      <c r="T85" s="292">
        <f t="shared" si="6"/>
        <v>717</v>
      </c>
      <c r="U85" s="254">
        <f t="shared" si="21"/>
        <v>5207.32</v>
      </c>
      <c r="V85" s="356">
        <v>5815454006</v>
      </c>
      <c r="W85" s="357">
        <v>39105</v>
      </c>
      <c r="X85" s="264">
        <f t="shared" si="7"/>
        <v>148713.82</v>
      </c>
      <c r="Y85" s="293">
        <f t="shared" si="8"/>
        <v>0.77243200000000001</v>
      </c>
      <c r="Z85" s="357">
        <v>66999</v>
      </c>
      <c r="AA85" s="293">
        <f t="shared" si="9"/>
        <v>0.55603499999999995</v>
      </c>
      <c r="AB85" s="293">
        <f t="shared" si="10"/>
        <v>0.292487</v>
      </c>
      <c r="AC85" s="294">
        <f t="shared" si="11"/>
        <v>0.292487</v>
      </c>
      <c r="AD85" s="295">
        <f t="shared" si="22"/>
        <v>0</v>
      </c>
      <c r="AE85" s="296">
        <f t="shared" si="23"/>
        <v>0.292487</v>
      </c>
      <c r="AF85" s="357">
        <v>0</v>
      </c>
      <c r="AG85" s="357">
        <v>0</v>
      </c>
      <c r="AH85" s="254">
        <f t="shared" si="24"/>
        <v>0</v>
      </c>
      <c r="AI85" s="9">
        <f t="shared" si="12"/>
        <v>0</v>
      </c>
      <c r="AJ85" s="9">
        <v>0</v>
      </c>
      <c r="AK85" s="9">
        <f t="shared" si="25"/>
        <v>0</v>
      </c>
      <c r="AL85" s="9">
        <f t="shared" si="26"/>
        <v>0</v>
      </c>
      <c r="AM85" s="9">
        <f t="shared" si="27"/>
        <v>0</v>
      </c>
      <c r="AN85" s="9">
        <f t="shared" si="28"/>
        <v>0</v>
      </c>
      <c r="AO85" s="9">
        <f t="shared" si="13"/>
        <v>17553421</v>
      </c>
      <c r="AP85" s="9">
        <f t="shared" si="29"/>
        <v>17553421</v>
      </c>
      <c r="AQ85" s="9">
        <f t="shared" si="30"/>
        <v>25040045</v>
      </c>
      <c r="AR85" s="291">
        <v>25040045</v>
      </c>
      <c r="AS85" s="9">
        <f t="shared" si="31"/>
        <v>7486624</v>
      </c>
      <c r="AT85" s="297" t="str">
        <f t="shared" si="32"/>
        <v>No</v>
      </c>
      <c r="AU85" s="357">
        <v>25040045</v>
      </c>
      <c r="AV85" s="291">
        <f t="shared" si="14"/>
        <v>623635.77919999999</v>
      </c>
      <c r="AW85" s="291">
        <f t="shared" si="33"/>
        <v>25040045</v>
      </c>
      <c r="AX85" s="291">
        <f t="shared" si="15"/>
        <v>25040045</v>
      </c>
      <c r="AY85" s="358">
        <f t="shared" si="34"/>
        <v>0</v>
      </c>
      <c r="AZ85" s="301"/>
      <c r="BA85" s="301"/>
      <c r="BB85" s="302"/>
      <c r="BC85" s="291">
        <f t="shared" si="35"/>
        <v>24416409.220800001</v>
      </c>
      <c r="BD85" s="298">
        <f t="shared" si="50"/>
        <v>23792773.441600002</v>
      </c>
      <c r="BE85" s="298">
        <f t="shared" si="50"/>
        <v>23169137.662400004</v>
      </c>
      <c r="BF85" s="298">
        <f t="shared" si="50"/>
        <v>22545501.883200005</v>
      </c>
      <c r="BG85" s="298">
        <f t="shared" si="51"/>
        <v>21921866.104000006</v>
      </c>
      <c r="BH85" s="298">
        <f t="shared" si="51"/>
        <v>21298230.324800007</v>
      </c>
      <c r="BI85" s="298">
        <f t="shared" si="38"/>
        <v>17553421</v>
      </c>
      <c r="BK85" s="298">
        <f t="shared" si="39"/>
        <v>25040045</v>
      </c>
      <c r="BL85" s="298">
        <f t="shared" si="40"/>
        <v>25040045</v>
      </c>
      <c r="BM85" s="298">
        <f t="shared" si="41"/>
        <v>25040045</v>
      </c>
      <c r="BN85" s="298">
        <f t="shared" si="42"/>
        <v>25040045</v>
      </c>
      <c r="BO85" s="298">
        <f t="shared" si="43"/>
        <v>25040045</v>
      </c>
      <c r="BP85" s="298">
        <f t="shared" si="44"/>
        <v>25040045</v>
      </c>
      <c r="BQ85" s="298">
        <f t="shared" si="45"/>
        <v>25040045</v>
      </c>
    </row>
    <row r="86" spans="1:69" ht="15" x14ac:dyDescent="0.2">
      <c r="A86" s="10" t="s">
        <v>10</v>
      </c>
      <c r="B86" s="10"/>
      <c r="C86" s="276"/>
      <c r="D86" s="276"/>
      <c r="E86" s="276"/>
      <c r="F86" s="8">
        <v>2</v>
      </c>
      <c r="G86" s="355">
        <v>150</v>
      </c>
      <c r="H86" s="10">
        <v>60</v>
      </c>
      <c r="I86" s="7" t="s">
        <v>72</v>
      </c>
      <c r="J86" s="287"/>
      <c r="K86" s="356">
        <v>3138.89</v>
      </c>
      <c r="L86" s="355"/>
      <c r="M86" s="289"/>
      <c r="N86" s="357">
        <v>410</v>
      </c>
      <c r="O86" s="290">
        <f t="shared" si="4"/>
        <v>0.13061942278958485</v>
      </c>
      <c r="P86" s="290">
        <f t="shared" si="19"/>
        <v>0</v>
      </c>
      <c r="Q86" s="291">
        <f t="shared" si="5"/>
        <v>0</v>
      </c>
      <c r="R86" s="291">
        <f t="shared" si="20"/>
        <v>0</v>
      </c>
      <c r="S86" s="357">
        <v>59</v>
      </c>
      <c r="T86" s="292">
        <f t="shared" si="6"/>
        <v>123</v>
      </c>
      <c r="U86" s="254">
        <f t="shared" si="21"/>
        <v>3276.64</v>
      </c>
      <c r="V86" s="356">
        <v>4519394206.6700001</v>
      </c>
      <c r="W86" s="357">
        <v>22285</v>
      </c>
      <c r="X86" s="264">
        <f t="shared" si="7"/>
        <v>202799.83</v>
      </c>
      <c r="Y86" s="293">
        <f t="shared" si="8"/>
        <v>1.0533589999999999</v>
      </c>
      <c r="Z86" s="357">
        <v>110000</v>
      </c>
      <c r="AA86" s="293">
        <f t="shared" si="9"/>
        <v>0.91290700000000002</v>
      </c>
      <c r="AB86" s="293">
        <f t="shared" si="10"/>
        <v>-1.1223E-2</v>
      </c>
      <c r="AC86" s="294">
        <f t="shared" si="11"/>
        <v>0.01</v>
      </c>
      <c r="AD86" s="295">
        <f t="shared" si="22"/>
        <v>0</v>
      </c>
      <c r="AE86" s="296">
        <f t="shared" si="23"/>
        <v>0.01</v>
      </c>
      <c r="AF86" s="357">
        <v>0</v>
      </c>
      <c r="AG86" s="357">
        <v>0</v>
      </c>
      <c r="AH86" s="254">
        <f t="shared" si="24"/>
        <v>0</v>
      </c>
      <c r="AI86" s="9">
        <f t="shared" si="12"/>
        <v>0</v>
      </c>
      <c r="AJ86" s="9">
        <v>0</v>
      </c>
      <c r="AK86" s="9">
        <f t="shared" si="25"/>
        <v>0</v>
      </c>
      <c r="AL86" s="9">
        <f t="shared" si="26"/>
        <v>0</v>
      </c>
      <c r="AM86" s="9">
        <f t="shared" si="27"/>
        <v>0</v>
      </c>
      <c r="AN86" s="9">
        <f t="shared" si="28"/>
        <v>0</v>
      </c>
      <c r="AO86" s="9">
        <f t="shared" si="13"/>
        <v>377633</v>
      </c>
      <c r="AP86" s="9">
        <f t="shared" si="29"/>
        <v>377633</v>
      </c>
      <c r="AQ86" s="9">
        <f t="shared" si="30"/>
        <v>377633</v>
      </c>
      <c r="AR86" s="291">
        <v>2740394</v>
      </c>
      <c r="AS86" s="9">
        <f t="shared" si="31"/>
        <v>2362761</v>
      </c>
      <c r="AT86" s="297" t="str">
        <f t="shared" si="32"/>
        <v>No</v>
      </c>
      <c r="AU86" s="357">
        <v>1766084</v>
      </c>
      <c r="AV86" s="291">
        <f t="shared" si="14"/>
        <v>196817.99129999999</v>
      </c>
      <c r="AW86" s="291">
        <f t="shared" si="33"/>
        <v>1766084</v>
      </c>
      <c r="AX86" s="291">
        <f t="shared" si="15"/>
        <v>1766084</v>
      </c>
      <c r="AY86" s="358">
        <f t="shared" si="34"/>
        <v>0</v>
      </c>
      <c r="AZ86" s="301"/>
      <c r="BA86" s="301"/>
      <c r="BB86" s="302"/>
      <c r="BC86" s="291">
        <f t="shared" si="35"/>
        <v>1569266.0087000001</v>
      </c>
      <c r="BD86" s="298">
        <f t="shared" si="50"/>
        <v>1372448.0174000002</v>
      </c>
      <c r="BE86" s="298">
        <f t="shared" si="50"/>
        <v>1175630.0261000004</v>
      </c>
      <c r="BF86" s="298">
        <f t="shared" si="50"/>
        <v>978812.03480000037</v>
      </c>
      <c r="BG86" s="298">
        <f t="shared" si="51"/>
        <v>781994.04350000038</v>
      </c>
      <c r="BH86" s="298">
        <f t="shared" si="51"/>
        <v>585176.05220000038</v>
      </c>
      <c r="BI86" s="298">
        <f t="shared" si="38"/>
        <v>377633</v>
      </c>
      <c r="BK86" s="298">
        <f t="shared" si="39"/>
        <v>1569266.0087000001</v>
      </c>
      <c r="BL86" s="298">
        <f t="shared" si="40"/>
        <v>1372448.0174000002</v>
      </c>
      <c r="BM86" s="298">
        <f t="shared" si="41"/>
        <v>1175630.0261000004</v>
      </c>
      <c r="BN86" s="298">
        <f t="shared" si="42"/>
        <v>978812.03480000037</v>
      </c>
      <c r="BO86" s="298">
        <f t="shared" si="43"/>
        <v>781994.04350000038</v>
      </c>
      <c r="BP86" s="298">
        <f t="shared" si="44"/>
        <v>585176.05220000038</v>
      </c>
      <c r="BQ86" s="298">
        <f t="shared" si="45"/>
        <v>377633</v>
      </c>
    </row>
    <row r="87" spans="1:69" ht="15" x14ac:dyDescent="0.2">
      <c r="A87" s="10" t="s">
        <v>4</v>
      </c>
      <c r="B87" s="10"/>
      <c r="C87" s="276"/>
      <c r="D87" s="276"/>
      <c r="E87" s="276"/>
      <c r="F87" s="8">
        <v>4</v>
      </c>
      <c r="G87" s="355">
        <v>123</v>
      </c>
      <c r="H87" s="10">
        <v>61</v>
      </c>
      <c r="I87" s="7" t="s">
        <v>73</v>
      </c>
      <c r="J87" s="287"/>
      <c r="K87" s="356">
        <v>1132.01</v>
      </c>
      <c r="L87" s="355"/>
      <c r="M87" s="289"/>
      <c r="N87" s="357">
        <v>202</v>
      </c>
      <c r="O87" s="290">
        <f t="shared" si="4"/>
        <v>0.17844365332461729</v>
      </c>
      <c r="P87" s="290">
        <f t="shared" si="19"/>
        <v>0</v>
      </c>
      <c r="Q87" s="291">
        <f t="shared" si="5"/>
        <v>0</v>
      </c>
      <c r="R87" s="291">
        <f t="shared" si="20"/>
        <v>0</v>
      </c>
      <c r="S87" s="357">
        <v>8</v>
      </c>
      <c r="T87" s="292">
        <f t="shared" si="6"/>
        <v>60.6</v>
      </c>
      <c r="U87" s="254">
        <f t="shared" si="21"/>
        <v>1194.6099999999999</v>
      </c>
      <c r="V87" s="356">
        <v>1325103552.6700001</v>
      </c>
      <c r="W87" s="357">
        <v>8267</v>
      </c>
      <c r="X87" s="264">
        <f t="shared" si="7"/>
        <v>160288.32000000001</v>
      </c>
      <c r="Y87" s="293">
        <f t="shared" si="8"/>
        <v>0.83255100000000004</v>
      </c>
      <c r="Z87" s="357">
        <v>108800</v>
      </c>
      <c r="AA87" s="293">
        <f t="shared" si="9"/>
        <v>0.90294799999999997</v>
      </c>
      <c r="AB87" s="293">
        <f t="shared" si="10"/>
        <v>0.14632999999999999</v>
      </c>
      <c r="AC87" s="294">
        <f t="shared" si="11"/>
        <v>0.14632999999999999</v>
      </c>
      <c r="AD87" s="295">
        <f t="shared" si="22"/>
        <v>0</v>
      </c>
      <c r="AE87" s="296">
        <f t="shared" si="23"/>
        <v>0.14632999999999999</v>
      </c>
      <c r="AF87" s="357">
        <v>1137</v>
      </c>
      <c r="AG87" s="357">
        <v>13</v>
      </c>
      <c r="AH87" s="254">
        <f t="shared" si="24"/>
        <v>1300</v>
      </c>
      <c r="AI87" s="9">
        <f t="shared" si="12"/>
        <v>1478100</v>
      </c>
      <c r="AJ87" s="9">
        <v>0</v>
      </c>
      <c r="AK87" s="9">
        <f t="shared" si="25"/>
        <v>0</v>
      </c>
      <c r="AL87" s="9">
        <f t="shared" si="26"/>
        <v>0</v>
      </c>
      <c r="AM87" s="9">
        <f t="shared" si="27"/>
        <v>0</v>
      </c>
      <c r="AN87" s="9">
        <f t="shared" si="28"/>
        <v>1478100</v>
      </c>
      <c r="AO87" s="9">
        <f t="shared" si="13"/>
        <v>2014654</v>
      </c>
      <c r="AP87" s="9">
        <f t="shared" si="29"/>
        <v>3492754</v>
      </c>
      <c r="AQ87" s="9">
        <f t="shared" si="30"/>
        <v>3492754</v>
      </c>
      <c r="AR87" s="291">
        <v>1971482</v>
      </c>
      <c r="AS87" s="9">
        <f t="shared" si="31"/>
        <v>1521272</v>
      </c>
      <c r="AT87" s="297" t="str">
        <f t="shared" si="32"/>
        <v>Yes</v>
      </c>
      <c r="AU87" s="357">
        <v>2181179.5951999999</v>
      </c>
      <c r="AV87" s="291">
        <f t="shared" si="14"/>
        <v>162167.59520000001</v>
      </c>
      <c r="AW87" s="291">
        <f t="shared" si="33"/>
        <v>2343347.1903999997</v>
      </c>
      <c r="AX87" s="291">
        <f t="shared" si="15"/>
        <v>2343347.1903999997</v>
      </c>
      <c r="AY87" s="358">
        <f t="shared" si="34"/>
        <v>162167.59519999987</v>
      </c>
      <c r="AZ87" s="301"/>
      <c r="BA87" s="301"/>
      <c r="BB87" s="302"/>
      <c r="BC87" s="291">
        <f t="shared" si="35"/>
        <v>2505514.7855999996</v>
      </c>
      <c r="BD87" s="298">
        <f t="shared" si="50"/>
        <v>2667682.3807999995</v>
      </c>
      <c r="BE87" s="298">
        <f t="shared" si="50"/>
        <v>2829849.9759999993</v>
      </c>
      <c r="BF87" s="298">
        <f t="shared" si="50"/>
        <v>2992017.5711999992</v>
      </c>
      <c r="BG87" s="298">
        <f t="shared" si="51"/>
        <v>3492754</v>
      </c>
      <c r="BH87" s="298">
        <f t="shared" si="51"/>
        <v>3492754</v>
      </c>
      <c r="BI87" s="298">
        <f t="shared" si="38"/>
        <v>3492754</v>
      </c>
      <c r="BK87" s="298">
        <f t="shared" si="39"/>
        <v>2505514.7855999996</v>
      </c>
      <c r="BL87" s="298">
        <f t="shared" si="40"/>
        <v>2667682.3807999995</v>
      </c>
      <c r="BM87" s="298">
        <f t="shared" si="41"/>
        <v>2829849.9759999993</v>
      </c>
      <c r="BN87" s="298">
        <f t="shared" si="42"/>
        <v>2992017.5711999992</v>
      </c>
      <c r="BO87" s="298">
        <f t="shared" si="43"/>
        <v>3492754</v>
      </c>
      <c r="BP87" s="298">
        <f t="shared" si="44"/>
        <v>3492754</v>
      </c>
      <c r="BQ87" s="298">
        <f t="shared" si="45"/>
        <v>3492754</v>
      </c>
    </row>
    <row r="88" spans="1:69" ht="15" x14ac:dyDescent="0.2">
      <c r="A88" s="10" t="s">
        <v>19</v>
      </c>
      <c r="B88" s="10"/>
      <c r="C88" s="276">
        <v>1</v>
      </c>
      <c r="D88" s="276">
        <v>1</v>
      </c>
      <c r="E88" s="276"/>
      <c r="F88" s="8">
        <v>9</v>
      </c>
      <c r="G88" s="359">
        <v>25</v>
      </c>
      <c r="H88" s="10">
        <v>62</v>
      </c>
      <c r="I88" s="7" t="s">
        <v>74</v>
      </c>
      <c r="J88" s="287"/>
      <c r="K88" s="356">
        <v>6226.12</v>
      </c>
      <c r="L88" s="359"/>
      <c r="M88" s="289"/>
      <c r="N88" s="357">
        <v>2710</v>
      </c>
      <c r="O88" s="290">
        <f t="shared" si="4"/>
        <v>0.43526305307318203</v>
      </c>
      <c r="P88" s="290">
        <f t="shared" si="19"/>
        <v>0</v>
      </c>
      <c r="Q88" s="291">
        <f t="shared" si="5"/>
        <v>0</v>
      </c>
      <c r="R88" s="291">
        <f t="shared" si="20"/>
        <v>0</v>
      </c>
      <c r="S88" s="357">
        <v>353</v>
      </c>
      <c r="T88" s="292">
        <f t="shared" si="6"/>
        <v>813</v>
      </c>
      <c r="U88" s="254">
        <f t="shared" si="21"/>
        <v>7127.37</v>
      </c>
      <c r="V88" s="356">
        <v>5762356274</v>
      </c>
      <c r="W88" s="357">
        <v>61206</v>
      </c>
      <c r="X88" s="264">
        <f t="shared" si="7"/>
        <v>94146.92</v>
      </c>
      <c r="Y88" s="293">
        <f t="shared" si="8"/>
        <v>0.48900700000000002</v>
      </c>
      <c r="Z88" s="357">
        <v>75392</v>
      </c>
      <c r="AA88" s="293">
        <f t="shared" si="9"/>
        <v>0.62568999999999997</v>
      </c>
      <c r="AB88" s="293">
        <f t="shared" si="10"/>
        <v>0.46998800000000002</v>
      </c>
      <c r="AC88" s="294">
        <f t="shared" si="11"/>
        <v>0.46998800000000002</v>
      </c>
      <c r="AD88" s="295">
        <f t="shared" si="22"/>
        <v>0</v>
      </c>
      <c r="AE88" s="296">
        <f t="shared" si="23"/>
        <v>0.46998800000000002</v>
      </c>
      <c r="AF88" s="357">
        <v>0</v>
      </c>
      <c r="AG88" s="357">
        <v>0</v>
      </c>
      <c r="AH88" s="254">
        <f t="shared" si="24"/>
        <v>0</v>
      </c>
      <c r="AI88" s="9">
        <f t="shared" si="12"/>
        <v>0</v>
      </c>
      <c r="AJ88" s="9">
        <v>0</v>
      </c>
      <c r="AK88" s="9">
        <f t="shared" si="25"/>
        <v>0</v>
      </c>
      <c r="AL88" s="9">
        <f t="shared" si="26"/>
        <v>0</v>
      </c>
      <c r="AM88" s="9">
        <f t="shared" si="27"/>
        <v>0</v>
      </c>
      <c r="AN88" s="9">
        <f t="shared" si="28"/>
        <v>0</v>
      </c>
      <c r="AO88" s="9">
        <f t="shared" si="13"/>
        <v>38606196</v>
      </c>
      <c r="AP88" s="9">
        <f t="shared" si="29"/>
        <v>38606196</v>
      </c>
      <c r="AQ88" s="9">
        <f t="shared" si="30"/>
        <v>38606196</v>
      </c>
      <c r="AR88" s="291">
        <v>26945481</v>
      </c>
      <c r="AS88" s="9">
        <f t="shared" si="31"/>
        <v>11660715</v>
      </c>
      <c r="AT88" s="297" t="str">
        <f t="shared" si="32"/>
        <v>Yes</v>
      </c>
      <c r="AU88" s="357">
        <v>31174709.219000001</v>
      </c>
      <c r="AV88" s="291">
        <f t="shared" si="14"/>
        <v>1243032.219</v>
      </c>
      <c r="AW88" s="291">
        <f t="shared" si="33"/>
        <v>32417741.438000001</v>
      </c>
      <c r="AX88" s="291">
        <f t="shared" si="15"/>
        <v>32417741.438000001</v>
      </c>
      <c r="AY88" s="358">
        <f t="shared" si="34"/>
        <v>1243032.2190000005</v>
      </c>
      <c r="AZ88" s="301"/>
      <c r="BA88" s="301"/>
      <c r="BB88" s="302"/>
      <c r="BC88" s="291">
        <f t="shared" si="35"/>
        <v>33660773.656999998</v>
      </c>
      <c r="BD88" s="298">
        <f t="shared" si="50"/>
        <v>34903805.875999995</v>
      </c>
      <c r="BE88" s="298">
        <f t="shared" si="50"/>
        <v>36146838.094999991</v>
      </c>
      <c r="BF88" s="298">
        <f t="shared" si="50"/>
        <v>37389870.313999988</v>
      </c>
      <c r="BG88" s="298">
        <f t="shared" si="51"/>
        <v>38606196</v>
      </c>
      <c r="BH88" s="298">
        <f t="shared" si="51"/>
        <v>38606196</v>
      </c>
      <c r="BI88" s="298">
        <f t="shared" si="38"/>
        <v>38606196</v>
      </c>
      <c r="BK88" s="298">
        <f t="shared" si="39"/>
        <v>33660773.656999998</v>
      </c>
      <c r="BL88" s="298">
        <f t="shared" si="40"/>
        <v>34903805.875999995</v>
      </c>
      <c r="BM88" s="298">
        <f t="shared" si="41"/>
        <v>36146838.094999991</v>
      </c>
      <c r="BN88" s="298">
        <f t="shared" si="42"/>
        <v>37389870.313999988</v>
      </c>
      <c r="BO88" s="298">
        <f t="shared" si="43"/>
        <v>38606196</v>
      </c>
      <c r="BP88" s="298">
        <f t="shared" si="44"/>
        <v>38606196</v>
      </c>
      <c r="BQ88" s="298">
        <f t="shared" si="45"/>
        <v>38606196</v>
      </c>
    </row>
    <row r="89" spans="1:69" ht="15" x14ac:dyDescent="0.2">
      <c r="A89" s="10" t="s">
        <v>8</v>
      </c>
      <c r="B89" s="10"/>
      <c r="C89" s="276"/>
      <c r="D89" s="276"/>
      <c r="E89" s="276"/>
      <c r="F89" s="8">
        <v>7</v>
      </c>
      <c r="G89" s="355">
        <v>65</v>
      </c>
      <c r="H89" s="10">
        <v>63</v>
      </c>
      <c r="I89" s="7" t="s">
        <v>75</v>
      </c>
      <c r="J89" s="287"/>
      <c r="K89" s="356">
        <v>127</v>
      </c>
      <c r="L89" s="355"/>
      <c r="M89" s="289"/>
      <c r="N89" s="357">
        <v>46</v>
      </c>
      <c r="O89" s="290">
        <f t="shared" si="4"/>
        <v>0.36220472440944884</v>
      </c>
      <c r="P89" s="290">
        <f t="shared" si="19"/>
        <v>0</v>
      </c>
      <c r="Q89" s="291">
        <f t="shared" si="5"/>
        <v>0</v>
      </c>
      <c r="R89" s="291">
        <f t="shared" si="20"/>
        <v>0</v>
      </c>
      <c r="S89" s="357">
        <v>0</v>
      </c>
      <c r="T89" s="292">
        <f t="shared" si="6"/>
        <v>13.8</v>
      </c>
      <c r="U89" s="254">
        <f t="shared" si="21"/>
        <v>140.80000000000001</v>
      </c>
      <c r="V89" s="356">
        <v>217460618.66999999</v>
      </c>
      <c r="W89" s="357">
        <v>1861</v>
      </c>
      <c r="X89" s="264">
        <f t="shared" si="7"/>
        <v>116851.49</v>
      </c>
      <c r="Y89" s="293">
        <f t="shared" si="8"/>
        <v>0.60693600000000003</v>
      </c>
      <c r="Z89" s="357">
        <v>75288</v>
      </c>
      <c r="AA89" s="293">
        <f t="shared" si="9"/>
        <v>0.62482599999999999</v>
      </c>
      <c r="AB89" s="293">
        <f t="shared" si="10"/>
        <v>0.38769700000000001</v>
      </c>
      <c r="AC89" s="294">
        <f t="shared" si="11"/>
        <v>0.38769700000000001</v>
      </c>
      <c r="AD89" s="295">
        <f t="shared" si="22"/>
        <v>0</v>
      </c>
      <c r="AE89" s="296">
        <f t="shared" si="23"/>
        <v>0.38769700000000001</v>
      </c>
      <c r="AF89" s="357">
        <v>61</v>
      </c>
      <c r="AG89" s="357">
        <v>6</v>
      </c>
      <c r="AH89" s="254">
        <f t="shared" si="24"/>
        <v>600</v>
      </c>
      <c r="AI89" s="9">
        <f t="shared" si="12"/>
        <v>36600</v>
      </c>
      <c r="AJ89" s="9">
        <v>0</v>
      </c>
      <c r="AK89" s="9">
        <f t="shared" si="25"/>
        <v>0</v>
      </c>
      <c r="AL89" s="9">
        <f t="shared" si="26"/>
        <v>0</v>
      </c>
      <c r="AM89" s="9">
        <f t="shared" si="27"/>
        <v>0</v>
      </c>
      <c r="AN89" s="9">
        <f t="shared" si="28"/>
        <v>36600</v>
      </c>
      <c r="AO89" s="9">
        <f t="shared" si="13"/>
        <v>629124</v>
      </c>
      <c r="AP89" s="9">
        <f t="shared" si="29"/>
        <v>665724</v>
      </c>
      <c r="AQ89" s="9">
        <f t="shared" si="30"/>
        <v>665724</v>
      </c>
      <c r="AR89" s="291">
        <v>1312383</v>
      </c>
      <c r="AS89" s="9">
        <f t="shared" si="31"/>
        <v>646659</v>
      </c>
      <c r="AT89" s="297" t="str">
        <f t="shared" si="32"/>
        <v>No</v>
      </c>
      <c r="AU89" s="357">
        <v>1058408</v>
      </c>
      <c r="AV89" s="291">
        <f t="shared" si="14"/>
        <v>53866.6947</v>
      </c>
      <c r="AW89" s="291">
        <f t="shared" si="33"/>
        <v>1058408</v>
      </c>
      <c r="AX89" s="291">
        <f t="shared" si="15"/>
        <v>1058408</v>
      </c>
      <c r="AY89" s="358">
        <f t="shared" si="34"/>
        <v>0</v>
      </c>
      <c r="AZ89" s="301"/>
      <c r="BA89" s="301"/>
      <c r="BB89" s="302"/>
      <c r="BC89" s="291">
        <f t="shared" si="35"/>
        <v>1004541.3053</v>
      </c>
      <c r="BD89" s="298">
        <f t="shared" si="50"/>
        <v>950674.61060000001</v>
      </c>
      <c r="BE89" s="298">
        <f t="shared" si="50"/>
        <v>896807.91590000002</v>
      </c>
      <c r="BF89" s="298">
        <f t="shared" si="50"/>
        <v>842941.22120000003</v>
      </c>
      <c r="BG89" s="298">
        <f t="shared" si="51"/>
        <v>789074.52650000004</v>
      </c>
      <c r="BH89" s="298">
        <f t="shared" si="51"/>
        <v>735207.83180000004</v>
      </c>
      <c r="BI89" s="298">
        <f t="shared" si="38"/>
        <v>665724</v>
      </c>
      <c r="BK89" s="298">
        <f t="shared" si="39"/>
        <v>1004541.3053</v>
      </c>
      <c r="BL89" s="298">
        <f t="shared" si="40"/>
        <v>950674.61060000001</v>
      </c>
      <c r="BM89" s="298">
        <f t="shared" si="41"/>
        <v>896807.91590000002</v>
      </c>
      <c r="BN89" s="298">
        <f t="shared" si="42"/>
        <v>842941.22120000003</v>
      </c>
      <c r="BO89" s="298">
        <f t="shared" si="43"/>
        <v>789074.52650000004</v>
      </c>
      <c r="BP89" s="298">
        <f t="shared" si="44"/>
        <v>735207.83180000004</v>
      </c>
      <c r="BQ89" s="298">
        <f t="shared" si="45"/>
        <v>665724</v>
      </c>
    </row>
    <row r="90" spans="1:69" ht="15" x14ac:dyDescent="0.2">
      <c r="A90" s="10" t="s">
        <v>24</v>
      </c>
      <c r="B90" s="10">
        <v>1</v>
      </c>
      <c r="C90" s="276">
        <v>1</v>
      </c>
      <c r="D90" s="276">
        <v>0</v>
      </c>
      <c r="E90" s="276">
        <v>1</v>
      </c>
      <c r="F90" s="8">
        <v>10</v>
      </c>
      <c r="G90" s="359">
        <v>1</v>
      </c>
      <c r="H90" s="10">
        <v>64</v>
      </c>
      <c r="I90" s="7" t="s">
        <v>76</v>
      </c>
      <c r="J90" s="287"/>
      <c r="K90" s="356">
        <v>19083.37</v>
      </c>
      <c r="L90" s="359"/>
      <c r="M90" s="289"/>
      <c r="N90" s="357">
        <v>17335</v>
      </c>
      <c r="O90" s="290">
        <f t="shared" si="4"/>
        <v>0.90838253411216163</v>
      </c>
      <c r="P90" s="290">
        <f t="shared" si="19"/>
        <v>0.30838253411216165</v>
      </c>
      <c r="Q90" s="291">
        <f t="shared" si="5"/>
        <v>5884.9780000000019</v>
      </c>
      <c r="R90" s="291">
        <f t="shared" si="20"/>
        <v>882.74670000000026</v>
      </c>
      <c r="S90" s="357">
        <v>4263</v>
      </c>
      <c r="T90" s="292">
        <f t="shared" si="6"/>
        <v>5200.5</v>
      </c>
      <c r="U90" s="254">
        <f t="shared" si="21"/>
        <v>26232.366699999999</v>
      </c>
      <c r="V90" s="356">
        <v>6954044431.3299999</v>
      </c>
      <c r="W90" s="357">
        <v>123628</v>
      </c>
      <c r="X90" s="264">
        <f t="shared" si="7"/>
        <v>56249.75</v>
      </c>
      <c r="Y90" s="293">
        <f t="shared" si="8"/>
        <v>0.29216599999999998</v>
      </c>
      <c r="Z90" s="357">
        <v>34338</v>
      </c>
      <c r="AA90" s="293">
        <f t="shared" si="9"/>
        <v>0.28497600000000001</v>
      </c>
      <c r="AB90" s="293">
        <f t="shared" si="10"/>
        <v>0.70999100000000004</v>
      </c>
      <c r="AC90" s="294">
        <f t="shared" si="11"/>
        <v>0.70999100000000004</v>
      </c>
      <c r="AD90" s="295">
        <f t="shared" si="22"/>
        <v>0.06</v>
      </c>
      <c r="AE90" s="296">
        <f t="shared" si="23"/>
        <v>0.76999100000000009</v>
      </c>
      <c r="AF90" s="357">
        <v>0</v>
      </c>
      <c r="AG90" s="357">
        <v>0</v>
      </c>
      <c r="AH90" s="254">
        <f t="shared" si="24"/>
        <v>0</v>
      </c>
      <c r="AI90" s="9">
        <f t="shared" si="12"/>
        <v>0</v>
      </c>
      <c r="AJ90" s="9">
        <v>0</v>
      </c>
      <c r="AK90" s="9">
        <f t="shared" si="25"/>
        <v>0</v>
      </c>
      <c r="AL90" s="9">
        <f t="shared" si="26"/>
        <v>0</v>
      </c>
      <c r="AM90" s="9">
        <f t="shared" si="27"/>
        <v>0</v>
      </c>
      <c r="AN90" s="9">
        <f t="shared" si="28"/>
        <v>0</v>
      </c>
      <c r="AO90" s="9">
        <f t="shared" si="13"/>
        <v>232789859</v>
      </c>
      <c r="AP90" s="9">
        <f t="shared" si="29"/>
        <v>232789859</v>
      </c>
      <c r="AQ90" s="9">
        <f t="shared" si="30"/>
        <v>232789859</v>
      </c>
      <c r="AR90" s="291">
        <v>200518244</v>
      </c>
      <c r="AS90" s="9">
        <f t="shared" si="31"/>
        <v>32271615</v>
      </c>
      <c r="AT90" s="297" t="str">
        <f t="shared" si="32"/>
        <v>Yes</v>
      </c>
      <c r="AU90" s="357">
        <v>212544931.15900001</v>
      </c>
      <c r="AV90" s="291">
        <f t="shared" si="14"/>
        <v>3440154.159</v>
      </c>
      <c r="AW90" s="291">
        <f t="shared" si="33"/>
        <v>215985085.31800002</v>
      </c>
      <c r="AX90" s="291">
        <f t="shared" si="15"/>
        <v>215985085.31800002</v>
      </c>
      <c r="AY90" s="358">
        <f t="shared" si="34"/>
        <v>3440154.1590000093</v>
      </c>
      <c r="AZ90" s="301"/>
      <c r="BA90" s="301"/>
      <c r="BB90" s="302"/>
      <c r="BC90" s="291">
        <f t="shared" si="35"/>
        <v>219425239.47700003</v>
      </c>
      <c r="BD90" s="298">
        <f t="shared" si="50"/>
        <v>222865393.63600004</v>
      </c>
      <c r="BE90" s="298">
        <f t="shared" si="50"/>
        <v>226305547.79500005</v>
      </c>
      <c r="BF90" s="298">
        <f t="shared" si="50"/>
        <v>229745701.95400006</v>
      </c>
      <c r="BG90" s="298">
        <f t="shared" si="51"/>
        <v>232789859</v>
      </c>
      <c r="BH90" s="298">
        <f t="shared" si="51"/>
        <v>232789859</v>
      </c>
      <c r="BI90" s="298">
        <f t="shared" si="38"/>
        <v>232789859</v>
      </c>
      <c r="BK90" s="298">
        <f t="shared" si="39"/>
        <v>219425239.47700003</v>
      </c>
      <c r="BL90" s="298">
        <f t="shared" si="40"/>
        <v>222865393.63600004</v>
      </c>
      <c r="BM90" s="298">
        <f t="shared" si="41"/>
        <v>226305547.79500005</v>
      </c>
      <c r="BN90" s="298">
        <f t="shared" si="42"/>
        <v>229745701.95400006</v>
      </c>
      <c r="BO90" s="298">
        <f t="shared" si="43"/>
        <v>232789859</v>
      </c>
      <c r="BP90" s="298">
        <f t="shared" si="44"/>
        <v>232789859</v>
      </c>
      <c r="BQ90" s="298">
        <f t="shared" si="45"/>
        <v>232789859</v>
      </c>
    </row>
    <row r="91" spans="1:69" ht="15" x14ac:dyDescent="0.2">
      <c r="A91" s="10" t="s">
        <v>8</v>
      </c>
      <c r="B91" s="10"/>
      <c r="C91" s="276"/>
      <c r="D91" s="276"/>
      <c r="E91" s="276"/>
      <c r="F91" s="8">
        <v>6</v>
      </c>
      <c r="G91" s="355">
        <v>124</v>
      </c>
      <c r="H91" s="10">
        <v>65</v>
      </c>
      <c r="I91" s="7" t="s">
        <v>77</v>
      </c>
      <c r="J91" s="287"/>
      <c r="K91" s="356">
        <v>229.67</v>
      </c>
      <c r="L91" s="355"/>
      <c r="M91" s="289"/>
      <c r="N91" s="357">
        <v>46</v>
      </c>
      <c r="O91" s="290">
        <f t="shared" ref="O91:O154" si="52">N91/K91</f>
        <v>0.20028736883354378</v>
      </c>
      <c r="P91" s="290">
        <f t="shared" si="19"/>
        <v>0</v>
      </c>
      <c r="Q91" s="291">
        <f t="shared" ref="Q91:Q154" si="53">P91*K91</f>
        <v>0</v>
      </c>
      <c r="R91" s="291">
        <f t="shared" si="20"/>
        <v>0</v>
      </c>
      <c r="S91" s="357">
        <v>2</v>
      </c>
      <c r="T91" s="292">
        <f t="shared" ref="T91:T154" si="54">ROUND(N91*$T$2,2)</f>
        <v>13.8</v>
      </c>
      <c r="U91" s="254">
        <f t="shared" si="21"/>
        <v>243.97</v>
      </c>
      <c r="V91" s="356">
        <v>297876092.67000002</v>
      </c>
      <c r="W91" s="357">
        <v>2041</v>
      </c>
      <c r="X91" s="264">
        <f t="shared" ref="X91:X154" si="55">ROUND(V91/W91,2)</f>
        <v>145946.15</v>
      </c>
      <c r="Y91" s="293">
        <f t="shared" ref="Y91:Y154" si="56">(ROUND(X91/$Y$21,6))</f>
        <v>0.75805599999999995</v>
      </c>
      <c r="Z91" s="357">
        <v>95259</v>
      </c>
      <c r="AA91" s="293">
        <f t="shared" ref="AA91:AA154" si="57">(ROUND(Z91/$AA$21,6))</f>
        <v>0.79056899999999997</v>
      </c>
      <c r="AB91" s="293">
        <f t="shared" ref="AB91:AB154" si="58">ROUND(1-((Y91*$T$4)+(AA91*$T$5)),6)</f>
        <v>0.23219000000000001</v>
      </c>
      <c r="AC91" s="294">
        <f t="shared" ref="AC91:AC154" si="59">IF(C91=1,MAX($T$7,AB91),MAX($T$6,AB91))</f>
        <v>0.23219000000000001</v>
      </c>
      <c r="AD91" s="295">
        <f t="shared" si="22"/>
        <v>0</v>
      </c>
      <c r="AE91" s="296">
        <f t="shared" si="23"/>
        <v>0.23219000000000001</v>
      </c>
      <c r="AF91" s="357">
        <v>0</v>
      </c>
      <c r="AG91" s="357">
        <v>0</v>
      </c>
      <c r="AH91" s="254">
        <f t="shared" si="24"/>
        <v>0</v>
      </c>
      <c r="AI91" s="9">
        <f t="shared" ref="AI91:AI154" si="60">ROUND(AF91*AH91,0)</f>
        <v>0</v>
      </c>
      <c r="AJ91" s="9">
        <v>1</v>
      </c>
      <c r="AK91" s="9">
        <f t="shared" si="25"/>
        <v>4</v>
      </c>
      <c r="AL91" s="9">
        <f t="shared" si="26"/>
        <v>400</v>
      </c>
      <c r="AM91" s="9">
        <f t="shared" si="27"/>
        <v>400</v>
      </c>
      <c r="AN91" s="9">
        <f t="shared" si="28"/>
        <v>400</v>
      </c>
      <c r="AO91" s="9">
        <f t="shared" ref="AO91:AO154" si="61">ROUND(U91*AE91*$AO$21,0)</f>
        <v>652861</v>
      </c>
      <c r="AP91" s="9">
        <f t="shared" si="29"/>
        <v>653261</v>
      </c>
      <c r="AQ91" s="9">
        <f t="shared" si="30"/>
        <v>653261</v>
      </c>
      <c r="AR91" s="291">
        <v>1327652</v>
      </c>
      <c r="AS91" s="9">
        <f t="shared" si="31"/>
        <v>674391</v>
      </c>
      <c r="AT91" s="297" t="str">
        <f t="shared" si="32"/>
        <v>No</v>
      </c>
      <c r="AU91" s="357">
        <v>1071722</v>
      </c>
      <c r="AV91" s="291">
        <f t="shared" ref="AV91:AV154" si="62">IF(AT91="Yes",+AS91*$L$9,+AS91*$L$10)</f>
        <v>56176.770299999996</v>
      </c>
      <c r="AW91" s="291">
        <f t="shared" si="33"/>
        <v>1071722</v>
      </c>
      <c r="AX91" s="291">
        <f t="shared" ref="AX91:AX154" si="63">IF(C91=1,MAX(AW91,AR91),AW91)</f>
        <v>1071722</v>
      </c>
      <c r="AY91" s="358">
        <f t="shared" si="34"/>
        <v>0</v>
      </c>
      <c r="AZ91" s="301"/>
      <c r="BA91" s="301"/>
      <c r="BB91" s="302"/>
      <c r="BC91" s="291">
        <f t="shared" si="35"/>
        <v>1015545.2297</v>
      </c>
      <c r="BD91" s="298">
        <f t="shared" si="50"/>
        <v>959368.45940000005</v>
      </c>
      <c r="BE91" s="298">
        <f t="shared" si="50"/>
        <v>903191.68910000008</v>
      </c>
      <c r="BF91" s="298">
        <f t="shared" si="50"/>
        <v>847014.9188000001</v>
      </c>
      <c r="BG91" s="298">
        <f t="shared" si="51"/>
        <v>790838.14850000013</v>
      </c>
      <c r="BH91" s="298">
        <f t="shared" si="51"/>
        <v>734661.37820000015</v>
      </c>
      <c r="BI91" s="298">
        <f t="shared" si="38"/>
        <v>653261</v>
      </c>
      <c r="BK91" s="298">
        <f t="shared" si="39"/>
        <v>1015545.2297</v>
      </c>
      <c r="BL91" s="298">
        <f t="shared" si="40"/>
        <v>959368.45940000005</v>
      </c>
      <c r="BM91" s="298">
        <f t="shared" si="41"/>
        <v>903191.68910000008</v>
      </c>
      <c r="BN91" s="298">
        <f t="shared" si="42"/>
        <v>847014.9188000001</v>
      </c>
      <c r="BO91" s="298">
        <f t="shared" si="43"/>
        <v>790838.14850000013</v>
      </c>
      <c r="BP91" s="298">
        <f t="shared" si="44"/>
        <v>734661.37820000015</v>
      </c>
      <c r="BQ91" s="298">
        <f t="shared" si="45"/>
        <v>653261</v>
      </c>
    </row>
    <row r="92" spans="1:69" ht="15" x14ac:dyDescent="0.2">
      <c r="A92" s="10" t="s">
        <v>4</v>
      </c>
      <c r="B92" s="10"/>
      <c r="C92" s="276"/>
      <c r="D92" s="276"/>
      <c r="E92" s="276"/>
      <c r="F92" s="8">
        <v>5</v>
      </c>
      <c r="G92" s="355">
        <v>116</v>
      </c>
      <c r="H92" s="10">
        <v>66</v>
      </c>
      <c r="I92" s="7" t="s">
        <v>78</v>
      </c>
      <c r="J92" s="287"/>
      <c r="K92" s="356">
        <v>763.32</v>
      </c>
      <c r="L92" s="355"/>
      <c r="M92" s="289"/>
      <c r="N92" s="357">
        <v>130</v>
      </c>
      <c r="O92" s="290">
        <f t="shared" si="52"/>
        <v>0.17030865167950532</v>
      </c>
      <c r="P92" s="290">
        <f t="shared" ref="P92:P155" si="64">IF(O92&gt;0.6,+O92-0.6,0)</f>
        <v>0</v>
      </c>
      <c r="Q92" s="291">
        <f t="shared" si="53"/>
        <v>0</v>
      </c>
      <c r="R92" s="291">
        <f t="shared" ref="R92:R155" si="65">Q92*0.15</f>
        <v>0</v>
      </c>
      <c r="S92" s="357">
        <v>2</v>
      </c>
      <c r="T92" s="292">
        <f t="shared" si="54"/>
        <v>39</v>
      </c>
      <c r="U92" s="254">
        <f t="shared" ref="U92:U155" si="66">K92+T92+0.25*S92+0.15*Q92</f>
        <v>802.82</v>
      </c>
      <c r="V92" s="356">
        <v>824633269</v>
      </c>
      <c r="W92" s="357">
        <v>5469</v>
      </c>
      <c r="X92" s="264">
        <f t="shared" si="55"/>
        <v>150783.19</v>
      </c>
      <c r="Y92" s="293">
        <f t="shared" si="56"/>
        <v>0.78317999999999999</v>
      </c>
      <c r="Z92" s="357">
        <v>108355</v>
      </c>
      <c r="AA92" s="293">
        <f t="shared" si="57"/>
        <v>0.89925500000000003</v>
      </c>
      <c r="AB92" s="293">
        <f t="shared" si="58"/>
        <v>0.18199799999999999</v>
      </c>
      <c r="AC92" s="294">
        <f t="shared" si="59"/>
        <v>0.18199799999999999</v>
      </c>
      <c r="AD92" s="295">
        <f t="shared" ref="AD92:AD155" si="67">IF(G92&gt;=1,IF(G92&lt;=5,0.06,IF(G92&lt;=10,0.05,IF(G92&lt;=15,0.04,IF(G92&lt;=19,0.03,0)))),0)</f>
        <v>0</v>
      </c>
      <c r="AE92" s="296">
        <f t="shared" ref="AE92:AE155" si="68">+AD92+AC92</f>
        <v>0.18199799999999999</v>
      </c>
      <c r="AF92" s="357">
        <v>763</v>
      </c>
      <c r="AG92" s="357">
        <v>13</v>
      </c>
      <c r="AH92" s="254">
        <f t="shared" ref="AH92:AH155" si="69">ROUND(AG92*100,2)</f>
        <v>1300</v>
      </c>
      <c r="AI92" s="9">
        <f t="shared" si="60"/>
        <v>991900</v>
      </c>
      <c r="AJ92" s="9">
        <v>0</v>
      </c>
      <c r="AK92" s="9">
        <f t="shared" ref="AK92:AK155" si="70">IF(AJ92&gt;0,4,0)</f>
        <v>0</v>
      </c>
      <c r="AL92" s="9">
        <f t="shared" ref="AL92:AL155" si="71">ROUND(AK92*100,2)</f>
        <v>0</v>
      </c>
      <c r="AM92" s="9">
        <f t="shared" ref="AM92:AM155" si="72">ROUND(AJ92*AL92,0)</f>
        <v>0</v>
      </c>
      <c r="AN92" s="9">
        <f t="shared" ref="AN92:AN155" si="73">AI92+AM92</f>
        <v>991900</v>
      </c>
      <c r="AO92" s="9">
        <f t="shared" si="61"/>
        <v>1683937</v>
      </c>
      <c r="AP92" s="9">
        <f t="shared" ref="AP92:AP155" si="74">IF(AO92=0, 0,AN92+AO92)</f>
        <v>2675837</v>
      </c>
      <c r="AQ92" s="9">
        <f t="shared" ref="AQ92:AQ155" si="75">IF(AND(C92=1,AP92&lt;AR92),AR92,AP92)</f>
        <v>2675837</v>
      </c>
      <c r="AR92" s="291">
        <v>2708774</v>
      </c>
      <c r="AS92" s="9">
        <f t="shared" ref="AS92:AS155" si="76">ABS(SUM(AR92,-AP92))</f>
        <v>32937</v>
      </c>
      <c r="AT92" s="297" t="str">
        <f t="shared" ref="AT92:AT155" si="77">IF(AP92&gt;AR92,"Yes","No")</f>
        <v>No</v>
      </c>
      <c r="AU92" s="357">
        <v>2430050</v>
      </c>
      <c r="AV92" s="291">
        <f t="shared" si="62"/>
        <v>2743.6520999999998</v>
      </c>
      <c r="AW92" s="291">
        <f t="shared" ref="AW92:AW155" si="78">IF(AT92="Yes",+AU92+AV92,+AU92)</f>
        <v>2430050</v>
      </c>
      <c r="AX92" s="291">
        <f t="shared" si="63"/>
        <v>2430050</v>
      </c>
      <c r="AY92" s="358">
        <f t="shared" ref="AY92:AY155" si="79">AX92-AU92</f>
        <v>0</v>
      </c>
      <c r="AZ92" s="301"/>
      <c r="BA92" s="301"/>
      <c r="BB92" s="302"/>
      <c r="BC92" s="291">
        <f t="shared" ref="BC92:BC155" si="80">IF(AT92="Yes",AX92+AV92,AX92-AV92)</f>
        <v>2427306.3478999999</v>
      </c>
      <c r="BD92" s="298">
        <f t="shared" ref="BD92:BF107" si="81">IF($AT92="Yes",BC92+$AV92,BC92-$AV92)</f>
        <v>2424562.6957999999</v>
      </c>
      <c r="BE92" s="298">
        <f t="shared" si="81"/>
        <v>2421819.0436999998</v>
      </c>
      <c r="BF92" s="298">
        <f t="shared" si="81"/>
        <v>2419075.3915999997</v>
      </c>
      <c r="BG92" s="298">
        <f t="shared" ref="BG92:BH107" si="82">IF($AT92="Yes",$AP92,BF92-$AV92)</f>
        <v>2416331.7394999997</v>
      </c>
      <c r="BH92" s="298">
        <f t="shared" si="82"/>
        <v>2413588.0873999996</v>
      </c>
      <c r="BI92" s="298">
        <f t="shared" ref="BI92:BI155" si="83">AP92</f>
        <v>2675837</v>
      </c>
      <c r="BK92" s="298">
        <f t="shared" ref="BK92:BK155" si="84">IF(C92=1,MAX(BC92,$AR92),BC92)</f>
        <v>2427306.3478999999</v>
      </c>
      <c r="BL92" s="298">
        <f t="shared" ref="BL92:BL155" si="85">IF($C92=1,MAX(BD92,$AR92),BD92)</f>
        <v>2424562.6957999999</v>
      </c>
      <c r="BM92" s="298">
        <f t="shared" ref="BM92:BM155" si="86">IF($C92=1,MAX(BE92,$AR92),BE92)</f>
        <v>2421819.0436999998</v>
      </c>
      <c r="BN92" s="298">
        <f t="shared" ref="BN92:BN155" si="87">IF($C92=1,MAX(BF92,$AR92),BF92)</f>
        <v>2419075.3915999997</v>
      </c>
      <c r="BO92" s="298">
        <f t="shared" ref="BO92:BO155" si="88">IF($C92=1,MAX(BG92,$AR92),BG92)</f>
        <v>2416331.7394999997</v>
      </c>
      <c r="BP92" s="298">
        <f t="shared" ref="BP92:BP155" si="89">IF($C92=1,MAX(BH92,$AR92),BH92)</f>
        <v>2413588.0873999996</v>
      </c>
      <c r="BQ92" s="298">
        <f t="shared" ref="BQ92:BQ155" si="90">AQ92</f>
        <v>2675837</v>
      </c>
    </row>
    <row r="93" spans="1:69" ht="15" x14ac:dyDescent="0.2">
      <c r="A93" s="10" t="s">
        <v>4</v>
      </c>
      <c r="B93" s="10"/>
      <c r="C93" s="276"/>
      <c r="D93" s="276"/>
      <c r="E93" s="276"/>
      <c r="F93" s="8">
        <v>4</v>
      </c>
      <c r="G93" s="355">
        <v>94</v>
      </c>
      <c r="H93" s="10">
        <v>67</v>
      </c>
      <c r="I93" s="7" t="s">
        <v>79</v>
      </c>
      <c r="J93" s="287"/>
      <c r="K93" s="356">
        <v>1246.25</v>
      </c>
      <c r="L93" s="355"/>
      <c r="M93" s="289"/>
      <c r="N93" s="357">
        <v>190</v>
      </c>
      <c r="O93" s="290">
        <f t="shared" si="52"/>
        <v>0.15245737211634905</v>
      </c>
      <c r="P93" s="290">
        <f t="shared" si="64"/>
        <v>0</v>
      </c>
      <c r="Q93" s="291">
        <f t="shared" si="53"/>
        <v>0</v>
      </c>
      <c r="R93" s="291">
        <f t="shared" si="65"/>
        <v>0</v>
      </c>
      <c r="S93" s="357">
        <v>5</v>
      </c>
      <c r="T93" s="292">
        <f t="shared" si="54"/>
        <v>57</v>
      </c>
      <c r="U93" s="254">
        <f t="shared" si="66"/>
        <v>1304.5</v>
      </c>
      <c r="V93" s="356">
        <v>1140486974.6700001</v>
      </c>
      <c r="W93" s="357">
        <v>9522</v>
      </c>
      <c r="X93" s="264">
        <f t="shared" si="55"/>
        <v>119773.89</v>
      </c>
      <c r="Y93" s="293">
        <f t="shared" si="56"/>
        <v>0.62211499999999997</v>
      </c>
      <c r="Z93" s="357">
        <v>110938</v>
      </c>
      <c r="AA93" s="293">
        <f t="shared" si="57"/>
        <v>0.92069100000000004</v>
      </c>
      <c r="AB93" s="293">
        <f t="shared" si="58"/>
        <v>0.28831200000000001</v>
      </c>
      <c r="AC93" s="294">
        <f t="shared" si="59"/>
        <v>0.28831200000000001</v>
      </c>
      <c r="AD93" s="295">
        <f t="shared" si="67"/>
        <v>0</v>
      </c>
      <c r="AE93" s="296">
        <f t="shared" si="68"/>
        <v>0.28831200000000001</v>
      </c>
      <c r="AF93" s="357">
        <v>640</v>
      </c>
      <c r="AG93" s="357">
        <v>6</v>
      </c>
      <c r="AH93" s="254">
        <f t="shared" si="69"/>
        <v>600</v>
      </c>
      <c r="AI93" s="9">
        <f t="shared" si="60"/>
        <v>384000</v>
      </c>
      <c r="AJ93" s="9">
        <v>0</v>
      </c>
      <c r="AK93" s="9">
        <f t="shared" si="70"/>
        <v>0</v>
      </c>
      <c r="AL93" s="9">
        <f t="shared" si="71"/>
        <v>0</v>
      </c>
      <c r="AM93" s="9">
        <f t="shared" si="72"/>
        <v>0</v>
      </c>
      <c r="AN93" s="9">
        <f t="shared" si="73"/>
        <v>384000</v>
      </c>
      <c r="AO93" s="9">
        <f t="shared" si="61"/>
        <v>4334587</v>
      </c>
      <c r="AP93" s="9">
        <f t="shared" si="74"/>
        <v>4718587</v>
      </c>
      <c r="AQ93" s="9">
        <f t="shared" si="75"/>
        <v>4718587</v>
      </c>
      <c r="AR93" s="291">
        <v>6875123</v>
      </c>
      <c r="AS93" s="9">
        <f t="shared" si="76"/>
        <v>2156536</v>
      </c>
      <c r="AT93" s="297" t="str">
        <f t="shared" si="77"/>
        <v>No</v>
      </c>
      <c r="AU93" s="357">
        <v>5997693</v>
      </c>
      <c r="AV93" s="291">
        <f t="shared" si="62"/>
        <v>179639.44879999998</v>
      </c>
      <c r="AW93" s="291">
        <f t="shared" si="78"/>
        <v>5997693</v>
      </c>
      <c r="AX93" s="291">
        <f t="shared" si="63"/>
        <v>5997693</v>
      </c>
      <c r="AY93" s="358">
        <f t="shared" si="79"/>
        <v>0</v>
      </c>
      <c r="AZ93" s="301"/>
      <c r="BA93" s="301"/>
      <c r="BB93" s="302"/>
      <c r="BC93" s="291">
        <f t="shared" si="80"/>
        <v>5818053.5511999996</v>
      </c>
      <c r="BD93" s="298">
        <f t="shared" si="81"/>
        <v>5638414.1023999993</v>
      </c>
      <c r="BE93" s="298">
        <f t="shared" si="81"/>
        <v>5458774.6535999989</v>
      </c>
      <c r="BF93" s="298">
        <f t="shared" si="81"/>
        <v>5279135.2047999986</v>
      </c>
      <c r="BG93" s="298">
        <f t="shared" si="82"/>
        <v>5099495.7559999982</v>
      </c>
      <c r="BH93" s="298">
        <f t="shared" si="82"/>
        <v>4919856.3071999978</v>
      </c>
      <c r="BI93" s="298">
        <f t="shared" si="83"/>
        <v>4718587</v>
      </c>
      <c r="BK93" s="298">
        <f t="shared" si="84"/>
        <v>5818053.5511999996</v>
      </c>
      <c r="BL93" s="298">
        <f t="shared" si="85"/>
        <v>5638414.1023999993</v>
      </c>
      <c r="BM93" s="298">
        <f t="shared" si="86"/>
        <v>5458774.6535999989</v>
      </c>
      <c r="BN93" s="298">
        <f t="shared" si="87"/>
        <v>5279135.2047999986</v>
      </c>
      <c r="BO93" s="298">
        <f t="shared" si="88"/>
        <v>5099495.7559999982</v>
      </c>
      <c r="BP93" s="298">
        <f t="shared" si="89"/>
        <v>4919856.3071999978</v>
      </c>
      <c r="BQ93" s="298">
        <f t="shared" si="90"/>
        <v>4718587</v>
      </c>
    </row>
    <row r="94" spans="1:69" ht="15" x14ac:dyDescent="0.2">
      <c r="A94" s="10" t="s">
        <v>8</v>
      </c>
      <c r="B94" s="10"/>
      <c r="C94" s="276"/>
      <c r="D94" s="276"/>
      <c r="E94" s="276"/>
      <c r="F94" s="8">
        <v>2</v>
      </c>
      <c r="G94" s="355">
        <v>143</v>
      </c>
      <c r="H94" s="10">
        <v>68</v>
      </c>
      <c r="I94" s="7" t="s">
        <v>80</v>
      </c>
      <c r="J94" s="287"/>
      <c r="K94" s="356">
        <v>235.69</v>
      </c>
      <c r="L94" s="355"/>
      <c r="M94" s="289"/>
      <c r="N94" s="357">
        <v>63</v>
      </c>
      <c r="O94" s="290">
        <f t="shared" si="52"/>
        <v>0.26730026730026729</v>
      </c>
      <c r="P94" s="290">
        <f t="shared" si="64"/>
        <v>0</v>
      </c>
      <c r="Q94" s="291">
        <f t="shared" si="53"/>
        <v>0</v>
      </c>
      <c r="R94" s="291">
        <f t="shared" si="65"/>
        <v>0</v>
      </c>
      <c r="S94" s="357">
        <v>2</v>
      </c>
      <c r="T94" s="292">
        <f t="shared" si="54"/>
        <v>18.899999999999999</v>
      </c>
      <c r="U94" s="254">
        <f t="shared" si="66"/>
        <v>255.09</v>
      </c>
      <c r="V94" s="356">
        <v>872480191</v>
      </c>
      <c r="W94" s="357">
        <v>2824</v>
      </c>
      <c r="X94" s="264">
        <f t="shared" si="55"/>
        <v>308951.90999999997</v>
      </c>
      <c r="Y94" s="293">
        <f t="shared" si="56"/>
        <v>1.604722</v>
      </c>
      <c r="Z94" s="357">
        <v>65985</v>
      </c>
      <c r="AA94" s="293">
        <f t="shared" si="57"/>
        <v>0.54761899999999997</v>
      </c>
      <c r="AB94" s="293">
        <f t="shared" si="58"/>
        <v>-0.28759099999999999</v>
      </c>
      <c r="AC94" s="294">
        <f t="shared" si="59"/>
        <v>0.01</v>
      </c>
      <c r="AD94" s="295">
        <f t="shared" si="67"/>
        <v>0</v>
      </c>
      <c r="AE94" s="296">
        <f t="shared" si="68"/>
        <v>0.01</v>
      </c>
      <c r="AF94" s="357">
        <v>44</v>
      </c>
      <c r="AG94" s="357">
        <v>4</v>
      </c>
      <c r="AH94" s="254">
        <f t="shared" si="69"/>
        <v>400</v>
      </c>
      <c r="AI94" s="9">
        <f t="shared" si="60"/>
        <v>17600</v>
      </c>
      <c r="AJ94" s="9">
        <v>0</v>
      </c>
      <c r="AK94" s="9">
        <f t="shared" si="70"/>
        <v>0</v>
      </c>
      <c r="AL94" s="9">
        <f t="shared" si="71"/>
        <v>0</v>
      </c>
      <c r="AM94" s="9">
        <f t="shared" si="72"/>
        <v>0</v>
      </c>
      <c r="AN94" s="9">
        <f t="shared" si="73"/>
        <v>17600</v>
      </c>
      <c r="AO94" s="9">
        <f t="shared" si="61"/>
        <v>29399</v>
      </c>
      <c r="AP94" s="9">
        <f t="shared" si="74"/>
        <v>46999</v>
      </c>
      <c r="AQ94" s="9">
        <f t="shared" si="75"/>
        <v>46999</v>
      </c>
      <c r="AR94" s="291">
        <v>25634</v>
      </c>
      <c r="AS94" s="9">
        <f t="shared" si="76"/>
        <v>21365</v>
      </c>
      <c r="AT94" s="297" t="str">
        <f t="shared" si="77"/>
        <v>Yes</v>
      </c>
      <c r="AU94" s="357">
        <v>29871.508999999998</v>
      </c>
      <c r="AV94" s="291">
        <f t="shared" si="62"/>
        <v>2277.509</v>
      </c>
      <c r="AW94" s="291">
        <f t="shared" si="78"/>
        <v>32149.017999999996</v>
      </c>
      <c r="AX94" s="291">
        <f t="shared" si="63"/>
        <v>32149.017999999996</v>
      </c>
      <c r="AY94" s="358">
        <f t="shared" si="79"/>
        <v>2277.5089999999982</v>
      </c>
      <c r="AZ94" s="301"/>
      <c r="BA94" s="301"/>
      <c r="BB94" s="302"/>
      <c r="BC94" s="291">
        <f t="shared" si="80"/>
        <v>34426.526999999995</v>
      </c>
      <c r="BD94" s="298">
        <f t="shared" si="81"/>
        <v>36704.035999999993</v>
      </c>
      <c r="BE94" s="298">
        <f t="shared" si="81"/>
        <v>38981.544999999991</v>
      </c>
      <c r="BF94" s="298">
        <f t="shared" si="81"/>
        <v>41259.053999999989</v>
      </c>
      <c r="BG94" s="298">
        <f t="shared" si="82"/>
        <v>46999</v>
      </c>
      <c r="BH94" s="298">
        <f t="shared" si="82"/>
        <v>46999</v>
      </c>
      <c r="BI94" s="298">
        <f t="shared" si="83"/>
        <v>46999</v>
      </c>
      <c r="BK94" s="298">
        <f t="shared" si="84"/>
        <v>34426.526999999995</v>
      </c>
      <c r="BL94" s="298">
        <f t="shared" si="85"/>
        <v>36704.035999999993</v>
      </c>
      <c r="BM94" s="298">
        <f t="shared" si="86"/>
        <v>38981.544999999991</v>
      </c>
      <c r="BN94" s="298">
        <f t="shared" si="87"/>
        <v>41259.053999999989</v>
      </c>
      <c r="BO94" s="298">
        <f t="shared" si="88"/>
        <v>46999</v>
      </c>
      <c r="BP94" s="298">
        <f t="shared" si="89"/>
        <v>46999</v>
      </c>
      <c r="BQ94" s="298">
        <f t="shared" si="90"/>
        <v>46999</v>
      </c>
    </row>
    <row r="95" spans="1:69" ht="15" x14ac:dyDescent="0.2">
      <c r="A95" s="10" t="s">
        <v>19</v>
      </c>
      <c r="B95" s="10"/>
      <c r="C95" s="276">
        <v>1</v>
      </c>
      <c r="D95" s="276">
        <v>1</v>
      </c>
      <c r="E95" s="276"/>
      <c r="F95" s="8">
        <v>10</v>
      </c>
      <c r="G95" s="359">
        <v>29</v>
      </c>
      <c r="H95" s="10">
        <v>69</v>
      </c>
      <c r="I95" s="7" t="s">
        <v>81</v>
      </c>
      <c r="J95" s="287"/>
      <c r="K95" s="356">
        <v>2115.8200000000002</v>
      </c>
      <c r="L95" s="359"/>
      <c r="M95" s="289"/>
      <c r="N95" s="357">
        <v>1026</v>
      </c>
      <c r="O95" s="290">
        <f t="shared" si="52"/>
        <v>0.4849183767995387</v>
      </c>
      <c r="P95" s="290">
        <f t="shared" si="64"/>
        <v>0</v>
      </c>
      <c r="Q95" s="291">
        <f t="shared" si="53"/>
        <v>0</v>
      </c>
      <c r="R95" s="291">
        <f t="shared" si="65"/>
        <v>0</v>
      </c>
      <c r="S95" s="357">
        <v>64</v>
      </c>
      <c r="T95" s="292">
        <f t="shared" si="54"/>
        <v>307.8</v>
      </c>
      <c r="U95" s="254">
        <f t="shared" si="66"/>
        <v>2439.6200000000003</v>
      </c>
      <c r="V95" s="356">
        <v>1976101967.6700001</v>
      </c>
      <c r="W95" s="357">
        <v>17170</v>
      </c>
      <c r="X95" s="264">
        <f t="shared" si="55"/>
        <v>115090.39</v>
      </c>
      <c r="Y95" s="293">
        <f t="shared" si="56"/>
        <v>0.59778900000000001</v>
      </c>
      <c r="Z95" s="357">
        <v>61709</v>
      </c>
      <c r="AA95" s="293">
        <f t="shared" si="57"/>
        <v>0.51213200000000003</v>
      </c>
      <c r="AB95" s="293">
        <f t="shared" si="58"/>
        <v>0.42790800000000001</v>
      </c>
      <c r="AC95" s="294">
        <f t="shared" si="59"/>
        <v>0.42790800000000001</v>
      </c>
      <c r="AD95" s="295">
        <f t="shared" si="67"/>
        <v>0</v>
      </c>
      <c r="AE95" s="296">
        <f t="shared" si="68"/>
        <v>0.42790800000000001</v>
      </c>
      <c r="AF95" s="357">
        <v>0</v>
      </c>
      <c r="AG95" s="357">
        <v>0</v>
      </c>
      <c r="AH95" s="254">
        <f t="shared" si="69"/>
        <v>0</v>
      </c>
      <c r="AI95" s="9">
        <f t="shared" si="60"/>
        <v>0</v>
      </c>
      <c r="AJ95" s="9">
        <v>0</v>
      </c>
      <c r="AK95" s="9">
        <f t="shared" si="70"/>
        <v>0</v>
      </c>
      <c r="AL95" s="9">
        <f t="shared" si="71"/>
        <v>0</v>
      </c>
      <c r="AM95" s="9">
        <f t="shared" si="72"/>
        <v>0</v>
      </c>
      <c r="AN95" s="9">
        <f t="shared" si="73"/>
        <v>0</v>
      </c>
      <c r="AO95" s="9">
        <f t="shared" si="61"/>
        <v>12031327</v>
      </c>
      <c r="AP95" s="9">
        <f t="shared" si="74"/>
        <v>12031327</v>
      </c>
      <c r="AQ95" s="9">
        <f t="shared" si="75"/>
        <v>15574402</v>
      </c>
      <c r="AR95" s="291">
        <v>15574402</v>
      </c>
      <c r="AS95" s="9">
        <f t="shared" si="76"/>
        <v>3543075</v>
      </c>
      <c r="AT95" s="297" t="str">
        <f t="shared" si="77"/>
        <v>No</v>
      </c>
      <c r="AU95" s="357">
        <v>15574402</v>
      </c>
      <c r="AV95" s="291">
        <f t="shared" si="62"/>
        <v>295138.14750000002</v>
      </c>
      <c r="AW95" s="291">
        <f t="shared" si="78"/>
        <v>15574402</v>
      </c>
      <c r="AX95" s="291">
        <f t="shared" si="63"/>
        <v>15574402</v>
      </c>
      <c r="AY95" s="358">
        <f t="shared" si="79"/>
        <v>0</v>
      </c>
      <c r="AZ95" s="301"/>
      <c r="BA95" s="301"/>
      <c r="BB95" s="302"/>
      <c r="BC95" s="291">
        <f t="shared" si="80"/>
        <v>15279263.852499999</v>
      </c>
      <c r="BD95" s="298">
        <f t="shared" si="81"/>
        <v>14984125.704999998</v>
      </c>
      <c r="BE95" s="298">
        <f t="shared" si="81"/>
        <v>14688987.557499997</v>
      </c>
      <c r="BF95" s="298">
        <f t="shared" si="81"/>
        <v>14393849.409999996</v>
      </c>
      <c r="BG95" s="298">
        <f t="shared" si="82"/>
        <v>14098711.262499996</v>
      </c>
      <c r="BH95" s="298">
        <f t="shared" si="82"/>
        <v>13803573.114999995</v>
      </c>
      <c r="BI95" s="298">
        <f t="shared" si="83"/>
        <v>12031327</v>
      </c>
      <c r="BK95" s="298">
        <f t="shared" si="84"/>
        <v>15574402</v>
      </c>
      <c r="BL95" s="298">
        <f t="shared" si="85"/>
        <v>15574402</v>
      </c>
      <c r="BM95" s="298">
        <f t="shared" si="86"/>
        <v>15574402</v>
      </c>
      <c r="BN95" s="298">
        <f t="shared" si="87"/>
        <v>15574402</v>
      </c>
      <c r="BO95" s="298">
        <f t="shared" si="88"/>
        <v>15574402</v>
      </c>
      <c r="BP95" s="298">
        <f t="shared" si="89"/>
        <v>15574402</v>
      </c>
      <c r="BQ95" s="298">
        <f t="shared" si="90"/>
        <v>15574402</v>
      </c>
    </row>
    <row r="96" spans="1:69" ht="15" x14ac:dyDescent="0.2">
      <c r="A96" s="10" t="s">
        <v>4</v>
      </c>
      <c r="B96" s="10"/>
      <c r="C96" s="276"/>
      <c r="D96" s="276"/>
      <c r="E96" s="276"/>
      <c r="F96" s="8">
        <v>3</v>
      </c>
      <c r="G96" s="355">
        <v>138</v>
      </c>
      <c r="H96" s="10">
        <v>70</v>
      </c>
      <c r="I96" s="7" t="s">
        <v>82</v>
      </c>
      <c r="J96" s="287"/>
      <c r="K96" s="356">
        <v>732.67</v>
      </c>
      <c r="L96" s="355"/>
      <c r="M96" s="289"/>
      <c r="N96" s="357">
        <v>70</v>
      </c>
      <c r="O96" s="290">
        <f t="shared" si="52"/>
        <v>9.5540966601607824E-2</v>
      </c>
      <c r="P96" s="290">
        <f t="shared" si="64"/>
        <v>0</v>
      </c>
      <c r="Q96" s="291">
        <f t="shared" si="53"/>
        <v>0</v>
      </c>
      <c r="R96" s="291">
        <f t="shared" si="65"/>
        <v>0</v>
      </c>
      <c r="S96" s="357">
        <v>4</v>
      </c>
      <c r="T96" s="292">
        <f t="shared" si="54"/>
        <v>21</v>
      </c>
      <c r="U96" s="254">
        <f t="shared" si="66"/>
        <v>754.67</v>
      </c>
      <c r="V96" s="356">
        <v>1017848591.33</v>
      </c>
      <c r="W96" s="357">
        <v>6414</v>
      </c>
      <c r="X96" s="264">
        <f t="shared" si="55"/>
        <v>158691.70000000001</v>
      </c>
      <c r="Y96" s="293">
        <f t="shared" si="56"/>
        <v>0.82425800000000005</v>
      </c>
      <c r="Z96" s="357">
        <v>113068</v>
      </c>
      <c r="AA96" s="293">
        <f t="shared" si="57"/>
        <v>0.93836799999999998</v>
      </c>
      <c r="AB96" s="293">
        <f t="shared" si="58"/>
        <v>0.141509</v>
      </c>
      <c r="AC96" s="294">
        <f t="shared" si="59"/>
        <v>0.141509</v>
      </c>
      <c r="AD96" s="295">
        <f t="shared" si="67"/>
        <v>0</v>
      </c>
      <c r="AE96" s="296">
        <f t="shared" si="68"/>
        <v>0.141509</v>
      </c>
      <c r="AF96" s="357">
        <v>739</v>
      </c>
      <c r="AG96" s="357">
        <v>13</v>
      </c>
      <c r="AH96" s="254">
        <f t="shared" si="69"/>
        <v>1300</v>
      </c>
      <c r="AI96" s="9">
        <f t="shared" si="60"/>
        <v>960700</v>
      </c>
      <c r="AJ96" s="9">
        <v>0</v>
      </c>
      <c r="AK96" s="9">
        <f t="shared" si="70"/>
        <v>0</v>
      </c>
      <c r="AL96" s="9">
        <f t="shared" si="71"/>
        <v>0</v>
      </c>
      <c r="AM96" s="9">
        <f t="shared" si="72"/>
        <v>0</v>
      </c>
      <c r="AN96" s="9">
        <f t="shared" si="73"/>
        <v>960700</v>
      </c>
      <c r="AO96" s="9">
        <f t="shared" si="61"/>
        <v>1230785</v>
      </c>
      <c r="AP96" s="9">
        <f t="shared" si="74"/>
        <v>2191485</v>
      </c>
      <c r="AQ96" s="9">
        <f t="shared" si="75"/>
        <v>2191485</v>
      </c>
      <c r="AR96" s="291">
        <v>2173420</v>
      </c>
      <c r="AS96" s="9">
        <f t="shared" si="76"/>
        <v>18065</v>
      </c>
      <c r="AT96" s="297" t="str">
        <f t="shared" si="77"/>
        <v>Yes</v>
      </c>
      <c r="AU96" s="357">
        <v>1679588.7290000001</v>
      </c>
      <c r="AV96" s="291">
        <f t="shared" si="62"/>
        <v>1925.729</v>
      </c>
      <c r="AW96" s="291">
        <f t="shared" si="78"/>
        <v>1681514.4580000001</v>
      </c>
      <c r="AX96" s="291">
        <f t="shared" si="63"/>
        <v>1681514.4580000001</v>
      </c>
      <c r="AY96" s="358">
        <f t="shared" si="79"/>
        <v>1925.7290000000503</v>
      </c>
      <c r="AZ96" s="301"/>
      <c r="BA96" s="301"/>
      <c r="BB96" s="302"/>
      <c r="BC96" s="291">
        <f t="shared" si="80"/>
        <v>1683440.1870000002</v>
      </c>
      <c r="BD96" s="298">
        <f t="shared" si="81"/>
        <v>1685365.9160000002</v>
      </c>
      <c r="BE96" s="298">
        <f t="shared" si="81"/>
        <v>1687291.6450000003</v>
      </c>
      <c r="BF96" s="298">
        <f t="shared" si="81"/>
        <v>1689217.3740000003</v>
      </c>
      <c r="BG96" s="298">
        <f t="shared" si="82"/>
        <v>2191485</v>
      </c>
      <c r="BH96" s="298">
        <f t="shared" si="82"/>
        <v>2191485</v>
      </c>
      <c r="BI96" s="298">
        <f t="shared" si="83"/>
        <v>2191485</v>
      </c>
      <c r="BK96" s="298">
        <f t="shared" si="84"/>
        <v>1683440.1870000002</v>
      </c>
      <c r="BL96" s="298">
        <f t="shared" si="85"/>
        <v>1685365.9160000002</v>
      </c>
      <c r="BM96" s="298">
        <f t="shared" si="86"/>
        <v>1687291.6450000003</v>
      </c>
      <c r="BN96" s="298">
        <f t="shared" si="87"/>
        <v>1689217.3740000003</v>
      </c>
      <c r="BO96" s="298">
        <f t="shared" si="88"/>
        <v>2191485</v>
      </c>
      <c r="BP96" s="298">
        <f t="shared" si="89"/>
        <v>2191485</v>
      </c>
      <c r="BQ96" s="298">
        <f t="shared" si="90"/>
        <v>2191485</v>
      </c>
    </row>
    <row r="97" spans="1:69" ht="15" x14ac:dyDescent="0.2">
      <c r="A97" s="10" t="s">
        <v>8</v>
      </c>
      <c r="B97" s="10"/>
      <c r="C97" s="276"/>
      <c r="D97" s="276"/>
      <c r="E97" s="276"/>
      <c r="F97" s="8">
        <v>7</v>
      </c>
      <c r="G97" s="355">
        <v>57</v>
      </c>
      <c r="H97" s="10">
        <v>71</v>
      </c>
      <c r="I97" s="7" t="s">
        <v>83</v>
      </c>
      <c r="J97" s="287"/>
      <c r="K97" s="356">
        <v>894</v>
      </c>
      <c r="L97" s="355"/>
      <c r="M97" s="289"/>
      <c r="N97" s="357">
        <v>258</v>
      </c>
      <c r="O97" s="290">
        <f t="shared" si="52"/>
        <v>0.28859060402684567</v>
      </c>
      <c r="P97" s="290">
        <f t="shared" si="64"/>
        <v>0</v>
      </c>
      <c r="Q97" s="291">
        <f t="shared" si="53"/>
        <v>0</v>
      </c>
      <c r="R97" s="291">
        <f t="shared" si="65"/>
        <v>0</v>
      </c>
      <c r="S97" s="357">
        <v>9</v>
      </c>
      <c r="T97" s="292">
        <f t="shared" si="54"/>
        <v>77.400000000000006</v>
      </c>
      <c r="U97" s="254">
        <f t="shared" si="66"/>
        <v>973.65</v>
      </c>
      <c r="V97" s="356">
        <v>955595158.33000004</v>
      </c>
      <c r="W97" s="357">
        <v>7256</v>
      </c>
      <c r="X97" s="264">
        <f t="shared" si="55"/>
        <v>131697.24</v>
      </c>
      <c r="Y97" s="293">
        <f t="shared" si="56"/>
        <v>0.68404600000000004</v>
      </c>
      <c r="Z97" s="357">
        <v>95757</v>
      </c>
      <c r="AA97" s="293">
        <f t="shared" si="57"/>
        <v>0.79470200000000002</v>
      </c>
      <c r="AB97" s="293">
        <f t="shared" si="58"/>
        <v>0.28275699999999998</v>
      </c>
      <c r="AC97" s="294">
        <f t="shared" si="59"/>
        <v>0.28275699999999998</v>
      </c>
      <c r="AD97" s="295">
        <f t="shared" si="67"/>
        <v>0</v>
      </c>
      <c r="AE97" s="296">
        <f t="shared" si="68"/>
        <v>0.28275699999999998</v>
      </c>
      <c r="AF97" s="357">
        <v>0</v>
      </c>
      <c r="AG97" s="357">
        <v>0</v>
      </c>
      <c r="AH97" s="254">
        <f t="shared" si="69"/>
        <v>0</v>
      </c>
      <c r="AI97" s="9">
        <f t="shared" si="60"/>
        <v>0</v>
      </c>
      <c r="AJ97" s="9">
        <v>0</v>
      </c>
      <c r="AK97" s="9">
        <f t="shared" si="70"/>
        <v>0</v>
      </c>
      <c r="AL97" s="9">
        <f t="shared" si="71"/>
        <v>0</v>
      </c>
      <c r="AM97" s="9">
        <f t="shared" si="72"/>
        <v>0</v>
      </c>
      <c r="AN97" s="9">
        <f t="shared" si="73"/>
        <v>0</v>
      </c>
      <c r="AO97" s="9">
        <f t="shared" si="61"/>
        <v>3172906</v>
      </c>
      <c r="AP97" s="9">
        <f t="shared" si="74"/>
        <v>3172906</v>
      </c>
      <c r="AQ97" s="9">
        <f t="shared" si="75"/>
        <v>3172906</v>
      </c>
      <c r="AR97" s="291">
        <v>5410404</v>
      </c>
      <c r="AS97" s="9">
        <f t="shared" si="76"/>
        <v>2237498</v>
      </c>
      <c r="AT97" s="297" t="str">
        <f t="shared" si="77"/>
        <v>No</v>
      </c>
      <c r="AU97" s="357">
        <v>4578589</v>
      </c>
      <c r="AV97" s="291">
        <f t="shared" si="62"/>
        <v>186383.5834</v>
      </c>
      <c r="AW97" s="291">
        <f t="shared" si="78"/>
        <v>4578589</v>
      </c>
      <c r="AX97" s="291">
        <f t="shared" si="63"/>
        <v>4578589</v>
      </c>
      <c r="AY97" s="358">
        <f t="shared" si="79"/>
        <v>0</v>
      </c>
      <c r="AZ97" s="301"/>
      <c r="BA97" s="301"/>
      <c r="BB97" s="302"/>
      <c r="BC97" s="291">
        <f t="shared" si="80"/>
        <v>4392205.4166000001</v>
      </c>
      <c r="BD97" s="298">
        <f t="shared" si="81"/>
        <v>4205821.8332000002</v>
      </c>
      <c r="BE97" s="298">
        <f t="shared" si="81"/>
        <v>4019438.2498000003</v>
      </c>
      <c r="BF97" s="298">
        <f t="shared" si="81"/>
        <v>3833054.6664000005</v>
      </c>
      <c r="BG97" s="298">
        <f t="shared" si="82"/>
        <v>3646671.0830000006</v>
      </c>
      <c r="BH97" s="298">
        <f t="shared" si="82"/>
        <v>3460287.4996000007</v>
      </c>
      <c r="BI97" s="298">
        <f t="shared" si="83"/>
        <v>3172906</v>
      </c>
      <c r="BK97" s="298">
        <f t="shared" si="84"/>
        <v>4392205.4166000001</v>
      </c>
      <c r="BL97" s="298">
        <f t="shared" si="85"/>
        <v>4205821.8332000002</v>
      </c>
      <c r="BM97" s="298">
        <f t="shared" si="86"/>
        <v>4019438.2498000003</v>
      </c>
      <c r="BN97" s="298">
        <f t="shared" si="87"/>
        <v>3833054.6664000005</v>
      </c>
      <c r="BO97" s="298">
        <f t="shared" si="88"/>
        <v>3646671.0830000006</v>
      </c>
      <c r="BP97" s="298">
        <f t="shared" si="89"/>
        <v>3460287.4996000007</v>
      </c>
      <c r="BQ97" s="298">
        <f t="shared" si="90"/>
        <v>3172906</v>
      </c>
    </row>
    <row r="98" spans="1:69" ht="15" x14ac:dyDescent="0.2">
      <c r="A98" s="10" t="s">
        <v>14</v>
      </c>
      <c r="B98" s="10"/>
      <c r="C98" s="276"/>
      <c r="D98" s="276"/>
      <c r="E98" s="276"/>
      <c r="F98" s="8">
        <v>7</v>
      </c>
      <c r="G98" s="355">
        <v>45</v>
      </c>
      <c r="H98" s="10">
        <v>72</v>
      </c>
      <c r="I98" s="7" t="s">
        <v>84</v>
      </c>
      <c r="J98" s="287"/>
      <c r="K98" s="356">
        <v>2319.91</v>
      </c>
      <c r="L98" s="355"/>
      <c r="M98" s="289"/>
      <c r="N98" s="357">
        <v>666</v>
      </c>
      <c r="O98" s="290">
        <f t="shared" si="52"/>
        <v>0.28708010224534575</v>
      </c>
      <c r="P98" s="290">
        <f t="shared" si="64"/>
        <v>0</v>
      </c>
      <c r="Q98" s="291">
        <f t="shared" si="53"/>
        <v>0</v>
      </c>
      <c r="R98" s="291">
        <f t="shared" si="65"/>
        <v>0</v>
      </c>
      <c r="S98" s="357">
        <v>35</v>
      </c>
      <c r="T98" s="292">
        <f t="shared" si="54"/>
        <v>199.8</v>
      </c>
      <c r="U98" s="254">
        <f t="shared" si="66"/>
        <v>2528.46</v>
      </c>
      <c r="V98" s="356">
        <v>1667846165.3299999</v>
      </c>
      <c r="W98" s="357">
        <v>14850</v>
      </c>
      <c r="X98" s="264">
        <f t="shared" si="55"/>
        <v>112312.87</v>
      </c>
      <c r="Y98" s="293">
        <f t="shared" si="56"/>
        <v>0.58336200000000005</v>
      </c>
      <c r="Z98" s="357">
        <v>91268</v>
      </c>
      <c r="AA98" s="293">
        <f t="shared" si="57"/>
        <v>0.75744699999999998</v>
      </c>
      <c r="AB98" s="293">
        <f t="shared" si="58"/>
        <v>0.36441299999999999</v>
      </c>
      <c r="AC98" s="294">
        <f t="shared" si="59"/>
        <v>0.36441299999999999</v>
      </c>
      <c r="AD98" s="295">
        <f t="shared" si="67"/>
        <v>0</v>
      </c>
      <c r="AE98" s="296">
        <f t="shared" si="68"/>
        <v>0.36441299999999999</v>
      </c>
      <c r="AF98" s="357">
        <v>0</v>
      </c>
      <c r="AG98" s="357">
        <v>0</v>
      </c>
      <c r="AH98" s="254">
        <f t="shared" si="69"/>
        <v>0</v>
      </c>
      <c r="AI98" s="9">
        <f t="shared" si="60"/>
        <v>0</v>
      </c>
      <c r="AJ98" s="9">
        <v>0</v>
      </c>
      <c r="AK98" s="9">
        <f t="shared" si="70"/>
        <v>0</v>
      </c>
      <c r="AL98" s="9">
        <f t="shared" si="71"/>
        <v>0</v>
      </c>
      <c r="AM98" s="9">
        <f t="shared" si="72"/>
        <v>0</v>
      </c>
      <c r="AN98" s="9">
        <f t="shared" si="73"/>
        <v>0</v>
      </c>
      <c r="AO98" s="9">
        <f t="shared" si="61"/>
        <v>10619178</v>
      </c>
      <c r="AP98" s="9">
        <f t="shared" si="74"/>
        <v>10619178</v>
      </c>
      <c r="AQ98" s="9">
        <f t="shared" si="75"/>
        <v>10619178</v>
      </c>
      <c r="AR98" s="291">
        <v>11977384</v>
      </c>
      <c r="AS98" s="9">
        <f t="shared" si="76"/>
        <v>1358206</v>
      </c>
      <c r="AT98" s="297" t="str">
        <f t="shared" si="77"/>
        <v>No</v>
      </c>
      <c r="AU98" s="357">
        <v>11492516</v>
      </c>
      <c r="AV98" s="291">
        <f t="shared" si="62"/>
        <v>113138.5598</v>
      </c>
      <c r="AW98" s="291">
        <f t="shared" si="78"/>
        <v>11492516</v>
      </c>
      <c r="AX98" s="291">
        <f t="shared" si="63"/>
        <v>11492516</v>
      </c>
      <c r="AY98" s="358">
        <f t="shared" si="79"/>
        <v>0</v>
      </c>
      <c r="AZ98" s="301"/>
      <c r="BA98" s="301"/>
      <c r="BB98" s="302"/>
      <c r="BC98" s="291">
        <f t="shared" si="80"/>
        <v>11379377.440199999</v>
      </c>
      <c r="BD98" s="298">
        <f t="shared" si="81"/>
        <v>11266238.880399998</v>
      </c>
      <c r="BE98" s="298">
        <f t="shared" si="81"/>
        <v>11153100.320599997</v>
      </c>
      <c r="BF98" s="298">
        <f t="shared" si="81"/>
        <v>11039961.760799997</v>
      </c>
      <c r="BG98" s="298">
        <f t="shared" si="82"/>
        <v>10926823.200999996</v>
      </c>
      <c r="BH98" s="298">
        <f t="shared" si="82"/>
        <v>10813684.641199995</v>
      </c>
      <c r="BI98" s="298">
        <f t="shared" si="83"/>
        <v>10619178</v>
      </c>
      <c r="BK98" s="298">
        <f t="shared" si="84"/>
        <v>11379377.440199999</v>
      </c>
      <c r="BL98" s="298">
        <f t="shared" si="85"/>
        <v>11266238.880399998</v>
      </c>
      <c r="BM98" s="298">
        <f t="shared" si="86"/>
        <v>11153100.320599997</v>
      </c>
      <c r="BN98" s="298">
        <f t="shared" si="87"/>
        <v>11039961.760799997</v>
      </c>
      <c r="BO98" s="298">
        <f t="shared" si="88"/>
        <v>10926823.200999996</v>
      </c>
      <c r="BP98" s="298">
        <f t="shared" si="89"/>
        <v>10813684.641199995</v>
      </c>
      <c r="BQ98" s="298">
        <f t="shared" si="90"/>
        <v>10619178</v>
      </c>
    </row>
    <row r="99" spans="1:69" ht="15" x14ac:dyDescent="0.2">
      <c r="A99" s="10" t="s">
        <v>8</v>
      </c>
      <c r="B99" s="10"/>
      <c r="C99" s="276"/>
      <c r="D99" s="276"/>
      <c r="E99" s="276"/>
      <c r="F99" s="8">
        <v>7</v>
      </c>
      <c r="G99" s="355">
        <v>51</v>
      </c>
      <c r="H99" s="10">
        <v>73</v>
      </c>
      <c r="I99" s="7" t="s">
        <v>85</v>
      </c>
      <c r="J99" s="287"/>
      <c r="K99" s="356">
        <v>580.02</v>
      </c>
      <c r="L99" s="355"/>
      <c r="M99" s="289"/>
      <c r="N99" s="357">
        <v>203</v>
      </c>
      <c r="O99" s="290">
        <f t="shared" si="52"/>
        <v>0.34998793145063967</v>
      </c>
      <c r="P99" s="290">
        <f t="shared" si="64"/>
        <v>0</v>
      </c>
      <c r="Q99" s="291">
        <f t="shared" si="53"/>
        <v>0</v>
      </c>
      <c r="R99" s="291">
        <f t="shared" si="65"/>
        <v>0</v>
      </c>
      <c r="S99" s="357">
        <v>12</v>
      </c>
      <c r="T99" s="292">
        <f t="shared" si="54"/>
        <v>60.9</v>
      </c>
      <c r="U99" s="254">
        <f t="shared" si="66"/>
        <v>643.91999999999996</v>
      </c>
      <c r="V99" s="356">
        <v>579860344.33000004</v>
      </c>
      <c r="W99" s="357">
        <v>4272</v>
      </c>
      <c r="X99" s="264">
        <f t="shared" si="55"/>
        <v>135735.1</v>
      </c>
      <c r="Y99" s="293">
        <f t="shared" si="56"/>
        <v>0.70501899999999995</v>
      </c>
      <c r="Z99" s="357">
        <v>88553</v>
      </c>
      <c r="AA99" s="293">
        <f t="shared" si="57"/>
        <v>0.73491499999999998</v>
      </c>
      <c r="AB99" s="293">
        <f t="shared" si="58"/>
        <v>0.28601199999999999</v>
      </c>
      <c r="AC99" s="294">
        <f t="shared" si="59"/>
        <v>0.28601199999999999</v>
      </c>
      <c r="AD99" s="295">
        <f t="shared" si="67"/>
        <v>0</v>
      </c>
      <c r="AE99" s="296">
        <f t="shared" si="68"/>
        <v>0.28601199999999999</v>
      </c>
      <c r="AF99" s="357">
        <v>0</v>
      </c>
      <c r="AG99" s="357">
        <v>0</v>
      </c>
      <c r="AH99" s="254">
        <f t="shared" si="69"/>
        <v>0</v>
      </c>
      <c r="AI99" s="9">
        <f t="shared" si="60"/>
        <v>0</v>
      </c>
      <c r="AJ99" s="9">
        <v>122</v>
      </c>
      <c r="AK99" s="9">
        <f t="shared" si="70"/>
        <v>4</v>
      </c>
      <c r="AL99" s="9">
        <f t="shared" si="71"/>
        <v>400</v>
      </c>
      <c r="AM99" s="9">
        <f t="shared" si="72"/>
        <v>48800</v>
      </c>
      <c r="AN99" s="9">
        <f t="shared" si="73"/>
        <v>48800</v>
      </c>
      <c r="AO99" s="9">
        <f t="shared" si="61"/>
        <v>2122546</v>
      </c>
      <c r="AP99" s="9">
        <f t="shared" si="74"/>
        <v>2171346</v>
      </c>
      <c r="AQ99" s="9">
        <f t="shared" si="75"/>
        <v>2171346</v>
      </c>
      <c r="AR99" s="291">
        <v>3518715</v>
      </c>
      <c r="AS99" s="9">
        <f t="shared" si="76"/>
        <v>1347369</v>
      </c>
      <c r="AT99" s="297" t="str">
        <f t="shared" si="77"/>
        <v>No</v>
      </c>
      <c r="AU99" s="357">
        <v>2899516</v>
      </c>
      <c r="AV99" s="291">
        <f t="shared" si="62"/>
        <v>112235.8377</v>
      </c>
      <c r="AW99" s="291">
        <f t="shared" si="78"/>
        <v>2899516</v>
      </c>
      <c r="AX99" s="291">
        <f t="shared" si="63"/>
        <v>2899516</v>
      </c>
      <c r="AY99" s="358">
        <f t="shared" si="79"/>
        <v>0</v>
      </c>
      <c r="AZ99" s="301"/>
      <c r="BA99" s="301"/>
      <c r="BB99" s="302"/>
      <c r="BC99" s="291">
        <f t="shared" si="80"/>
        <v>2787280.1623</v>
      </c>
      <c r="BD99" s="298">
        <f t="shared" si="81"/>
        <v>2675044.3245999999</v>
      </c>
      <c r="BE99" s="298">
        <f t="shared" si="81"/>
        <v>2562808.4868999999</v>
      </c>
      <c r="BF99" s="298">
        <f t="shared" si="81"/>
        <v>2450572.6491999999</v>
      </c>
      <c r="BG99" s="298">
        <f t="shared" si="82"/>
        <v>2338336.8114999998</v>
      </c>
      <c r="BH99" s="298">
        <f t="shared" si="82"/>
        <v>2226100.9737999998</v>
      </c>
      <c r="BI99" s="298">
        <f t="shared" si="83"/>
        <v>2171346</v>
      </c>
      <c r="BK99" s="298">
        <f t="shared" si="84"/>
        <v>2787280.1623</v>
      </c>
      <c r="BL99" s="298">
        <f t="shared" si="85"/>
        <v>2675044.3245999999</v>
      </c>
      <c r="BM99" s="298">
        <f t="shared" si="86"/>
        <v>2562808.4868999999</v>
      </c>
      <c r="BN99" s="298">
        <f t="shared" si="87"/>
        <v>2450572.6491999999</v>
      </c>
      <c r="BO99" s="298">
        <f t="shared" si="88"/>
        <v>2338336.8114999998</v>
      </c>
      <c r="BP99" s="298">
        <f t="shared" si="89"/>
        <v>2226100.9737999998</v>
      </c>
      <c r="BQ99" s="298">
        <f t="shared" si="90"/>
        <v>2171346</v>
      </c>
    </row>
    <row r="100" spans="1:69" ht="15" x14ac:dyDescent="0.2">
      <c r="A100" s="10" t="s">
        <v>8</v>
      </c>
      <c r="B100" s="10"/>
      <c r="C100" s="276"/>
      <c r="D100" s="276"/>
      <c r="E100" s="276"/>
      <c r="F100" s="8">
        <v>4</v>
      </c>
      <c r="G100" s="355">
        <v>120</v>
      </c>
      <c r="H100" s="10">
        <v>74</v>
      </c>
      <c r="I100" s="7" t="s">
        <v>86</v>
      </c>
      <c r="J100" s="287"/>
      <c r="K100" s="356">
        <v>818.94</v>
      </c>
      <c r="L100" s="355"/>
      <c r="M100" s="289"/>
      <c r="N100" s="357">
        <v>152</v>
      </c>
      <c r="O100" s="290">
        <f t="shared" si="52"/>
        <v>0.18560578308545192</v>
      </c>
      <c r="P100" s="290">
        <f t="shared" si="64"/>
        <v>0</v>
      </c>
      <c r="Q100" s="291">
        <f t="shared" si="53"/>
        <v>0</v>
      </c>
      <c r="R100" s="291">
        <f t="shared" si="65"/>
        <v>0</v>
      </c>
      <c r="S100" s="357">
        <v>2</v>
      </c>
      <c r="T100" s="292">
        <f t="shared" si="54"/>
        <v>45.6</v>
      </c>
      <c r="U100" s="254">
        <f t="shared" si="66"/>
        <v>865.04000000000008</v>
      </c>
      <c r="V100" s="356">
        <v>1489543433.6700001</v>
      </c>
      <c r="W100" s="357">
        <v>8198</v>
      </c>
      <c r="X100" s="264">
        <f t="shared" si="55"/>
        <v>181695.95</v>
      </c>
      <c r="Y100" s="293">
        <f t="shared" si="56"/>
        <v>0.94374400000000003</v>
      </c>
      <c r="Z100" s="357">
        <v>80570</v>
      </c>
      <c r="AA100" s="293">
        <f t="shared" si="57"/>
        <v>0.66866300000000001</v>
      </c>
      <c r="AB100" s="293">
        <f t="shared" si="58"/>
        <v>0.13877999999999999</v>
      </c>
      <c r="AC100" s="294">
        <f t="shared" si="59"/>
        <v>0.13877999999999999</v>
      </c>
      <c r="AD100" s="295">
        <f t="shared" si="67"/>
        <v>0</v>
      </c>
      <c r="AE100" s="296">
        <f t="shared" si="68"/>
        <v>0.13877999999999999</v>
      </c>
      <c r="AF100" s="357">
        <v>0</v>
      </c>
      <c r="AG100" s="357">
        <v>0</v>
      </c>
      <c r="AH100" s="254">
        <f t="shared" si="69"/>
        <v>0</v>
      </c>
      <c r="AI100" s="9">
        <f t="shared" si="60"/>
        <v>0</v>
      </c>
      <c r="AJ100" s="9">
        <v>0</v>
      </c>
      <c r="AK100" s="9">
        <f t="shared" si="70"/>
        <v>0</v>
      </c>
      <c r="AL100" s="9">
        <f t="shared" si="71"/>
        <v>0</v>
      </c>
      <c r="AM100" s="9">
        <f t="shared" si="72"/>
        <v>0</v>
      </c>
      <c r="AN100" s="9">
        <f t="shared" si="73"/>
        <v>0</v>
      </c>
      <c r="AO100" s="9">
        <f t="shared" si="61"/>
        <v>1383579</v>
      </c>
      <c r="AP100" s="9">
        <f t="shared" si="74"/>
        <v>1383579</v>
      </c>
      <c r="AQ100" s="9">
        <f t="shared" si="75"/>
        <v>1383579</v>
      </c>
      <c r="AR100" s="291">
        <v>1446598</v>
      </c>
      <c r="AS100" s="9">
        <f t="shared" si="76"/>
        <v>63019</v>
      </c>
      <c r="AT100" s="297" t="str">
        <f t="shared" si="77"/>
        <v>No</v>
      </c>
      <c r="AU100" s="357">
        <v>1293502</v>
      </c>
      <c r="AV100" s="291">
        <f t="shared" si="62"/>
        <v>5249.4826999999996</v>
      </c>
      <c r="AW100" s="291">
        <f t="shared" si="78"/>
        <v>1293502</v>
      </c>
      <c r="AX100" s="291">
        <f t="shared" si="63"/>
        <v>1293502</v>
      </c>
      <c r="AY100" s="358">
        <f t="shared" si="79"/>
        <v>0</v>
      </c>
      <c r="AZ100" s="301"/>
      <c r="BA100" s="301"/>
      <c r="BB100" s="302"/>
      <c r="BC100" s="291">
        <f t="shared" si="80"/>
        <v>1288252.5172999999</v>
      </c>
      <c r="BD100" s="298">
        <f t="shared" si="81"/>
        <v>1283003.0345999999</v>
      </c>
      <c r="BE100" s="298">
        <f t="shared" si="81"/>
        <v>1277753.5518999998</v>
      </c>
      <c r="BF100" s="298">
        <f t="shared" si="81"/>
        <v>1272504.0691999998</v>
      </c>
      <c r="BG100" s="298">
        <f t="shared" si="82"/>
        <v>1267254.5864999997</v>
      </c>
      <c r="BH100" s="298">
        <f t="shared" si="82"/>
        <v>1262005.1037999997</v>
      </c>
      <c r="BI100" s="298">
        <f t="shared" si="83"/>
        <v>1383579</v>
      </c>
      <c r="BK100" s="298">
        <f t="shared" si="84"/>
        <v>1288252.5172999999</v>
      </c>
      <c r="BL100" s="298">
        <f t="shared" si="85"/>
        <v>1283003.0345999999</v>
      </c>
      <c r="BM100" s="298">
        <f t="shared" si="86"/>
        <v>1277753.5518999998</v>
      </c>
      <c r="BN100" s="298">
        <f t="shared" si="87"/>
        <v>1272504.0691999998</v>
      </c>
      <c r="BO100" s="298">
        <f t="shared" si="88"/>
        <v>1267254.5864999997</v>
      </c>
      <c r="BP100" s="298">
        <f t="shared" si="89"/>
        <v>1262005.1037999997</v>
      </c>
      <c r="BQ100" s="298">
        <f t="shared" si="90"/>
        <v>1383579</v>
      </c>
    </row>
    <row r="101" spans="1:69" ht="15" x14ac:dyDescent="0.2">
      <c r="A101" s="10" t="s">
        <v>4</v>
      </c>
      <c r="B101" s="10"/>
      <c r="C101" s="276"/>
      <c r="D101" s="276"/>
      <c r="E101" s="276"/>
      <c r="F101" s="8">
        <v>1</v>
      </c>
      <c r="G101" s="355">
        <v>160</v>
      </c>
      <c r="H101" s="10">
        <v>75</v>
      </c>
      <c r="I101" s="7" t="s">
        <v>87</v>
      </c>
      <c r="J101" s="287"/>
      <c r="K101" s="356">
        <v>238.79</v>
      </c>
      <c r="L101" s="355"/>
      <c r="M101" s="289"/>
      <c r="N101" s="357">
        <v>51</v>
      </c>
      <c r="O101" s="290">
        <f t="shared" si="52"/>
        <v>0.2135767829473596</v>
      </c>
      <c r="P101" s="290">
        <f t="shared" si="64"/>
        <v>0</v>
      </c>
      <c r="Q101" s="291">
        <f t="shared" si="53"/>
        <v>0</v>
      </c>
      <c r="R101" s="291">
        <f t="shared" si="65"/>
        <v>0</v>
      </c>
      <c r="S101" s="357">
        <v>2</v>
      </c>
      <c r="T101" s="292">
        <f t="shared" si="54"/>
        <v>15.3</v>
      </c>
      <c r="U101" s="254">
        <f t="shared" si="66"/>
        <v>254.59</v>
      </c>
      <c r="V101" s="356">
        <v>723969099.66999996</v>
      </c>
      <c r="W101" s="357">
        <v>2469</v>
      </c>
      <c r="X101" s="264">
        <f t="shared" si="55"/>
        <v>293223.61</v>
      </c>
      <c r="Y101" s="293">
        <f t="shared" si="56"/>
        <v>1.523028</v>
      </c>
      <c r="Z101" s="357">
        <v>96146</v>
      </c>
      <c r="AA101" s="293">
        <f t="shared" si="57"/>
        <v>0.79793000000000003</v>
      </c>
      <c r="AB101" s="293">
        <f t="shared" si="58"/>
        <v>-0.30549900000000002</v>
      </c>
      <c r="AC101" s="294">
        <f t="shared" si="59"/>
        <v>0.01</v>
      </c>
      <c r="AD101" s="295">
        <f t="shared" si="67"/>
        <v>0</v>
      </c>
      <c r="AE101" s="296">
        <f t="shared" si="68"/>
        <v>0.01</v>
      </c>
      <c r="AF101" s="357">
        <v>238</v>
      </c>
      <c r="AG101" s="357">
        <v>13</v>
      </c>
      <c r="AH101" s="254">
        <f t="shared" si="69"/>
        <v>1300</v>
      </c>
      <c r="AI101" s="9">
        <f t="shared" si="60"/>
        <v>309400</v>
      </c>
      <c r="AJ101" s="9">
        <v>0</v>
      </c>
      <c r="AK101" s="9">
        <f t="shared" si="70"/>
        <v>0</v>
      </c>
      <c r="AL101" s="9">
        <f t="shared" si="71"/>
        <v>0</v>
      </c>
      <c r="AM101" s="9">
        <f t="shared" si="72"/>
        <v>0</v>
      </c>
      <c r="AN101" s="9">
        <f t="shared" si="73"/>
        <v>309400</v>
      </c>
      <c r="AO101" s="9">
        <f t="shared" si="61"/>
        <v>29341</v>
      </c>
      <c r="AP101" s="9">
        <f t="shared" si="74"/>
        <v>338741</v>
      </c>
      <c r="AQ101" s="9">
        <f t="shared" si="75"/>
        <v>338741</v>
      </c>
      <c r="AR101" s="291">
        <v>63069</v>
      </c>
      <c r="AS101" s="9">
        <f t="shared" si="76"/>
        <v>275672</v>
      </c>
      <c r="AT101" s="297" t="str">
        <f t="shared" si="77"/>
        <v>Yes</v>
      </c>
      <c r="AU101" s="357">
        <v>89602.635200000004</v>
      </c>
      <c r="AV101" s="291">
        <f t="shared" si="62"/>
        <v>29386.635200000001</v>
      </c>
      <c r="AW101" s="291">
        <f t="shared" si="78"/>
        <v>118989.27040000001</v>
      </c>
      <c r="AX101" s="291">
        <f t="shared" si="63"/>
        <v>118989.27040000001</v>
      </c>
      <c r="AY101" s="358">
        <f t="shared" si="79"/>
        <v>29386.635200000004</v>
      </c>
      <c r="AZ101" s="301"/>
      <c r="BA101" s="301"/>
      <c r="BB101" s="302"/>
      <c r="BC101" s="291">
        <f t="shared" si="80"/>
        <v>148375.9056</v>
      </c>
      <c r="BD101" s="298">
        <f t="shared" si="81"/>
        <v>177762.54079999999</v>
      </c>
      <c r="BE101" s="298">
        <f t="shared" si="81"/>
        <v>207149.17599999998</v>
      </c>
      <c r="BF101" s="298">
        <f t="shared" si="81"/>
        <v>236535.81119999997</v>
      </c>
      <c r="BG101" s="298">
        <f t="shared" si="82"/>
        <v>338741</v>
      </c>
      <c r="BH101" s="298">
        <f t="shared" si="82"/>
        <v>338741</v>
      </c>
      <c r="BI101" s="298">
        <f t="shared" si="83"/>
        <v>338741</v>
      </c>
      <c r="BK101" s="298">
        <f t="shared" si="84"/>
        <v>148375.9056</v>
      </c>
      <c r="BL101" s="298">
        <f t="shared" si="85"/>
        <v>177762.54079999999</v>
      </c>
      <c r="BM101" s="298">
        <f t="shared" si="86"/>
        <v>207149.17599999998</v>
      </c>
      <c r="BN101" s="298">
        <f t="shared" si="87"/>
        <v>236535.81119999997</v>
      </c>
      <c r="BO101" s="298">
        <f t="shared" si="88"/>
        <v>338741</v>
      </c>
      <c r="BP101" s="298">
        <f t="shared" si="89"/>
        <v>338741</v>
      </c>
      <c r="BQ101" s="298">
        <f t="shared" si="90"/>
        <v>338741</v>
      </c>
    </row>
    <row r="102" spans="1:69" ht="15" x14ac:dyDescent="0.2">
      <c r="A102" s="10" t="s">
        <v>10</v>
      </c>
      <c r="B102" s="10"/>
      <c r="C102" s="276"/>
      <c r="D102" s="276"/>
      <c r="E102" s="276"/>
      <c r="F102" s="8">
        <v>2</v>
      </c>
      <c r="G102" s="355">
        <v>145</v>
      </c>
      <c r="H102" s="10">
        <v>76</v>
      </c>
      <c r="I102" s="7" t="s">
        <v>88</v>
      </c>
      <c r="J102" s="287"/>
      <c r="K102" s="356">
        <v>2477.96</v>
      </c>
      <c r="L102" s="355"/>
      <c r="M102" s="289"/>
      <c r="N102" s="357">
        <v>90</v>
      </c>
      <c r="O102" s="290">
        <f t="shared" si="52"/>
        <v>3.6320198873266721E-2</v>
      </c>
      <c r="P102" s="290">
        <f t="shared" si="64"/>
        <v>0</v>
      </c>
      <c r="Q102" s="291">
        <f t="shared" si="53"/>
        <v>0</v>
      </c>
      <c r="R102" s="291">
        <f t="shared" si="65"/>
        <v>0</v>
      </c>
      <c r="S102" s="357">
        <v>35</v>
      </c>
      <c r="T102" s="292">
        <f t="shared" si="54"/>
        <v>27</v>
      </c>
      <c r="U102" s="254">
        <f t="shared" si="66"/>
        <v>2513.71</v>
      </c>
      <c r="V102" s="356">
        <v>4221142071.6700001</v>
      </c>
      <c r="W102" s="357">
        <v>18183</v>
      </c>
      <c r="X102" s="264">
        <f t="shared" si="55"/>
        <v>232147.72</v>
      </c>
      <c r="Y102" s="293">
        <f t="shared" si="56"/>
        <v>1.205794</v>
      </c>
      <c r="Z102" s="357">
        <v>104754</v>
      </c>
      <c r="AA102" s="293">
        <f t="shared" si="57"/>
        <v>0.86936899999999995</v>
      </c>
      <c r="AB102" s="293">
        <f t="shared" si="58"/>
        <v>-0.104867</v>
      </c>
      <c r="AC102" s="294">
        <f t="shared" si="59"/>
        <v>0.01</v>
      </c>
      <c r="AD102" s="295">
        <f t="shared" si="67"/>
        <v>0</v>
      </c>
      <c r="AE102" s="296">
        <f t="shared" si="68"/>
        <v>0.01</v>
      </c>
      <c r="AF102" s="357">
        <v>0</v>
      </c>
      <c r="AG102" s="357">
        <v>0</v>
      </c>
      <c r="AH102" s="254">
        <f t="shared" si="69"/>
        <v>0</v>
      </c>
      <c r="AI102" s="9">
        <f t="shared" si="60"/>
        <v>0</v>
      </c>
      <c r="AJ102" s="9">
        <v>0</v>
      </c>
      <c r="AK102" s="9">
        <f t="shared" si="70"/>
        <v>0</v>
      </c>
      <c r="AL102" s="9">
        <f t="shared" si="71"/>
        <v>0</v>
      </c>
      <c r="AM102" s="9">
        <f t="shared" si="72"/>
        <v>0</v>
      </c>
      <c r="AN102" s="9">
        <f t="shared" si="73"/>
        <v>0</v>
      </c>
      <c r="AO102" s="9">
        <f t="shared" si="61"/>
        <v>289705</v>
      </c>
      <c r="AP102" s="9">
        <f t="shared" si="74"/>
        <v>289705</v>
      </c>
      <c r="AQ102" s="9">
        <f t="shared" si="75"/>
        <v>289705</v>
      </c>
      <c r="AR102" s="291">
        <v>446496</v>
      </c>
      <c r="AS102" s="9">
        <f t="shared" si="76"/>
        <v>156791</v>
      </c>
      <c r="AT102" s="297" t="str">
        <f t="shared" si="77"/>
        <v>No</v>
      </c>
      <c r="AU102" s="357">
        <v>395466</v>
      </c>
      <c r="AV102" s="291">
        <f t="shared" si="62"/>
        <v>13060.6903</v>
      </c>
      <c r="AW102" s="291">
        <f t="shared" si="78"/>
        <v>395466</v>
      </c>
      <c r="AX102" s="291">
        <f t="shared" si="63"/>
        <v>395466</v>
      </c>
      <c r="AY102" s="358">
        <f t="shared" si="79"/>
        <v>0</v>
      </c>
      <c r="AZ102" s="301"/>
      <c r="BA102" s="301"/>
      <c r="BB102" s="302"/>
      <c r="BC102" s="291">
        <f t="shared" si="80"/>
        <v>382405.30969999998</v>
      </c>
      <c r="BD102" s="298">
        <f t="shared" si="81"/>
        <v>369344.61939999997</v>
      </c>
      <c r="BE102" s="298">
        <f t="shared" si="81"/>
        <v>356283.92909999995</v>
      </c>
      <c r="BF102" s="298">
        <f t="shared" si="81"/>
        <v>343223.23879999993</v>
      </c>
      <c r="BG102" s="298">
        <f t="shared" si="82"/>
        <v>330162.54849999992</v>
      </c>
      <c r="BH102" s="298">
        <f t="shared" si="82"/>
        <v>317101.8581999999</v>
      </c>
      <c r="BI102" s="298">
        <f t="shared" si="83"/>
        <v>289705</v>
      </c>
      <c r="BK102" s="298">
        <f t="shared" si="84"/>
        <v>382405.30969999998</v>
      </c>
      <c r="BL102" s="298">
        <f t="shared" si="85"/>
        <v>369344.61939999997</v>
      </c>
      <c r="BM102" s="298">
        <f t="shared" si="86"/>
        <v>356283.92909999995</v>
      </c>
      <c r="BN102" s="298">
        <f t="shared" si="87"/>
        <v>343223.23879999993</v>
      </c>
      <c r="BO102" s="298">
        <f t="shared" si="88"/>
        <v>330162.54849999992</v>
      </c>
      <c r="BP102" s="298">
        <f t="shared" si="89"/>
        <v>317101.8581999999</v>
      </c>
      <c r="BQ102" s="298">
        <f t="shared" si="90"/>
        <v>289705</v>
      </c>
    </row>
    <row r="103" spans="1:69" ht="15" x14ac:dyDescent="0.2">
      <c r="A103" s="10" t="s">
        <v>19</v>
      </c>
      <c r="B103" s="10"/>
      <c r="C103" s="276">
        <v>1</v>
      </c>
      <c r="D103" s="276">
        <v>1</v>
      </c>
      <c r="E103" s="276"/>
      <c r="F103" s="8">
        <v>9</v>
      </c>
      <c r="G103" s="359">
        <v>18</v>
      </c>
      <c r="H103" s="10">
        <v>77</v>
      </c>
      <c r="I103" s="7" t="s">
        <v>89</v>
      </c>
      <c r="J103" s="287"/>
      <c r="K103" s="356">
        <v>7390.01</v>
      </c>
      <c r="L103" s="359"/>
      <c r="M103" s="289"/>
      <c r="N103" s="357">
        <v>4288</v>
      </c>
      <c r="O103" s="290">
        <f t="shared" si="52"/>
        <v>0.58024278722220946</v>
      </c>
      <c r="P103" s="290">
        <f t="shared" si="64"/>
        <v>0</v>
      </c>
      <c r="Q103" s="291">
        <f t="shared" si="53"/>
        <v>0</v>
      </c>
      <c r="R103" s="291">
        <f t="shared" si="65"/>
        <v>0</v>
      </c>
      <c r="S103" s="357">
        <v>521</v>
      </c>
      <c r="T103" s="292">
        <f t="shared" si="54"/>
        <v>1286.4000000000001</v>
      </c>
      <c r="U103" s="254">
        <f t="shared" si="66"/>
        <v>8806.66</v>
      </c>
      <c r="V103" s="356">
        <v>5990360631</v>
      </c>
      <c r="W103" s="357">
        <v>57955</v>
      </c>
      <c r="X103" s="264">
        <f t="shared" si="55"/>
        <v>103362.27</v>
      </c>
      <c r="Y103" s="293">
        <f t="shared" si="56"/>
        <v>0.53687200000000002</v>
      </c>
      <c r="Z103" s="357">
        <v>70736</v>
      </c>
      <c r="AA103" s="293">
        <f t="shared" si="57"/>
        <v>0.58704900000000004</v>
      </c>
      <c r="AB103" s="293">
        <f t="shared" si="58"/>
        <v>0.448075</v>
      </c>
      <c r="AC103" s="294">
        <f t="shared" si="59"/>
        <v>0.448075</v>
      </c>
      <c r="AD103" s="295">
        <f t="shared" si="67"/>
        <v>0.03</v>
      </c>
      <c r="AE103" s="296">
        <f t="shared" si="68"/>
        <v>0.47807500000000003</v>
      </c>
      <c r="AF103" s="357">
        <v>0</v>
      </c>
      <c r="AG103" s="357">
        <v>0</v>
      </c>
      <c r="AH103" s="254">
        <f t="shared" si="69"/>
        <v>0</v>
      </c>
      <c r="AI103" s="9">
        <f t="shared" si="60"/>
        <v>0</v>
      </c>
      <c r="AJ103" s="9">
        <v>0</v>
      </c>
      <c r="AK103" s="9">
        <f t="shared" si="70"/>
        <v>0</v>
      </c>
      <c r="AL103" s="9">
        <f t="shared" si="71"/>
        <v>0</v>
      </c>
      <c r="AM103" s="9">
        <f t="shared" si="72"/>
        <v>0</v>
      </c>
      <c r="AN103" s="9">
        <f t="shared" si="73"/>
        <v>0</v>
      </c>
      <c r="AO103" s="9">
        <f t="shared" si="61"/>
        <v>48523062</v>
      </c>
      <c r="AP103" s="9">
        <f t="shared" si="74"/>
        <v>48523062</v>
      </c>
      <c r="AQ103" s="9">
        <f t="shared" si="75"/>
        <v>48523062</v>
      </c>
      <c r="AR103" s="291">
        <v>34440424</v>
      </c>
      <c r="AS103" s="9">
        <f t="shared" si="76"/>
        <v>14082638</v>
      </c>
      <c r="AT103" s="297" t="str">
        <f t="shared" si="77"/>
        <v>Yes</v>
      </c>
      <c r="AU103" s="357">
        <v>39752676.2108</v>
      </c>
      <c r="AV103" s="291">
        <f t="shared" si="62"/>
        <v>1501209.2108</v>
      </c>
      <c r="AW103" s="291">
        <f t="shared" si="78"/>
        <v>41253885.421599999</v>
      </c>
      <c r="AX103" s="291">
        <f t="shared" si="63"/>
        <v>41253885.421599999</v>
      </c>
      <c r="AY103" s="358">
        <f t="shared" si="79"/>
        <v>1501209.2107999995</v>
      </c>
      <c r="AZ103" s="301"/>
      <c r="BA103" s="301"/>
      <c r="BB103" s="302"/>
      <c r="BC103" s="291">
        <f t="shared" si="80"/>
        <v>42755094.632399999</v>
      </c>
      <c r="BD103" s="298">
        <f t="shared" si="81"/>
        <v>44256303.843199998</v>
      </c>
      <c r="BE103" s="298">
        <f t="shared" si="81"/>
        <v>45757513.053999998</v>
      </c>
      <c r="BF103" s="298">
        <f t="shared" si="81"/>
        <v>47258722.264799997</v>
      </c>
      <c r="BG103" s="298">
        <f t="shared" si="82"/>
        <v>48523062</v>
      </c>
      <c r="BH103" s="298">
        <f t="shared" si="82"/>
        <v>48523062</v>
      </c>
      <c r="BI103" s="298">
        <f t="shared" si="83"/>
        <v>48523062</v>
      </c>
      <c r="BK103" s="298">
        <f t="shared" si="84"/>
        <v>42755094.632399999</v>
      </c>
      <c r="BL103" s="298">
        <f t="shared" si="85"/>
        <v>44256303.843199998</v>
      </c>
      <c r="BM103" s="298">
        <f t="shared" si="86"/>
        <v>45757513.053999998</v>
      </c>
      <c r="BN103" s="298">
        <f t="shared" si="87"/>
        <v>47258722.264799997</v>
      </c>
      <c r="BO103" s="298">
        <f t="shared" si="88"/>
        <v>48523062</v>
      </c>
      <c r="BP103" s="298">
        <f t="shared" si="89"/>
        <v>48523062</v>
      </c>
      <c r="BQ103" s="298">
        <f t="shared" si="90"/>
        <v>48523062</v>
      </c>
    </row>
    <row r="104" spans="1:69" ht="15" x14ac:dyDescent="0.2">
      <c r="A104" s="10" t="s">
        <v>4</v>
      </c>
      <c r="B104" s="10"/>
      <c r="C104" s="276"/>
      <c r="D104" s="276"/>
      <c r="E104" s="276"/>
      <c r="F104" s="8">
        <v>8</v>
      </c>
      <c r="G104" s="360">
        <v>47</v>
      </c>
      <c r="H104" s="10">
        <v>78</v>
      </c>
      <c r="I104" s="7" t="s">
        <v>90</v>
      </c>
      <c r="J104" s="287"/>
      <c r="K104" s="356">
        <v>1579.92</v>
      </c>
      <c r="L104" s="360"/>
      <c r="M104" s="289"/>
      <c r="N104" s="357">
        <v>464</v>
      </c>
      <c r="O104" s="290">
        <f t="shared" si="52"/>
        <v>0.29368575624082233</v>
      </c>
      <c r="P104" s="290">
        <f t="shared" si="64"/>
        <v>0</v>
      </c>
      <c r="Q104" s="291">
        <f t="shared" si="53"/>
        <v>0</v>
      </c>
      <c r="R104" s="291">
        <f t="shared" si="65"/>
        <v>0</v>
      </c>
      <c r="S104" s="357">
        <v>49</v>
      </c>
      <c r="T104" s="292">
        <f t="shared" si="54"/>
        <v>139.19999999999999</v>
      </c>
      <c r="U104" s="254">
        <f t="shared" si="66"/>
        <v>1731.3700000000001</v>
      </c>
      <c r="V104" s="356">
        <v>1606825479</v>
      </c>
      <c r="W104" s="357">
        <v>14110</v>
      </c>
      <c r="X104" s="264">
        <f t="shared" si="55"/>
        <v>113878.49</v>
      </c>
      <c r="Y104" s="293">
        <f t="shared" si="56"/>
        <v>0.59149399999999996</v>
      </c>
      <c r="Z104" s="357">
        <v>56807</v>
      </c>
      <c r="AA104" s="293">
        <f t="shared" si="57"/>
        <v>0.47144999999999998</v>
      </c>
      <c r="AB104" s="293">
        <f t="shared" si="58"/>
        <v>0.444519</v>
      </c>
      <c r="AC104" s="294">
        <f t="shared" si="59"/>
        <v>0.444519</v>
      </c>
      <c r="AD104" s="295">
        <f t="shared" si="67"/>
        <v>0</v>
      </c>
      <c r="AE104" s="296">
        <f t="shared" si="68"/>
        <v>0.444519</v>
      </c>
      <c r="AF104" s="357">
        <v>525</v>
      </c>
      <c r="AG104" s="357">
        <v>4</v>
      </c>
      <c r="AH104" s="254">
        <f t="shared" si="69"/>
        <v>400</v>
      </c>
      <c r="AI104" s="9">
        <f t="shared" si="60"/>
        <v>210000</v>
      </c>
      <c r="AJ104" s="9">
        <v>0</v>
      </c>
      <c r="AK104" s="9">
        <f t="shared" si="70"/>
        <v>0</v>
      </c>
      <c r="AL104" s="9">
        <f t="shared" si="71"/>
        <v>0</v>
      </c>
      <c r="AM104" s="9">
        <f t="shared" si="72"/>
        <v>0</v>
      </c>
      <c r="AN104" s="9">
        <f t="shared" si="73"/>
        <v>210000</v>
      </c>
      <c r="AO104" s="9">
        <f t="shared" si="61"/>
        <v>8869950</v>
      </c>
      <c r="AP104" s="9">
        <f t="shared" si="74"/>
        <v>9079950</v>
      </c>
      <c r="AQ104" s="9">
        <f t="shared" si="75"/>
        <v>9079950</v>
      </c>
      <c r="AR104" s="291">
        <v>9947410</v>
      </c>
      <c r="AS104" s="9">
        <f t="shared" si="76"/>
        <v>867460</v>
      </c>
      <c r="AT104" s="297" t="str">
        <f t="shared" si="77"/>
        <v>No</v>
      </c>
      <c r="AU104" s="357">
        <v>9459722</v>
      </c>
      <c r="AV104" s="291">
        <f t="shared" si="62"/>
        <v>72259.418000000005</v>
      </c>
      <c r="AW104" s="291">
        <f t="shared" si="78"/>
        <v>9459722</v>
      </c>
      <c r="AX104" s="291">
        <f t="shared" si="63"/>
        <v>9459722</v>
      </c>
      <c r="AY104" s="358">
        <f t="shared" si="79"/>
        <v>0</v>
      </c>
      <c r="AZ104" s="301"/>
      <c r="BA104" s="301"/>
      <c r="BB104" s="302"/>
      <c r="BC104" s="291">
        <f t="shared" si="80"/>
        <v>9387462.5820000004</v>
      </c>
      <c r="BD104" s="298">
        <f t="shared" si="81"/>
        <v>9315203.1640000008</v>
      </c>
      <c r="BE104" s="298">
        <f t="shared" si="81"/>
        <v>9242943.7460000012</v>
      </c>
      <c r="BF104" s="298">
        <f t="shared" si="81"/>
        <v>9170684.3280000016</v>
      </c>
      <c r="BG104" s="298">
        <f t="shared" si="82"/>
        <v>9098424.910000002</v>
      </c>
      <c r="BH104" s="298">
        <f t="shared" si="82"/>
        <v>9026165.4920000024</v>
      </c>
      <c r="BI104" s="298">
        <f t="shared" si="83"/>
        <v>9079950</v>
      </c>
      <c r="BK104" s="298">
        <f t="shared" si="84"/>
        <v>9387462.5820000004</v>
      </c>
      <c r="BL104" s="298">
        <f t="shared" si="85"/>
        <v>9315203.1640000008</v>
      </c>
      <c r="BM104" s="298">
        <f t="shared" si="86"/>
        <v>9242943.7460000012</v>
      </c>
      <c r="BN104" s="298">
        <f t="shared" si="87"/>
        <v>9170684.3280000016</v>
      </c>
      <c r="BO104" s="298">
        <f t="shared" si="88"/>
        <v>9098424.910000002</v>
      </c>
      <c r="BP104" s="298">
        <f t="shared" si="89"/>
        <v>9026165.4920000024</v>
      </c>
      <c r="BQ104" s="298">
        <f t="shared" si="90"/>
        <v>9079950</v>
      </c>
    </row>
    <row r="105" spans="1:69" ht="15" x14ac:dyDescent="0.2">
      <c r="A105" s="10" t="s">
        <v>4</v>
      </c>
      <c r="B105" s="10"/>
      <c r="C105" s="276"/>
      <c r="D105" s="276"/>
      <c r="E105" s="276"/>
      <c r="F105" s="8">
        <v>4</v>
      </c>
      <c r="G105" s="355">
        <v>101</v>
      </c>
      <c r="H105" s="10">
        <v>79</v>
      </c>
      <c r="I105" s="7" t="s">
        <v>91</v>
      </c>
      <c r="J105" s="287"/>
      <c r="K105" s="356">
        <v>934.13</v>
      </c>
      <c r="L105" s="355"/>
      <c r="M105" s="289"/>
      <c r="N105" s="357">
        <v>137</v>
      </c>
      <c r="O105" s="290">
        <f t="shared" si="52"/>
        <v>0.14666052904841939</v>
      </c>
      <c r="P105" s="290">
        <f t="shared" si="64"/>
        <v>0</v>
      </c>
      <c r="Q105" s="291">
        <f t="shared" si="53"/>
        <v>0</v>
      </c>
      <c r="R105" s="291">
        <f t="shared" si="65"/>
        <v>0</v>
      </c>
      <c r="S105" s="357">
        <v>7</v>
      </c>
      <c r="T105" s="292">
        <f t="shared" si="54"/>
        <v>41.1</v>
      </c>
      <c r="U105" s="254">
        <f t="shared" si="66"/>
        <v>976.98</v>
      </c>
      <c r="V105" s="356">
        <v>863962490</v>
      </c>
      <c r="W105" s="357">
        <v>6394</v>
      </c>
      <c r="X105" s="264">
        <f t="shared" si="55"/>
        <v>135120.81</v>
      </c>
      <c r="Y105" s="293">
        <f t="shared" si="56"/>
        <v>0.70182900000000004</v>
      </c>
      <c r="Z105" s="357">
        <v>109750</v>
      </c>
      <c r="AA105" s="293">
        <f t="shared" si="57"/>
        <v>0.91083199999999997</v>
      </c>
      <c r="AB105" s="293">
        <f t="shared" si="58"/>
        <v>0.23547000000000001</v>
      </c>
      <c r="AC105" s="294">
        <f t="shared" si="59"/>
        <v>0.23547000000000001</v>
      </c>
      <c r="AD105" s="295">
        <f t="shared" si="67"/>
        <v>0</v>
      </c>
      <c r="AE105" s="296">
        <f t="shared" si="68"/>
        <v>0.23547000000000001</v>
      </c>
      <c r="AF105" s="357">
        <v>489</v>
      </c>
      <c r="AG105" s="357">
        <v>6</v>
      </c>
      <c r="AH105" s="254">
        <f t="shared" si="69"/>
        <v>600</v>
      </c>
      <c r="AI105" s="9">
        <f t="shared" si="60"/>
        <v>293400</v>
      </c>
      <c r="AJ105" s="9">
        <v>0</v>
      </c>
      <c r="AK105" s="9">
        <f t="shared" si="70"/>
        <v>0</v>
      </c>
      <c r="AL105" s="9">
        <f t="shared" si="71"/>
        <v>0</v>
      </c>
      <c r="AM105" s="9">
        <f t="shared" si="72"/>
        <v>0</v>
      </c>
      <c r="AN105" s="9">
        <f t="shared" si="73"/>
        <v>293400</v>
      </c>
      <c r="AO105" s="9">
        <f t="shared" si="61"/>
        <v>2651320</v>
      </c>
      <c r="AP105" s="9">
        <f t="shared" si="74"/>
        <v>2944720</v>
      </c>
      <c r="AQ105" s="9">
        <f t="shared" si="75"/>
        <v>2944720</v>
      </c>
      <c r="AR105" s="291">
        <v>3154015</v>
      </c>
      <c r="AS105" s="9">
        <f t="shared" si="76"/>
        <v>209295</v>
      </c>
      <c r="AT105" s="297" t="str">
        <f t="shared" si="77"/>
        <v>No</v>
      </c>
      <c r="AU105" s="357">
        <v>2902339</v>
      </c>
      <c r="AV105" s="291">
        <f t="shared" si="62"/>
        <v>17434.273499999999</v>
      </c>
      <c r="AW105" s="291">
        <f t="shared" si="78"/>
        <v>2902339</v>
      </c>
      <c r="AX105" s="291">
        <f t="shared" si="63"/>
        <v>2902339</v>
      </c>
      <c r="AY105" s="358">
        <f t="shared" si="79"/>
        <v>0</v>
      </c>
      <c r="AZ105" s="301"/>
      <c r="BA105" s="301"/>
      <c r="BB105" s="302"/>
      <c r="BC105" s="291">
        <f t="shared" si="80"/>
        <v>2884904.7264999999</v>
      </c>
      <c r="BD105" s="298">
        <f t="shared" si="81"/>
        <v>2867470.4529999997</v>
      </c>
      <c r="BE105" s="298">
        <f t="shared" si="81"/>
        <v>2850036.1794999996</v>
      </c>
      <c r="BF105" s="298">
        <f t="shared" si="81"/>
        <v>2832601.9059999995</v>
      </c>
      <c r="BG105" s="298">
        <f t="shared" si="82"/>
        <v>2815167.6324999994</v>
      </c>
      <c r="BH105" s="298">
        <f t="shared" si="82"/>
        <v>2797733.3589999992</v>
      </c>
      <c r="BI105" s="298">
        <f t="shared" si="83"/>
        <v>2944720</v>
      </c>
      <c r="BK105" s="298">
        <f t="shared" si="84"/>
        <v>2884904.7264999999</v>
      </c>
      <c r="BL105" s="298">
        <f t="shared" si="85"/>
        <v>2867470.4529999997</v>
      </c>
      <c r="BM105" s="298">
        <f t="shared" si="86"/>
        <v>2850036.1794999996</v>
      </c>
      <c r="BN105" s="298">
        <f t="shared" si="87"/>
        <v>2832601.9059999995</v>
      </c>
      <c r="BO105" s="298">
        <f t="shared" si="88"/>
        <v>2815167.6324999994</v>
      </c>
      <c r="BP105" s="298">
        <f t="shared" si="89"/>
        <v>2797733.3589999992</v>
      </c>
      <c r="BQ105" s="298">
        <f t="shared" si="90"/>
        <v>2944720</v>
      </c>
    </row>
    <row r="106" spans="1:69" ht="15" x14ac:dyDescent="0.2">
      <c r="A106" s="10" t="s">
        <v>6</v>
      </c>
      <c r="B106" s="10">
        <v>1</v>
      </c>
      <c r="C106" s="276">
        <v>1</v>
      </c>
      <c r="D106" s="276">
        <v>0</v>
      </c>
      <c r="E106" s="276">
        <v>1</v>
      </c>
      <c r="F106" s="8">
        <v>10</v>
      </c>
      <c r="G106" s="359">
        <v>11</v>
      </c>
      <c r="H106" s="10">
        <v>80</v>
      </c>
      <c r="I106" s="7" t="s">
        <v>92</v>
      </c>
      <c r="J106" s="287"/>
      <c r="K106" s="356">
        <v>8867</v>
      </c>
      <c r="L106" s="359"/>
      <c r="M106" s="289"/>
      <c r="N106" s="357">
        <v>6684</v>
      </c>
      <c r="O106" s="290">
        <f t="shared" si="52"/>
        <v>0.75380624788541783</v>
      </c>
      <c r="P106" s="290">
        <f t="shared" si="64"/>
        <v>0.15380624788541786</v>
      </c>
      <c r="Q106" s="291">
        <f t="shared" si="53"/>
        <v>1363.8000000000002</v>
      </c>
      <c r="R106" s="291">
        <f t="shared" si="65"/>
        <v>204.57000000000002</v>
      </c>
      <c r="S106" s="357">
        <v>1394</v>
      </c>
      <c r="T106" s="292">
        <f t="shared" si="54"/>
        <v>2005.2</v>
      </c>
      <c r="U106" s="254">
        <f t="shared" si="66"/>
        <v>11425.27</v>
      </c>
      <c r="V106" s="356">
        <v>4674675666.6700001</v>
      </c>
      <c r="W106" s="357">
        <v>59864</v>
      </c>
      <c r="X106" s="264">
        <f t="shared" si="55"/>
        <v>78088.259999999995</v>
      </c>
      <c r="Y106" s="293">
        <f t="shared" si="56"/>
        <v>0.40559699999999999</v>
      </c>
      <c r="Z106" s="357">
        <v>57886</v>
      </c>
      <c r="AA106" s="293">
        <f t="shared" si="57"/>
        <v>0.48040500000000003</v>
      </c>
      <c r="AB106" s="293">
        <f t="shared" si="58"/>
        <v>0.57196100000000005</v>
      </c>
      <c r="AC106" s="294">
        <f t="shared" si="59"/>
        <v>0.57196100000000005</v>
      </c>
      <c r="AD106" s="295">
        <f t="shared" si="67"/>
        <v>0.04</v>
      </c>
      <c r="AE106" s="296">
        <f t="shared" si="68"/>
        <v>0.61196100000000009</v>
      </c>
      <c r="AF106" s="357">
        <v>0</v>
      </c>
      <c r="AG106" s="357">
        <v>0</v>
      </c>
      <c r="AH106" s="254">
        <f t="shared" si="69"/>
        <v>0</v>
      </c>
      <c r="AI106" s="9">
        <f t="shared" si="60"/>
        <v>0</v>
      </c>
      <c r="AJ106" s="9">
        <v>0</v>
      </c>
      <c r="AK106" s="9">
        <f t="shared" si="70"/>
        <v>0</v>
      </c>
      <c r="AL106" s="9">
        <f t="shared" si="71"/>
        <v>0</v>
      </c>
      <c r="AM106" s="9">
        <f t="shared" si="72"/>
        <v>0</v>
      </c>
      <c r="AN106" s="9">
        <f t="shared" si="73"/>
        <v>0</v>
      </c>
      <c r="AO106" s="9">
        <f t="shared" si="61"/>
        <v>80580722</v>
      </c>
      <c r="AP106" s="9">
        <f t="shared" si="74"/>
        <v>80580722</v>
      </c>
      <c r="AQ106" s="9">
        <f t="shared" si="75"/>
        <v>80580722</v>
      </c>
      <c r="AR106" s="291">
        <v>60258395</v>
      </c>
      <c r="AS106" s="9">
        <f t="shared" si="76"/>
        <v>20322327</v>
      </c>
      <c r="AT106" s="297" t="str">
        <f t="shared" si="77"/>
        <v>Yes</v>
      </c>
      <c r="AU106" s="357">
        <v>66940902.058200002</v>
      </c>
      <c r="AV106" s="291">
        <f t="shared" si="62"/>
        <v>2166360.0581999999</v>
      </c>
      <c r="AW106" s="291">
        <f t="shared" si="78"/>
        <v>69107262.116400003</v>
      </c>
      <c r="AX106" s="291">
        <f t="shared" si="63"/>
        <v>69107262.116400003</v>
      </c>
      <c r="AY106" s="358">
        <f t="shared" si="79"/>
        <v>2166360.0582000017</v>
      </c>
      <c r="AZ106" s="301"/>
      <c r="BA106" s="301"/>
      <c r="BB106" s="302"/>
      <c r="BC106" s="291">
        <f t="shared" si="80"/>
        <v>71273622.174600005</v>
      </c>
      <c r="BD106" s="298">
        <f t="shared" si="81"/>
        <v>73439982.232800007</v>
      </c>
      <c r="BE106" s="298">
        <f t="shared" si="81"/>
        <v>75606342.291000009</v>
      </c>
      <c r="BF106" s="298">
        <f t="shared" si="81"/>
        <v>77772702.34920001</v>
      </c>
      <c r="BG106" s="298">
        <f t="shared" si="82"/>
        <v>80580722</v>
      </c>
      <c r="BH106" s="298">
        <f t="shared" si="82"/>
        <v>80580722</v>
      </c>
      <c r="BI106" s="298">
        <f t="shared" si="83"/>
        <v>80580722</v>
      </c>
      <c r="BK106" s="298">
        <f t="shared" si="84"/>
        <v>71273622.174600005</v>
      </c>
      <c r="BL106" s="298">
        <f t="shared" si="85"/>
        <v>73439982.232800007</v>
      </c>
      <c r="BM106" s="298">
        <f t="shared" si="86"/>
        <v>75606342.291000009</v>
      </c>
      <c r="BN106" s="298">
        <f t="shared" si="87"/>
        <v>77772702.34920001</v>
      </c>
      <c r="BO106" s="298">
        <f t="shared" si="88"/>
        <v>80580722</v>
      </c>
      <c r="BP106" s="298">
        <f t="shared" si="89"/>
        <v>80580722</v>
      </c>
      <c r="BQ106" s="298">
        <f t="shared" si="90"/>
        <v>80580722</v>
      </c>
    </row>
    <row r="107" spans="1:69" ht="15" x14ac:dyDescent="0.2">
      <c r="A107" s="10" t="s">
        <v>10</v>
      </c>
      <c r="B107" s="10"/>
      <c r="C107" s="276"/>
      <c r="D107" s="276"/>
      <c r="E107" s="276"/>
      <c r="F107" s="8">
        <v>3</v>
      </c>
      <c r="G107" s="355">
        <v>105</v>
      </c>
      <c r="H107" s="10">
        <v>81</v>
      </c>
      <c r="I107" s="7" t="s">
        <v>93</v>
      </c>
      <c r="J107" s="287"/>
      <c r="K107" s="356">
        <v>1206.1500000000001</v>
      </c>
      <c r="L107" s="355"/>
      <c r="M107" s="289"/>
      <c r="N107" s="357">
        <v>205</v>
      </c>
      <c r="O107" s="290">
        <f t="shared" si="52"/>
        <v>0.16996227666542302</v>
      </c>
      <c r="P107" s="290">
        <f t="shared" si="64"/>
        <v>0</v>
      </c>
      <c r="Q107" s="291">
        <f t="shared" si="53"/>
        <v>0</v>
      </c>
      <c r="R107" s="291">
        <f t="shared" si="65"/>
        <v>0</v>
      </c>
      <c r="S107" s="357">
        <v>26</v>
      </c>
      <c r="T107" s="292">
        <f t="shared" si="54"/>
        <v>61.5</v>
      </c>
      <c r="U107" s="254">
        <f t="shared" si="66"/>
        <v>1274.1500000000001</v>
      </c>
      <c r="V107" s="356">
        <v>1396744506.6700001</v>
      </c>
      <c r="W107" s="357">
        <v>7661</v>
      </c>
      <c r="X107" s="264">
        <f t="shared" si="55"/>
        <v>182318.82</v>
      </c>
      <c r="Y107" s="293">
        <f t="shared" si="56"/>
        <v>0.94697900000000002</v>
      </c>
      <c r="Z107" s="357">
        <v>108977</v>
      </c>
      <c r="AA107" s="293">
        <f t="shared" si="57"/>
        <v>0.90441700000000003</v>
      </c>
      <c r="AB107" s="293">
        <f t="shared" si="58"/>
        <v>6.5790000000000001E-2</v>
      </c>
      <c r="AC107" s="294">
        <f t="shared" si="59"/>
        <v>6.5790000000000001E-2</v>
      </c>
      <c r="AD107" s="295">
        <f t="shared" si="67"/>
        <v>0</v>
      </c>
      <c r="AE107" s="296">
        <f t="shared" si="68"/>
        <v>6.5790000000000001E-2</v>
      </c>
      <c r="AF107" s="357">
        <v>1208</v>
      </c>
      <c r="AG107" s="357">
        <v>13</v>
      </c>
      <c r="AH107" s="254">
        <f t="shared" si="69"/>
        <v>1300</v>
      </c>
      <c r="AI107" s="9">
        <f t="shared" si="60"/>
        <v>1570400</v>
      </c>
      <c r="AJ107" s="9">
        <v>0</v>
      </c>
      <c r="AK107" s="9">
        <f t="shared" si="70"/>
        <v>0</v>
      </c>
      <c r="AL107" s="9">
        <f t="shared" si="71"/>
        <v>0</v>
      </c>
      <c r="AM107" s="9">
        <f t="shared" si="72"/>
        <v>0</v>
      </c>
      <c r="AN107" s="9">
        <f t="shared" si="73"/>
        <v>1570400</v>
      </c>
      <c r="AO107" s="9">
        <f t="shared" si="61"/>
        <v>966098</v>
      </c>
      <c r="AP107" s="9">
        <f t="shared" si="74"/>
        <v>2536498</v>
      </c>
      <c r="AQ107" s="9">
        <f t="shared" si="75"/>
        <v>2536498</v>
      </c>
      <c r="AR107" s="291">
        <v>855086</v>
      </c>
      <c r="AS107" s="9">
        <f t="shared" si="76"/>
        <v>1681412</v>
      </c>
      <c r="AT107" s="297" t="str">
        <f t="shared" si="77"/>
        <v>Yes</v>
      </c>
      <c r="AU107" s="357">
        <v>1026995.5192</v>
      </c>
      <c r="AV107" s="291">
        <f t="shared" si="62"/>
        <v>179238.51920000001</v>
      </c>
      <c r="AW107" s="291">
        <f t="shared" si="78"/>
        <v>1206234.0384</v>
      </c>
      <c r="AX107" s="291">
        <f t="shared" si="63"/>
        <v>1206234.0384</v>
      </c>
      <c r="AY107" s="358">
        <f t="shared" si="79"/>
        <v>179238.51919999998</v>
      </c>
      <c r="AZ107" s="301"/>
      <c r="BA107" s="301"/>
      <c r="BB107" s="302"/>
      <c r="BC107" s="291">
        <f t="shared" si="80"/>
        <v>1385472.5575999999</v>
      </c>
      <c r="BD107" s="298">
        <f t="shared" si="81"/>
        <v>1564711.0767999999</v>
      </c>
      <c r="BE107" s="298">
        <f t="shared" si="81"/>
        <v>1743949.5959999999</v>
      </c>
      <c r="BF107" s="298">
        <f t="shared" si="81"/>
        <v>1923188.1151999999</v>
      </c>
      <c r="BG107" s="298">
        <f t="shared" si="82"/>
        <v>2536498</v>
      </c>
      <c r="BH107" s="298">
        <f t="shared" si="82"/>
        <v>2536498</v>
      </c>
      <c r="BI107" s="298">
        <f t="shared" si="83"/>
        <v>2536498</v>
      </c>
      <c r="BK107" s="298">
        <f t="shared" si="84"/>
        <v>1385472.5575999999</v>
      </c>
      <c r="BL107" s="298">
        <f t="shared" si="85"/>
        <v>1564711.0767999999</v>
      </c>
      <c r="BM107" s="298">
        <f t="shared" si="86"/>
        <v>1743949.5959999999</v>
      </c>
      <c r="BN107" s="298">
        <f t="shared" si="87"/>
        <v>1923188.1151999999</v>
      </c>
      <c r="BO107" s="298">
        <f t="shared" si="88"/>
        <v>2536498</v>
      </c>
      <c r="BP107" s="298">
        <f t="shared" si="89"/>
        <v>2536498</v>
      </c>
      <c r="BQ107" s="298">
        <f t="shared" si="90"/>
        <v>2536498</v>
      </c>
    </row>
    <row r="108" spans="1:69" ht="15" x14ac:dyDescent="0.2">
      <c r="A108" s="10" t="s">
        <v>4</v>
      </c>
      <c r="B108" s="10"/>
      <c r="C108" s="276"/>
      <c r="D108" s="276"/>
      <c r="E108" s="276"/>
      <c r="F108" s="8">
        <v>6</v>
      </c>
      <c r="G108" s="355">
        <v>60</v>
      </c>
      <c r="H108" s="10">
        <v>82</v>
      </c>
      <c r="I108" s="7" t="s">
        <v>94</v>
      </c>
      <c r="J108" s="287"/>
      <c r="K108" s="356">
        <v>493.4</v>
      </c>
      <c r="L108" s="355"/>
      <c r="M108" s="289"/>
      <c r="N108" s="357">
        <v>98</v>
      </c>
      <c r="O108" s="290">
        <f t="shared" si="52"/>
        <v>0.19862180786380221</v>
      </c>
      <c r="P108" s="290">
        <f t="shared" si="64"/>
        <v>0</v>
      </c>
      <c r="Q108" s="291">
        <f t="shared" si="53"/>
        <v>0</v>
      </c>
      <c r="R108" s="291">
        <f t="shared" si="65"/>
        <v>0</v>
      </c>
      <c r="S108" s="357">
        <v>4</v>
      </c>
      <c r="T108" s="292">
        <f t="shared" si="54"/>
        <v>29.4</v>
      </c>
      <c r="U108" s="254">
        <f t="shared" si="66"/>
        <v>523.79999999999995</v>
      </c>
      <c r="V108" s="356">
        <v>617127590</v>
      </c>
      <c r="W108" s="357">
        <v>4385</v>
      </c>
      <c r="X108" s="264">
        <f t="shared" si="55"/>
        <v>140736.04999999999</v>
      </c>
      <c r="Y108" s="293">
        <f t="shared" si="56"/>
        <v>0.73099499999999995</v>
      </c>
      <c r="Z108" s="357">
        <v>93750</v>
      </c>
      <c r="AA108" s="293">
        <f t="shared" si="57"/>
        <v>0.77804499999999999</v>
      </c>
      <c r="AB108" s="293">
        <f t="shared" si="58"/>
        <v>0.25489000000000001</v>
      </c>
      <c r="AC108" s="294">
        <f t="shared" si="59"/>
        <v>0.25489000000000001</v>
      </c>
      <c r="AD108" s="295">
        <f t="shared" si="67"/>
        <v>0</v>
      </c>
      <c r="AE108" s="296">
        <f t="shared" si="68"/>
        <v>0.25489000000000001</v>
      </c>
      <c r="AF108" s="357">
        <v>494</v>
      </c>
      <c r="AG108" s="357">
        <v>13</v>
      </c>
      <c r="AH108" s="254">
        <f t="shared" si="69"/>
        <v>1300</v>
      </c>
      <c r="AI108" s="9">
        <f t="shared" si="60"/>
        <v>642200</v>
      </c>
      <c r="AJ108" s="9">
        <v>0</v>
      </c>
      <c r="AK108" s="9">
        <f t="shared" si="70"/>
        <v>0</v>
      </c>
      <c r="AL108" s="9">
        <f t="shared" si="71"/>
        <v>0</v>
      </c>
      <c r="AM108" s="9">
        <f t="shared" si="72"/>
        <v>0</v>
      </c>
      <c r="AN108" s="9">
        <f t="shared" si="73"/>
        <v>642200</v>
      </c>
      <c r="AO108" s="9">
        <f t="shared" si="61"/>
        <v>1538719</v>
      </c>
      <c r="AP108" s="9">
        <f t="shared" si="74"/>
        <v>2180919</v>
      </c>
      <c r="AQ108" s="9">
        <f t="shared" si="75"/>
        <v>2180919</v>
      </c>
      <c r="AR108" s="291">
        <v>2099315</v>
      </c>
      <c r="AS108" s="9">
        <f t="shared" si="76"/>
        <v>81604</v>
      </c>
      <c r="AT108" s="297" t="str">
        <f t="shared" si="77"/>
        <v>Yes</v>
      </c>
      <c r="AU108" s="357">
        <v>1846202.9864000001</v>
      </c>
      <c r="AV108" s="291">
        <f t="shared" si="62"/>
        <v>8698.9863999999998</v>
      </c>
      <c r="AW108" s="291">
        <f t="shared" si="78"/>
        <v>1854901.9728000001</v>
      </c>
      <c r="AX108" s="291">
        <f t="shared" si="63"/>
        <v>1854901.9728000001</v>
      </c>
      <c r="AY108" s="358">
        <f t="shared" si="79"/>
        <v>8698.9864000000525</v>
      </c>
      <c r="AZ108" s="301"/>
      <c r="BA108" s="301"/>
      <c r="BB108" s="302"/>
      <c r="BC108" s="291">
        <f t="shared" si="80"/>
        <v>1863600.9592000002</v>
      </c>
      <c r="BD108" s="298">
        <f t="shared" ref="BD108:BF123" si="91">IF($AT108="Yes",BC108+$AV108,BC108-$AV108)</f>
        <v>1872299.9456000002</v>
      </c>
      <c r="BE108" s="298">
        <f t="shared" si="91"/>
        <v>1880998.9320000003</v>
      </c>
      <c r="BF108" s="298">
        <f t="shared" si="91"/>
        <v>1889697.9184000003</v>
      </c>
      <c r="BG108" s="298">
        <f t="shared" ref="BG108:BH123" si="92">IF($AT108="Yes",$AP108,BF108-$AV108)</f>
        <v>2180919</v>
      </c>
      <c r="BH108" s="298">
        <f t="shared" si="92"/>
        <v>2180919</v>
      </c>
      <c r="BI108" s="298">
        <f t="shared" si="83"/>
        <v>2180919</v>
      </c>
      <c r="BK108" s="298">
        <f t="shared" si="84"/>
        <v>1863600.9592000002</v>
      </c>
      <c r="BL108" s="298">
        <f t="shared" si="85"/>
        <v>1872299.9456000002</v>
      </c>
      <c r="BM108" s="298">
        <f t="shared" si="86"/>
        <v>1880998.9320000003</v>
      </c>
      <c r="BN108" s="298">
        <f t="shared" si="87"/>
        <v>1889697.9184000003</v>
      </c>
      <c r="BO108" s="298">
        <f t="shared" si="88"/>
        <v>2180919</v>
      </c>
      <c r="BP108" s="298">
        <f t="shared" si="89"/>
        <v>2180919</v>
      </c>
      <c r="BQ108" s="298">
        <f t="shared" si="90"/>
        <v>2180919</v>
      </c>
    </row>
    <row r="109" spans="1:69" ht="15" x14ac:dyDescent="0.2">
      <c r="A109" s="10" t="s">
        <v>19</v>
      </c>
      <c r="B109" s="10"/>
      <c r="C109" s="276">
        <v>1</v>
      </c>
      <c r="D109" s="276">
        <v>1</v>
      </c>
      <c r="E109" s="276"/>
      <c r="F109" s="8">
        <v>9</v>
      </c>
      <c r="G109" s="359">
        <v>31</v>
      </c>
      <c r="H109" s="10">
        <v>83</v>
      </c>
      <c r="I109" s="7" t="s">
        <v>95</v>
      </c>
      <c r="J109" s="287"/>
      <c r="K109" s="356">
        <v>4603.3500000000004</v>
      </c>
      <c r="L109" s="359"/>
      <c r="M109" s="289"/>
      <c r="N109" s="357">
        <v>2144</v>
      </c>
      <c r="O109" s="290">
        <f t="shared" si="52"/>
        <v>0.46574777064529088</v>
      </c>
      <c r="P109" s="290">
        <f t="shared" si="64"/>
        <v>0</v>
      </c>
      <c r="Q109" s="291">
        <f t="shared" si="53"/>
        <v>0</v>
      </c>
      <c r="R109" s="291">
        <f t="shared" si="65"/>
        <v>0</v>
      </c>
      <c r="S109" s="357">
        <v>166</v>
      </c>
      <c r="T109" s="292">
        <f t="shared" si="54"/>
        <v>643.20000000000005</v>
      </c>
      <c r="U109" s="254">
        <f t="shared" si="66"/>
        <v>5288.05</v>
      </c>
      <c r="V109" s="356">
        <v>5114946730.6700001</v>
      </c>
      <c r="W109" s="357">
        <v>46473</v>
      </c>
      <c r="X109" s="264">
        <f t="shared" si="55"/>
        <v>110062.76</v>
      </c>
      <c r="Y109" s="293">
        <f t="shared" si="56"/>
        <v>0.57167500000000004</v>
      </c>
      <c r="Z109" s="357">
        <v>67651</v>
      </c>
      <c r="AA109" s="293">
        <f t="shared" si="57"/>
        <v>0.561446</v>
      </c>
      <c r="AB109" s="293">
        <f t="shared" si="58"/>
        <v>0.431394</v>
      </c>
      <c r="AC109" s="294">
        <f t="shared" si="59"/>
        <v>0.431394</v>
      </c>
      <c r="AD109" s="295">
        <f t="shared" si="67"/>
        <v>0</v>
      </c>
      <c r="AE109" s="296">
        <f t="shared" si="68"/>
        <v>0.431394</v>
      </c>
      <c r="AF109" s="357">
        <v>0</v>
      </c>
      <c r="AG109" s="357">
        <v>0</v>
      </c>
      <c r="AH109" s="254">
        <f t="shared" si="69"/>
        <v>0</v>
      </c>
      <c r="AI109" s="9">
        <f t="shared" si="60"/>
        <v>0</v>
      </c>
      <c r="AJ109" s="9">
        <v>0</v>
      </c>
      <c r="AK109" s="9">
        <f t="shared" si="70"/>
        <v>0</v>
      </c>
      <c r="AL109" s="9">
        <f t="shared" si="71"/>
        <v>0</v>
      </c>
      <c r="AM109" s="9">
        <f t="shared" si="72"/>
        <v>0</v>
      </c>
      <c r="AN109" s="9">
        <f t="shared" si="73"/>
        <v>0</v>
      </c>
      <c r="AO109" s="9">
        <f t="shared" si="61"/>
        <v>26291211</v>
      </c>
      <c r="AP109" s="9">
        <f t="shared" si="74"/>
        <v>26291211</v>
      </c>
      <c r="AQ109" s="9">
        <f t="shared" si="75"/>
        <v>26291211</v>
      </c>
      <c r="AR109" s="291">
        <v>19515825</v>
      </c>
      <c r="AS109" s="9">
        <f t="shared" si="76"/>
        <v>6775386</v>
      </c>
      <c r="AT109" s="297" t="str">
        <f t="shared" si="77"/>
        <v>Yes</v>
      </c>
      <c r="AU109" s="357">
        <v>22274221.147599999</v>
      </c>
      <c r="AV109" s="291">
        <f t="shared" si="62"/>
        <v>722256.14760000003</v>
      </c>
      <c r="AW109" s="291">
        <f t="shared" si="78"/>
        <v>22996477.295199998</v>
      </c>
      <c r="AX109" s="291">
        <f t="shared" si="63"/>
        <v>22996477.295199998</v>
      </c>
      <c r="AY109" s="358">
        <f t="shared" si="79"/>
        <v>722256.14759999886</v>
      </c>
      <c r="AZ109" s="301"/>
      <c r="BA109" s="301"/>
      <c r="BB109" s="302"/>
      <c r="BC109" s="291">
        <f t="shared" si="80"/>
        <v>23718733.442799997</v>
      </c>
      <c r="BD109" s="298">
        <f t="shared" si="91"/>
        <v>24440989.590399995</v>
      </c>
      <c r="BE109" s="298">
        <f t="shared" si="91"/>
        <v>25163245.737999994</v>
      </c>
      <c r="BF109" s="298">
        <f t="shared" si="91"/>
        <v>25885501.885599993</v>
      </c>
      <c r="BG109" s="298">
        <f t="shared" si="92"/>
        <v>26291211</v>
      </c>
      <c r="BH109" s="298">
        <f t="shared" si="92"/>
        <v>26291211</v>
      </c>
      <c r="BI109" s="298">
        <f t="shared" si="83"/>
        <v>26291211</v>
      </c>
      <c r="BK109" s="298">
        <f t="shared" si="84"/>
        <v>23718733.442799997</v>
      </c>
      <c r="BL109" s="298">
        <f t="shared" si="85"/>
        <v>24440989.590399995</v>
      </c>
      <c r="BM109" s="298">
        <f t="shared" si="86"/>
        <v>25163245.737999994</v>
      </c>
      <c r="BN109" s="298">
        <f t="shared" si="87"/>
        <v>25885501.885599993</v>
      </c>
      <c r="BO109" s="298">
        <f t="shared" si="88"/>
        <v>26291211</v>
      </c>
      <c r="BP109" s="298">
        <f t="shared" si="89"/>
        <v>26291211</v>
      </c>
      <c r="BQ109" s="298">
        <f t="shared" si="90"/>
        <v>26291211</v>
      </c>
    </row>
    <row r="110" spans="1:69" ht="15" x14ac:dyDescent="0.2">
      <c r="A110" s="10" t="s">
        <v>14</v>
      </c>
      <c r="B110" s="10"/>
      <c r="C110" s="276"/>
      <c r="D110" s="276"/>
      <c r="E110" s="276"/>
      <c r="F110" s="8">
        <v>6</v>
      </c>
      <c r="G110" s="355">
        <v>80</v>
      </c>
      <c r="H110" s="10">
        <v>84</v>
      </c>
      <c r="I110" s="7" t="s">
        <v>96</v>
      </c>
      <c r="J110" s="287"/>
      <c r="K110" s="356">
        <v>5426.46</v>
      </c>
      <c r="L110" s="355"/>
      <c r="M110" s="289"/>
      <c r="N110" s="357">
        <v>1551</v>
      </c>
      <c r="O110" s="290">
        <f t="shared" si="52"/>
        <v>0.2858216959122522</v>
      </c>
      <c r="P110" s="290">
        <f t="shared" si="64"/>
        <v>0</v>
      </c>
      <c r="Q110" s="291">
        <f t="shared" si="53"/>
        <v>0</v>
      </c>
      <c r="R110" s="291">
        <f t="shared" si="65"/>
        <v>0</v>
      </c>
      <c r="S110" s="357">
        <v>128</v>
      </c>
      <c r="T110" s="292">
        <f t="shared" si="54"/>
        <v>465.3</v>
      </c>
      <c r="U110" s="254">
        <f t="shared" si="66"/>
        <v>5923.76</v>
      </c>
      <c r="V110" s="356">
        <v>9672348317.3299999</v>
      </c>
      <c r="W110" s="357">
        <v>54047</v>
      </c>
      <c r="X110" s="264">
        <f t="shared" si="55"/>
        <v>178961.8</v>
      </c>
      <c r="Y110" s="293">
        <f t="shared" si="56"/>
        <v>0.92954199999999998</v>
      </c>
      <c r="Z110" s="357">
        <v>89778</v>
      </c>
      <c r="AA110" s="293">
        <f t="shared" si="57"/>
        <v>0.74508099999999999</v>
      </c>
      <c r="AB110" s="293">
        <f t="shared" si="58"/>
        <v>0.12579599999999999</v>
      </c>
      <c r="AC110" s="294">
        <f t="shared" si="59"/>
        <v>0.12579599999999999</v>
      </c>
      <c r="AD110" s="295">
        <f t="shared" si="67"/>
        <v>0</v>
      </c>
      <c r="AE110" s="296">
        <f t="shared" si="68"/>
        <v>0.12579599999999999</v>
      </c>
      <c r="AF110" s="357">
        <v>0</v>
      </c>
      <c r="AG110" s="357">
        <v>0</v>
      </c>
      <c r="AH110" s="254">
        <f t="shared" si="69"/>
        <v>0</v>
      </c>
      <c r="AI110" s="9">
        <f t="shared" si="60"/>
        <v>0</v>
      </c>
      <c r="AJ110" s="9">
        <v>0</v>
      </c>
      <c r="AK110" s="9">
        <f t="shared" si="70"/>
        <v>0</v>
      </c>
      <c r="AL110" s="9">
        <f t="shared" si="71"/>
        <v>0</v>
      </c>
      <c r="AM110" s="9">
        <f t="shared" si="72"/>
        <v>0</v>
      </c>
      <c r="AN110" s="9">
        <f t="shared" si="73"/>
        <v>0</v>
      </c>
      <c r="AO110" s="9">
        <f t="shared" si="61"/>
        <v>8588261</v>
      </c>
      <c r="AP110" s="9">
        <f t="shared" si="74"/>
        <v>8588261</v>
      </c>
      <c r="AQ110" s="9">
        <f t="shared" si="75"/>
        <v>8588261</v>
      </c>
      <c r="AR110" s="291">
        <v>10849101</v>
      </c>
      <c r="AS110" s="9">
        <f t="shared" si="76"/>
        <v>2260840</v>
      </c>
      <c r="AT110" s="297" t="str">
        <f t="shared" si="77"/>
        <v>No</v>
      </c>
      <c r="AU110" s="357">
        <v>9673235</v>
      </c>
      <c r="AV110" s="291">
        <f t="shared" si="62"/>
        <v>188327.97200000001</v>
      </c>
      <c r="AW110" s="291">
        <f t="shared" si="78"/>
        <v>9673235</v>
      </c>
      <c r="AX110" s="291">
        <f t="shared" si="63"/>
        <v>9673235</v>
      </c>
      <c r="AY110" s="358">
        <f t="shared" si="79"/>
        <v>0</v>
      </c>
      <c r="AZ110" s="301"/>
      <c r="BA110" s="301"/>
      <c r="BB110" s="302"/>
      <c r="BC110" s="291">
        <f t="shared" si="80"/>
        <v>9484907.0280000009</v>
      </c>
      <c r="BD110" s="298">
        <f t="shared" si="91"/>
        <v>9296579.0560000017</v>
      </c>
      <c r="BE110" s="298">
        <f t="shared" si="91"/>
        <v>9108251.0840000026</v>
      </c>
      <c r="BF110" s="298">
        <f t="shared" si="91"/>
        <v>8919923.1120000035</v>
      </c>
      <c r="BG110" s="298">
        <f t="shared" si="92"/>
        <v>8731595.1400000043</v>
      </c>
      <c r="BH110" s="298">
        <f t="shared" si="92"/>
        <v>8543267.1680000052</v>
      </c>
      <c r="BI110" s="298">
        <f t="shared" si="83"/>
        <v>8588261</v>
      </c>
      <c r="BK110" s="298">
        <f t="shared" si="84"/>
        <v>9484907.0280000009</v>
      </c>
      <c r="BL110" s="298">
        <f t="shared" si="85"/>
        <v>9296579.0560000017</v>
      </c>
      <c r="BM110" s="298">
        <f t="shared" si="86"/>
        <v>9108251.0840000026</v>
      </c>
      <c r="BN110" s="298">
        <f t="shared" si="87"/>
        <v>8919923.1120000035</v>
      </c>
      <c r="BO110" s="298">
        <f t="shared" si="88"/>
        <v>8731595.1400000043</v>
      </c>
      <c r="BP110" s="298">
        <f t="shared" si="89"/>
        <v>8543267.1680000052</v>
      </c>
      <c r="BQ110" s="298">
        <f t="shared" si="90"/>
        <v>8588261</v>
      </c>
    </row>
    <row r="111" spans="1:69" ht="15" x14ac:dyDescent="0.2">
      <c r="A111" s="10" t="s">
        <v>10</v>
      </c>
      <c r="B111" s="10"/>
      <c r="C111" s="276"/>
      <c r="D111" s="276"/>
      <c r="E111" s="276"/>
      <c r="F111" s="8">
        <v>3</v>
      </c>
      <c r="G111" s="355">
        <v>77</v>
      </c>
      <c r="H111" s="10">
        <v>85</v>
      </c>
      <c r="I111" s="7" t="s">
        <v>97</v>
      </c>
      <c r="J111" s="287"/>
      <c r="K111" s="356">
        <v>3202.95</v>
      </c>
      <c r="L111" s="355"/>
      <c r="M111" s="289"/>
      <c r="N111" s="357">
        <v>350</v>
      </c>
      <c r="O111" s="290">
        <f t="shared" si="52"/>
        <v>0.10927426278899141</v>
      </c>
      <c r="P111" s="290">
        <f t="shared" si="64"/>
        <v>0</v>
      </c>
      <c r="Q111" s="291">
        <f t="shared" si="53"/>
        <v>0</v>
      </c>
      <c r="R111" s="291">
        <f t="shared" si="65"/>
        <v>0</v>
      </c>
      <c r="S111" s="357">
        <v>36</v>
      </c>
      <c r="T111" s="292">
        <f t="shared" si="54"/>
        <v>105</v>
      </c>
      <c r="U111" s="254">
        <f t="shared" si="66"/>
        <v>3316.95</v>
      </c>
      <c r="V111" s="356">
        <v>3241585331.3299999</v>
      </c>
      <c r="W111" s="357">
        <v>19621</v>
      </c>
      <c r="X111" s="264">
        <f t="shared" si="55"/>
        <v>165210</v>
      </c>
      <c r="Y111" s="293">
        <f t="shared" si="56"/>
        <v>0.85811400000000004</v>
      </c>
      <c r="Z111" s="357">
        <v>115049</v>
      </c>
      <c r="AA111" s="293">
        <f t="shared" si="57"/>
        <v>0.95480900000000002</v>
      </c>
      <c r="AB111" s="293">
        <f t="shared" si="58"/>
        <v>0.11287800000000001</v>
      </c>
      <c r="AC111" s="294">
        <f t="shared" si="59"/>
        <v>0.11287800000000001</v>
      </c>
      <c r="AD111" s="295">
        <f t="shared" si="67"/>
        <v>0</v>
      </c>
      <c r="AE111" s="296">
        <f t="shared" si="68"/>
        <v>0.11287800000000001</v>
      </c>
      <c r="AF111" s="357">
        <v>0</v>
      </c>
      <c r="AG111" s="357">
        <v>0</v>
      </c>
      <c r="AH111" s="254">
        <f t="shared" si="69"/>
        <v>0</v>
      </c>
      <c r="AI111" s="9">
        <f t="shared" si="60"/>
        <v>0</v>
      </c>
      <c r="AJ111" s="9">
        <v>0</v>
      </c>
      <c r="AK111" s="9">
        <f t="shared" si="70"/>
        <v>0</v>
      </c>
      <c r="AL111" s="9">
        <f t="shared" si="71"/>
        <v>0</v>
      </c>
      <c r="AM111" s="9">
        <f t="shared" si="72"/>
        <v>0</v>
      </c>
      <c r="AN111" s="9">
        <f t="shared" si="73"/>
        <v>0</v>
      </c>
      <c r="AO111" s="9">
        <f t="shared" si="61"/>
        <v>4315083</v>
      </c>
      <c r="AP111" s="9">
        <f t="shared" si="74"/>
        <v>4315083</v>
      </c>
      <c r="AQ111" s="9">
        <f t="shared" si="75"/>
        <v>4315083</v>
      </c>
      <c r="AR111" s="291">
        <v>6394518</v>
      </c>
      <c r="AS111" s="9">
        <f t="shared" si="76"/>
        <v>2079435</v>
      </c>
      <c r="AT111" s="297" t="str">
        <f t="shared" si="77"/>
        <v>No</v>
      </c>
      <c r="AU111" s="357">
        <v>5272935</v>
      </c>
      <c r="AV111" s="291">
        <f t="shared" si="62"/>
        <v>173216.93549999999</v>
      </c>
      <c r="AW111" s="291">
        <f t="shared" si="78"/>
        <v>5272935</v>
      </c>
      <c r="AX111" s="291">
        <f t="shared" si="63"/>
        <v>5272935</v>
      </c>
      <c r="AY111" s="358">
        <f t="shared" si="79"/>
        <v>0</v>
      </c>
      <c r="AZ111" s="301"/>
      <c r="BA111" s="301"/>
      <c r="BB111" s="302"/>
      <c r="BC111" s="291">
        <f t="shared" si="80"/>
        <v>5099718.0645000003</v>
      </c>
      <c r="BD111" s="298">
        <f t="shared" si="91"/>
        <v>4926501.1290000007</v>
      </c>
      <c r="BE111" s="298">
        <f t="shared" si="91"/>
        <v>4753284.193500001</v>
      </c>
      <c r="BF111" s="298">
        <f t="shared" si="91"/>
        <v>4580067.2580000013</v>
      </c>
      <c r="BG111" s="298">
        <f t="shared" si="92"/>
        <v>4406850.3225000016</v>
      </c>
      <c r="BH111" s="298">
        <f t="shared" si="92"/>
        <v>4233633.387000002</v>
      </c>
      <c r="BI111" s="298">
        <f t="shared" si="83"/>
        <v>4315083</v>
      </c>
      <c r="BK111" s="298">
        <f t="shared" si="84"/>
        <v>5099718.0645000003</v>
      </c>
      <c r="BL111" s="298">
        <f t="shared" si="85"/>
        <v>4926501.1290000007</v>
      </c>
      <c r="BM111" s="298">
        <f t="shared" si="86"/>
        <v>4753284.193500001</v>
      </c>
      <c r="BN111" s="298">
        <f t="shared" si="87"/>
        <v>4580067.2580000013</v>
      </c>
      <c r="BO111" s="298">
        <f t="shared" si="88"/>
        <v>4406850.3225000016</v>
      </c>
      <c r="BP111" s="298">
        <f t="shared" si="89"/>
        <v>4233633.387000002</v>
      </c>
      <c r="BQ111" s="298">
        <f t="shared" si="90"/>
        <v>4315083</v>
      </c>
    </row>
    <row r="112" spans="1:69" ht="15" x14ac:dyDescent="0.2">
      <c r="A112" s="10" t="s">
        <v>32</v>
      </c>
      <c r="B112" s="10"/>
      <c r="C112" s="276"/>
      <c r="D112" s="276"/>
      <c r="E112" s="276"/>
      <c r="F112" s="8">
        <v>8</v>
      </c>
      <c r="G112" s="359">
        <v>21</v>
      </c>
      <c r="H112" s="10">
        <v>86</v>
      </c>
      <c r="I112" s="7" t="s">
        <v>98</v>
      </c>
      <c r="J112" s="287"/>
      <c r="K112" s="356">
        <v>2127.64</v>
      </c>
      <c r="L112" s="359"/>
      <c r="M112" s="289"/>
      <c r="N112" s="357">
        <v>968</v>
      </c>
      <c r="O112" s="290">
        <f t="shared" si="52"/>
        <v>0.45496418567050817</v>
      </c>
      <c r="P112" s="290">
        <f t="shared" si="64"/>
        <v>0</v>
      </c>
      <c r="Q112" s="291">
        <f t="shared" si="53"/>
        <v>0</v>
      </c>
      <c r="R112" s="291">
        <f t="shared" si="65"/>
        <v>0</v>
      </c>
      <c r="S112" s="357">
        <v>97</v>
      </c>
      <c r="T112" s="292">
        <f t="shared" si="54"/>
        <v>290.39999999999998</v>
      </c>
      <c r="U112" s="254">
        <f t="shared" si="66"/>
        <v>2442.29</v>
      </c>
      <c r="V112" s="356">
        <v>1897089863.3299999</v>
      </c>
      <c r="W112" s="357">
        <v>19094</v>
      </c>
      <c r="X112" s="264">
        <f t="shared" si="55"/>
        <v>99355.29</v>
      </c>
      <c r="Y112" s="293">
        <f t="shared" si="56"/>
        <v>0.51605999999999996</v>
      </c>
      <c r="Z112" s="357">
        <v>73765</v>
      </c>
      <c r="AA112" s="293">
        <f t="shared" si="57"/>
        <v>0.61218700000000004</v>
      </c>
      <c r="AB112" s="293">
        <f t="shared" si="58"/>
        <v>0.45510200000000001</v>
      </c>
      <c r="AC112" s="294">
        <f t="shared" si="59"/>
        <v>0.45510200000000001</v>
      </c>
      <c r="AD112" s="295">
        <f t="shared" si="67"/>
        <v>0</v>
      </c>
      <c r="AE112" s="296">
        <f t="shared" si="68"/>
        <v>0.45510200000000001</v>
      </c>
      <c r="AF112" s="357">
        <v>0</v>
      </c>
      <c r="AG112" s="357">
        <v>0</v>
      </c>
      <c r="AH112" s="254">
        <f t="shared" si="69"/>
        <v>0</v>
      </c>
      <c r="AI112" s="9">
        <f t="shared" si="60"/>
        <v>0</v>
      </c>
      <c r="AJ112" s="9">
        <v>0</v>
      </c>
      <c r="AK112" s="9">
        <f t="shared" si="70"/>
        <v>0</v>
      </c>
      <c r="AL112" s="9">
        <f t="shared" si="71"/>
        <v>0</v>
      </c>
      <c r="AM112" s="9">
        <f t="shared" si="72"/>
        <v>0</v>
      </c>
      <c r="AN112" s="9">
        <f t="shared" si="73"/>
        <v>0</v>
      </c>
      <c r="AO112" s="9">
        <f t="shared" si="61"/>
        <v>12809935</v>
      </c>
      <c r="AP112" s="9">
        <f t="shared" si="74"/>
        <v>12809935</v>
      </c>
      <c r="AQ112" s="9">
        <f t="shared" si="75"/>
        <v>12809935</v>
      </c>
      <c r="AR112" s="291">
        <v>12589621</v>
      </c>
      <c r="AS112" s="9">
        <f t="shared" si="76"/>
        <v>220314</v>
      </c>
      <c r="AT112" s="297" t="str">
        <f t="shared" si="77"/>
        <v>Yes</v>
      </c>
      <c r="AU112" s="357">
        <v>12802821.4724</v>
      </c>
      <c r="AV112" s="291">
        <f t="shared" si="62"/>
        <v>23485.472399999999</v>
      </c>
      <c r="AW112" s="291">
        <f t="shared" si="78"/>
        <v>12826306.944800001</v>
      </c>
      <c r="AX112" s="291">
        <f t="shared" si="63"/>
        <v>12826306.944800001</v>
      </c>
      <c r="AY112" s="358">
        <f t="shared" si="79"/>
        <v>23485.472400000319</v>
      </c>
      <c r="AZ112" s="301"/>
      <c r="BA112" s="301"/>
      <c r="BB112" s="302"/>
      <c r="BC112" s="291">
        <f t="shared" si="80"/>
        <v>12849792.417200001</v>
      </c>
      <c r="BD112" s="298">
        <f t="shared" si="91"/>
        <v>12873277.889600001</v>
      </c>
      <c r="BE112" s="298">
        <f t="shared" si="91"/>
        <v>12896763.362000002</v>
      </c>
      <c r="BF112" s="298">
        <f t="shared" si="91"/>
        <v>12920248.834400002</v>
      </c>
      <c r="BG112" s="298">
        <f t="shared" si="92"/>
        <v>12809935</v>
      </c>
      <c r="BH112" s="298">
        <f t="shared" si="92"/>
        <v>12809935</v>
      </c>
      <c r="BI112" s="298">
        <f t="shared" si="83"/>
        <v>12809935</v>
      </c>
      <c r="BK112" s="298">
        <f t="shared" si="84"/>
        <v>12849792.417200001</v>
      </c>
      <c r="BL112" s="298">
        <f t="shared" si="85"/>
        <v>12873277.889600001</v>
      </c>
      <c r="BM112" s="298">
        <f t="shared" si="86"/>
        <v>12896763.362000002</v>
      </c>
      <c r="BN112" s="298">
        <f t="shared" si="87"/>
        <v>12920248.834400002</v>
      </c>
      <c r="BO112" s="298">
        <f t="shared" si="88"/>
        <v>12809935</v>
      </c>
      <c r="BP112" s="298">
        <f t="shared" si="89"/>
        <v>12809935</v>
      </c>
      <c r="BQ112" s="298">
        <f t="shared" si="90"/>
        <v>12809935</v>
      </c>
    </row>
    <row r="113" spans="1:69" ht="15" x14ac:dyDescent="0.2">
      <c r="A113" s="10" t="s">
        <v>8</v>
      </c>
      <c r="B113" s="10"/>
      <c r="C113" s="276"/>
      <c r="D113" s="276"/>
      <c r="E113" s="276"/>
      <c r="F113" s="8">
        <v>3</v>
      </c>
      <c r="G113" s="355">
        <v>133</v>
      </c>
      <c r="H113" s="10">
        <v>87</v>
      </c>
      <c r="I113" s="7" t="s">
        <v>99</v>
      </c>
      <c r="J113" s="287"/>
      <c r="K113" s="356">
        <v>215.58</v>
      </c>
      <c r="L113" s="355"/>
      <c r="M113" s="289"/>
      <c r="N113" s="357">
        <v>65</v>
      </c>
      <c r="O113" s="290">
        <f t="shared" si="52"/>
        <v>0.30151219964746262</v>
      </c>
      <c r="P113" s="290">
        <f t="shared" si="64"/>
        <v>0</v>
      </c>
      <c r="Q113" s="291">
        <f t="shared" si="53"/>
        <v>0</v>
      </c>
      <c r="R113" s="291">
        <f t="shared" si="65"/>
        <v>0</v>
      </c>
      <c r="S113" s="357">
        <v>4</v>
      </c>
      <c r="T113" s="292">
        <f t="shared" si="54"/>
        <v>19.5</v>
      </c>
      <c r="U113" s="254">
        <f t="shared" si="66"/>
        <v>236.08</v>
      </c>
      <c r="V113" s="356">
        <v>476416325.67000002</v>
      </c>
      <c r="W113" s="357">
        <v>2288</v>
      </c>
      <c r="X113" s="264">
        <f t="shared" si="55"/>
        <v>208223.92</v>
      </c>
      <c r="Y113" s="293">
        <f t="shared" si="56"/>
        <v>1.0815319999999999</v>
      </c>
      <c r="Z113" s="357">
        <v>94500</v>
      </c>
      <c r="AA113" s="293">
        <f t="shared" si="57"/>
        <v>0.78427000000000002</v>
      </c>
      <c r="AB113" s="293">
        <f t="shared" si="58"/>
        <v>7.6470000000000002E-3</v>
      </c>
      <c r="AC113" s="294">
        <f t="shared" si="59"/>
        <v>0.01</v>
      </c>
      <c r="AD113" s="295">
        <f t="shared" si="67"/>
        <v>0</v>
      </c>
      <c r="AE113" s="296">
        <f t="shared" si="68"/>
        <v>0.01</v>
      </c>
      <c r="AF113" s="357">
        <v>218</v>
      </c>
      <c r="AG113" s="357">
        <v>13</v>
      </c>
      <c r="AH113" s="254">
        <f t="shared" si="69"/>
        <v>1300</v>
      </c>
      <c r="AI113" s="9">
        <f t="shared" si="60"/>
        <v>283400</v>
      </c>
      <c r="AJ113" s="9">
        <v>0</v>
      </c>
      <c r="AK113" s="9">
        <f t="shared" si="70"/>
        <v>0</v>
      </c>
      <c r="AL113" s="9">
        <f t="shared" si="71"/>
        <v>0</v>
      </c>
      <c r="AM113" s="9">
        <f t="shared" si="72"/>
        <v>0</v>
      </c>
      <c r="AN113" s="9">
        <f t="shared" si="73"/>
        <v>283400</v>
      </c>
      <c r="AO113" s="9">
        <f t="shared" si="61"/>
        <v>27208</v>
      </c>
      <c r="AP113" s="9">
        <f t="shared" si="74"/>
        <v>310608</v>
      </c>
      <c r="AQ113" s="9">
        <f t="shared" si="75"/>
        <v>310608</v>
      </c>
      <c r="AR113" s="291">
        <v>102178</v>
      </c>
      <c r="AS113" s="9">
        <f t="shared" si="76"/>
        <v>208430</v>
      </c>
      <c r="AT113" s="297" t="str">
        <f t="shared" si="77"/>
        <v>Yes</v>
      </c>
      <c r="AU113" s="357">
        <v>132147.63800000001</v>
      </c>
      <c r="AV113" s="291">
        <f t="shared" si="62"/>
        <v>22218.637999999999</v>
      </c>
      <c r="AW113" s="291">
        <f t="shared" si="78"/>
        <v>154366.27600000001</v>
      </c>
      <c r="AX113" s="291">
        <f t="shared" si="63"/>
        <v>154366.27600000001</v>
      </c>
      <c r="AY113" s="358">
        <f t="shared" si="79"/>
        <v>22218.638000000006</v>
      </c>
      <c r="AZ113" s="301"/>
      <c r="BA113" s="301"/>
      <c r="BB113" s="302"/>
      <c r="BC113" s="291">
        <f t="shared" si="80"/>
        <v>176584.91400000002</v>
      </c>
      <c r="BD113" s="298">
        <f t="shared" si="91"/>
        <v>198803.55200000003</v>
      </c>
      <c r="BE113" s="298">
        <f t="shared" si="91"/>
        <v>221022.19000000003</v>
      </c>
      <c r="BF113" s="298">
        <f t="shared" si="91"/>
        <v>243240.82800000004</v>
      </c>
      <c r="BG113" s="298">
        <f t="shared" si="92"/>
        <v>310608</v>
      </c>
      <c r="BH113" s="298">
        <f t="shared" si="92"/>
        <v>310608</v>
      </c>
      <c r="BI113" s="298">
        <f t="shared" si="83"/>
        <v>310608</v>
      </c>
      <c r="BK113" s="298">
        <f t="shared" si="84"/>
        <v>176584.91400000002</v>
      </c>
      <c r="BL113" s="298">
        <f t="shared" si="85"/>
        <v>198803.55200000003</v>
      </c>
      <c r="BM113" s="298">
        <f t="shared" si="86"/>
        <v>221022.19000000003</v>
      </c>
      <c r="BN113" s="298">
        <f t="shared" si="87"/>
        <v>243240.82800000004</v>
      </c>
      <c r="BO113" s="298">
        <f t="shared" si="88"/>
        <v>310608</v>
      </c>
      <c r="BP113" s="298">
        <f t="shared" si="89"/>
        <v>310608</v>
      </c>
      <c r="BQ113" s="298">
        <f t="shared" si="90"/>
        <v>310608</v>
      </c>
    </row>
    <row r="114" spans="1:69" ht="15" x14ac:dyDescent="0.2">
      <c r="A114" s="10" t="s">
        <v>19</v>
      </c>
      <c r="B114" s="10"/>
      <c r="C114" s="276">
        <v>1</v>
      </c>
      <c r="D114" s="276">
        <v>1</v>
      </c>
      <c r="E114" s="276"/>
      <c r="F114" s="8">
        <v>10</v>
      </c>
      <c r="G114" s="359">
        <v>13</v>
      </c>
      <c r="H114" s="10">
        <v>88</v>
      </c>
      <c r="I114" s="7" t="s">
        <v>100</v>
      </c>
      <c r="J114" s="287"/>
      <c r="K114" s="356">
        <v>4538.93</v>
      </c>
      <c r="L114" s="359"/>
      <c r="M114" s="289"/>
      <c r="N114" s="357">
        <v>2562</v>
      </c>
      <c r="O114" s="290">
        <f t="shared" si="52"/>
        <v>0.56445021183406663</v>
      </c>
      <c r="P114" s="290">
        <f t="shared" si="64"/>
        <v>0</v>
      </c>
      <c r="Q114" s="291">
        <f t="shared" si="53"/>
        <v>0</v>
      </c>
      <c r="R114" s="291">
        <f t="shared" si="65"/>
        <v>0</v>
      </c>
      <c r="S114" s="357">
        <v>337</v>
      </c>
      <c r="T114" s="292">
        <f t="shared" si="54"/>
        <v>768.6</v>
      </c>
      <c r="U114" s="254">
        <f t="shared" si="66"/>
        <v>5391.7800000000007</v>
      </c>
      <c r="V114" s="356">
        <v>2395636456.6700001</v>
      </c>
      <c r="W114" s="357">
        <v>31481</v>
      </c>
      <c r="X114" s="264">
        <f t="shared" si="55"/>
        <v>76097.850000000006</v>
      </c>
      <c r="Y114" s="293">
        <f t="shared" si="56"/>
        <v>0.395258</v>
      </c>
      <c r="Z114" s="357">
        <v>70512</v>
      </c>
      <c r="AA114" s="293">
        <f t="shared" si="57"/>
        <v>0.58518999999999999</v>
      </c>
      <c r="AB114" s="293">
        <f t="shared" si="58"/>
        <v>0.54776199999999997</v>
      </c>
      <c r="AC114" s="294">
        <f t="shared" si="59"/>
        <v>0.54776199999999997</v>
      </c>
      <c r="AD114" s="295">
        <f t="shared" si="67"/>
        <v>0.04</v>
      </c>
      <c r="AE114" s="296">
        <f t="shared" si="68"/>
        <v>0.58776200000000001</v>
      </c>
      <c r="AF114" s="357">
        <v>0</v>
      </c>
      <c r="AG114" s="357">
        <v>0</v>
      </c>
      <c r="AH114" s="254">
        <f t="shared" si="69"/>
        <v>0</v>
      </c>
      <c r="AI114" s="9">
        <f t="shared" si="60"/>
        <v>0</v>
      </c>
      <c r="AJ114" s="9">
        <v>0</v>
      </c>
      <c r="AK114" s="9">
        <f t="shared" si="70"/>
        <v>0</v>
      </c>
      <c r="AL114" s="9">
        <f t="shared" si="71"/>
        <v>0</v>
      </c>
      <c r="AM114" s="9">
        <f t="shared" si="72"/>
        <v>0</v>
      </c>
      <c r="AN114" s="9">
        <f t="shared" si="73"/>
        <v>0</v>
      </c>
      <c r="AO114" s="9">
        <f t="shared" si="61"/>
        <v>36523686</v>
      </c>
      <c r="AP114" s="9">
        <f t="shared" si="74"/>
        <v>36523686</v>
      </c>
      <c r="AQ114" s="9">
        <f t="shared" si="75"/>
        <v>36523686</v>
      </c>
      <c r="AR114" s="291">
        <v>30280380</v>
      </c>
      <c r="AS114" s="9">
        <f t="shared" si="76"/>
        <v>6243306</v>
      </c>
      <c r="AT114" s="297" t="str">
        <f t="shared" si="77"/>
        <v>Yes</v>
      </c>
      <c r="AU114" s="357">
        <v>32702839.419599999</v>
      </c>
      <c r="AV114" s="291">
        <f t="shared" si="62"/>
        <v>665536.41960000002</v>
      </c>
      <c r="AW114" s="291">
        <f t="shared" si="78"/>
        <v>33368375.839199997</v>
      </c>
      <c r="AX114" s="291">
        <f t="shared" si="63"/>
        <v>33368375.839199997</v>
      </c>
      <c r="AY114" s="358">
        <f t="shared" si="79"/>
        <v>665536.41959999874</v>
      </c>
      <c r="AZ114" s="301"/>
      <c r="BA114" s="301"/>
      <c r="BB114" s="302"/>
      <c r="BC114" s="291">
        <f t="shared" si="80"/>
        <v>34033912.2588</v>
      </c>
      <c r="BD114" s="298">
        <f t="shared" si="91"/>
        <v>34699448.678400002</v>
      </c>
      <c r="BE114" s="298">
        <f t="shared" si="91"/>
        <v>35364985.098000005</v>
      </c>
      <c r="BF114" s="298">
        <f t="shared" si="91"/>
        <v>36030521.517600007</v>
      </c>
      <c r="BG114" s="298">
        <f t="shared" si="92"/>
        <v>36523686</v>
      </c>
      <c r="BH114" s="298">
        <f t="shared" si="92"/>
        <v>36523686</v>
      </c>
      <c r="BI114" s="298">
        <f t="shared" si="83"/>
        <v>36523686</v>
      </c>
      <c r="BK114" s="298">
        <f t="shared" si="84"/>
        <v>34033912.2588</v>
      </c>
      <c r="BL114" s="298">
        <f t="shared" si="85"/>
        <v>34699448.678400002</v>
      </c>
      <c r="BM114" s="298">
        <f t="shared" si="86"/>
        <v>35364985.098000005</v>
      </c>
      <c r="BN114" s="298">
        <f t="shared" si="87"/>
        <v>36030521.517600007</v>
      </c>
      <c r="BO114" s="298">
        <f t="shared" si="88"/>
        <v>36523686</v>
      </c>
      <c r="BP114" s="298">
        <f t="shared" si="89"/>
        <v>36523686</v>
      </c>
      <c r="BQ114" s="298">
        <f t="shared" si="90"/>
        <v>36523686</v>
      </c>
    </row>
    <row r="115" spans="1:69" ht="15" x14ac:dyDescent="0.2">
      <c r="A115" s="10" t="s">
        <v>24</v>
      </c>
      <c r="B115" s="10">
        <v>1</v>
      </c>
      <c r="C115" s="276">
        <v>1</v>
      </c>
      <c r="D115" s="276">
        <v>0</v>
      </c>
      <c r="E115" s="276">
        <v>1</v>
      </c>
      <c r="F115" s="8">
        <v>10</v>
      </c>
      <c r="G115" s="359">
        <v>3</v>
      </c>
      <c r="H115" s="10">
        <v>89</v>
      </c>
      <c r="I115" s="7" t="s">
        <v>101</v>
      </c>
      <c r="J115" s="287"/>
      <c r="K115" s="356">
        <v>11097.79</v>
      </c>
      <c r="L115" s="359"/>
      <c r="M115" s="289"/>
      <c r="N115" s="357">
        <v>8178</v>
      </c>
      <c r="O115" s="290">
        <f t="shared" si="52"/>
        <v>0.73690347357446839</v>
      </c>
      <c r="P115" s="290">
        <f t="shared" si="64"/>
        <v>0.13690347357446842</v>
      </c>
      <c r="Q115" s="291">
        <f t="shared" si="53"/>
        <v>1519.326</v>
      </c>
      <c r="R115" s="291">
        <f t="shared" si="65"/>
        <v>227.8989</v>
      </c>
      <c r="S115" s="357">
        <v>1815</v>
      </c>
      <c r="T115" s="292">
        <f t="shared" si="54"/>
        <v>2453.4</v>
      </c>
      <c r="U115" s="254">
        <f t="shared" si="66"/>
        <v>14232.838900000001</v>
      </c>
      <c r="V115" s="356">
        <v>3969245273.3299999</v>
      </c>
      <c r="W115" s="357">
        <v>72839</v>
      </c>
      <c r="X115" s="264">
        <f t="shared" si="55"/>
        <v>54493.41</v>
      </c>
      <c r="Y115" s="293">
        <f t="shared" si="56"/>
        <v>0.28304299999999999</v>
      </c>
      <c r="Z115" s="357">
        <v>45258</v>
      </c>
      <c r="AA115" s="293">
        <f t="shared" si="57"/>
        <v>0.37560300000000002</v>
      </c>
      <c r="AB115" s="293">
        <f t="shared" si="58"/>
        <v>0.68918900000000005</v>
      </c>
      <c r="AC115" s="294">
        <f t="shared" si="59"/>
        <v>0.68918900000000005</v>
      </c>
      <c r="AD115" s="295">
        <f t="shared" si="67"/>
        <v>0.06</v>
      </c>
      <c r="AE115" s="296">
        <f t="shared" si="68"/>
        <v>0.7491890000000001</v>
      </c>
      <c r="AF115" s="357">
        <v>0</v>
      </c>
      <c r="AG115" s="357">
        <v>0</v>
      </c>
      <c r="AH115" s="254">
        <f t="shared" si="69"/>
        <v>0</v>
      </c>
      <c r="AI115" s="9">
        <f t="shared" si="60"/>
        <v>0</v>
      </c>
      <c r="AJ115" s="9">
        <v>0</v>
      </c>
      <c r="AK115" s="9">
        <f t="shared" si="70"/>
        <v>0</v>
      </c>
      <c r="AL115" s="9">
        <f t="shared" si="71"/>
        <v>0</v>
      </c>
      <c r="AM115" s="9">
        <f t="shared" si="72"/>
        <v>0</v>
      </c>
      <c r="AN115" s="9">
        <f t="shared" si="73"/>
        <v>0</v>
      </c>
      <c r="AO115" s="9">
        <f t="shared" si="61"/>
        <v>122892070</v>
      </c>
      <c r="AP115" s="9">
        <f t="shared" si="74"/>
        <v>122892070</v>
      </c>
      <c r="AQ115" s="9">
        <f t="shared" si="75"/>
        <v>122892070</v>
      </c>
      <c r="AR115" s="291">
        <v>86195269</v>
      </c>
      <c r="AS115" s="9">
        <f t="shared" si="76"/>
        <v>36696801</v>
      </c>
      <c r="AT115" s="297" t="str">
        <f t="shared" si="77"/>
        <v>Yes</v>
      </c>
      <c r="AU115" s="357">
        <v>99688261.986599997</v>
      </c>
      <c r="AV115" s="291">
        <f t="shared" si="62"/>
        <v>3911878.9865999999</v>
      </c>
      <c r="AW115" s="291">
        <f t="shared" si="78"/>
        <v>103600140.97319999</v>
      </c>
      <c r="AX115" s="291">
        <f t="shared" si="63"/>
        <v>103600140.97319999</v>
      </c>
      <c r="AY115" s="358">
        <f t="shared" si="79"/>
        <v>3911878.9865999967</v>
      </c>
      <c r="AZ115" s="301"/>
      <c r="BA115" s="301"/>
      <c r="BB115" s="302"/>
      <c r="BC115" s="291">
        <f t="shared" si="80"/>
        <v>107512019.95979999</v>
      </c>
      <c r="BD115" s="298">
        <f t="shared" si="91"/>
        <v>111423898.94639999</v>
      </c>
      <c r="BE115" s="298">
        <f t="shared" si="91"/>
        <v>115335777.93299998</v>
      </c>
      <c r="BF115" s="298">
        <f t="shared" si="91"/>
        <v>119247656.91959998</v>
      </c>
      <c r="BG115" s="298">
        <f t="shared" si="92"/>
        <v>122892070</v>
      </c>
      <c r="BH115" s="298">
        <f t="shared" si="92"/>
        <v>122892070</v>
      </c>
      <c r="BI115" s="298">
        <f t="shared" si="83"/>
        <v>122892070</v>
      </c>
      <c r="BK115" s="298">
        <f t="shared" si="84"/>
        <v>107512019.95979999</v>
      </c>
      <c r="BL115" s="298">
        <f t="shared" si="85"/>
        <v>111423898.94639999</v>
      </c>
      <c r="BM115" s="298">
        <f t="shared" si="86"/>
        <v>115335777.93299998</v>
      </c>
      <c r="BN115" s="298">
        <f t="shared" si="87"/>
        <v>119247656.91959998</v>
      </c>
      <c r="BO115" s="298">
        <f t="shared" si="88"/>
        <v>122892070</v>
      </c>
      <c r="BP115" s="298">
        <f t="shared" si="89"/>
        <v>122892070</v>
      </c>
      <c r="BQ115" s="298">
        <f t="shared" si="90"/>
        <v>122892070</v>
      </c>
    </row>
    <row r="116" spans="1:69" ht="15" x14ac:dyDescent="0.2">
      <c r="A116" s="10" t="s">
        <v>46</v>
      </c>
      <c r="B116" s="10"/>
      <c r="C116" s="276"/>
      <c r="D116" s="276"/>
      <c r="E116" s="276"/>
      <c r="F116" s="8">
        <v>1</v>
      </c>
      <c r="G116" s="355">
        <v>168</v>
      </c>
      <c r="H116" s="10">
        <v>90</v>
      </c>
      <c r="I116" s="7" t="s">
        <v>102</v>
      </c>
      <c r="J116" s="287"/>
      <c r="K116" s="356">
        <v>4230.76</v>
      </c>
      <c r="L116" s="355"/>
      <c r="M116" s="289"/>
      <c r="N116" s="357">
        <v>5</v>
      </c>
      <c r="O116" s="290">
        <f t="shared" si="52"/>
        <v>1.1818207603362042E-3</v>
      </c>
      <c r="P116" s="290">
        <f t="shared" si="64"/>
        <v>0</v>
      </c>
      <c r="Q116" s="291">
        <f t="shared" si="53"/>
        <v>0</v>
      </c>
      <c r="R116" s="291">
        <f t="shared" si="65"/>
        <v>0</v>
      </c>
      <c r="S116" s="357">
        <v>29</v>
      </c>
      <c r="T116" s="292">
        <f t="shared" si="54"/>
        <v>1.5</v>
      </c>
      <c r="U116" s="254">
        <f t="shared" si="66"/>
        <v>4239.51</v>
      </c>
      <c r="V116" s="356">
        <v>11466893202.33</v>
      </c>
      <c r="W116" s="357">
        <v>20273</v>
      </c>
      <c r="X116" s="264">
        <f t="shared" si="55"/>
        <v>565623.89</v>
      </c>
      <c r="Y116" s="293">
        <f t="shared" si="56"/>
        <v>2.937897</v>
      </c>
      <c r="Z116" s="357">
        <v>192428</v>
      </c>
      <c r="AA116" s="293">
        <f t="shared" si="57"/>
        <v>1.596989</v>
      </c>
      <c r="AB116" s="293">
        <f t="shared" si="58"/>
        <v>-1.535625</v>
      </c>
      <c r="AC116" s="294">
        <f t="shared" si="59"/>
        <v>0.01</v>
      </c>
      <c r="AD116" s="295">
        <f t="shared" si="67"/>
        <v>0</v>
      </c>
      <c r="AE116" s="296">
        <f t="shared" si="68"/>
        <v>0.01</v>
      </c>
      <c r="AF116" s="357">
        <v>0</v>
      </c>
      <c r="AG116" s="357">
        <v>0</v>
      </c>
      <c r="AH116" s="254">
        <f t="shared" si="69"/>
        <v>0</v>
      </c>
      <c r="AI116" s="9">
        <f t="shared" si="60"/>
        <v>0</v>
      </c>
      <c r="AJ116" s="9">
        <v>0</v>
      </c>
      <c r="AK116" s="9">
        <f t="shared" si="70"/>
        <v>0</v>
      </c>
      <c r="AL116" s="9">
        <f t="shared" si="71"/>
        <v>0</v>
      </c>
      <c r="AM116" s="9">
        <f t="shared" si="72"/>
        <v>0</v>
      </c>
      <c r="AN116" s="9">
        <f t="shared" si="73"/>
        <v>0</v>
      </c>
      <c r="AO116" s="9">
        <f t="shared" si="61"/>
        <v>488604</v>
      </c>
      <c r="AP116" s="9">
        <f t="shared" si="74"/>
        <v>488604</v>
      </c>
      <c r="AQ116" s="9">
        <f t="shared" si="75"/>
        <v>488604</v>
      </c>
      <c r="AR116" s="291">
        <v>339590</v>
      </c>
      <c r="AS116" s="9">
        <f t="shared" si="76"/>
        <v>149014</v>
      </c>
      <c r="AT116" s="297" t="str">
        <f t="shared" si="77"/>
        <v>Yes</v>
      </c>
      <c r="AU116" s="357">
        <v>393250.89240000001</v>
      </c>
      <c r="AV116" s="291">
        <f t="shared" si="62"/>
        <v>15884.892400000001</v>
      </c>
      <c r="AW116" s="291">
        <f t="shared" si="78"/>
        <v>409135.78480000002</v>
      </c>
      <c r="AX116" s="291">
        <f t="shared" si="63"/>
        <v>409135.78480000002</v>
      </c>
      <c r="AY116" s="358">
        <f t="shared" si="79"/>
        <v>15884.892400000012</v>
      </c>
      <c r="AZ116" s="301"/>
      <c r="BA116" s="301"/>
      <c r="BB116" s="302"/>
      <c r="BC116" s="291">
        <f t="shared" si="80"/>
        <v>425020.67720000003</v>
      </c>
      <c r="BD116" s="298">
        <f t="shared" si="91"/>
        <v>440905.56960000005</v>
      </c>
      <c r="BE116" s="298">
        <f t="shared" si="91"/>
        <v>456790.46200000006</v>
      </c>
      <c r="BF116" s="298">
        <f t="shared" si="91"/>
        <v>472675.35440000007</v>
      </c>
      <c r="BG116" s="298">
        <f t="shared" si="92"/>
        <v>488604</v>
      </c>
      <c r="BH116" s="298">
        <f t="shared" si="92"/>
        <v>488604</v>
      </c>
      <c r="BI116" s="298">
        <f t="shared" si="83"/>
        <v>488604</v>
      </c>
      <c r="BK116" s="298">
        <f t="shared" si="84"/>
        <v>425020.67720000003</v>
      </c>
      <c r="BL116" s="298">
        <f t="shared" si="85"/>
        <v>440905.56960000005</v>
      </c>
      <c r="BM116" s="298">
        <f t="shared" si="86"/>
        <v>456790.46200000006</v>
      </c>
      <c r="BN116" s="298">
        <f t="shared" si="87"/>
        <v>472675.35440000007</v>
      </c>
      <c r="BO116" s="298">
        <f t="shared" si="88"/>
        <v>488604</v>
      </c>
      <c r="BP116" s="298">
        <f t="shared" si="89"/>
        <v>488604</v>
      </c>
      <c r="BQ116" s="298">
        <f t="shared" si="90"/>
        <v>488604</v>
      </c>
    </row>
    <row r="117" spans="1:69" ht="15" x14ac:dyDescent="0.2">
      <c r="A117" s="10" t="s">
        <v>10</v>
      </c>
      <c r="B117" s="10"/>
      <c r="C117" s="276"/>
      <c r="D117" s="276"/>
      <c r="E117" s="276"/>
      <c r="F117" s="8">
        <v>3</v>
      </c>
      <c r="G117" s="355">
        <v>107</v>
      </c>
      <c r="H117" s="10">
        <v>91</v>
      </c>
      <c r="I117" s="7" t="s">
        <v>103</v>
      </c>
      <c r="J117" s="287"/>
      <c r="K117" s="356">
        <v>2053.7800000000002</v>
      </c>
      <c r="L117" s="355"/>
      <c r="M117" s="289"/>
      <c r="N117" s="357">
        <v>277</v>
      </c>
      <c r="O117" s="290">
        <f t="shared" si="52"/>
        <v>0.13487325808996092</v>
      </c>
      <c r="P117" s="290">
        <f t="shared" si="64"/>
        <v>0</v>
      </c>
      <c r="Q117" s="291">
        <f t="shared" si="53"/>
        <v>0</v>
      </c>
      <c r="R117" s="291">
        <f t="shared" si="65"/>
        <v>0</v>
      </c>
      <c r="S117" s="357">
        <v>80</v>
      </c>
      <c r="T117" s="292">
        <f t="shared" si="54"/>
        <v>83.1</v>
      </c>
      <c r="U117" s="254">
        <f t="shared" si="66"/>
        <v>2156.88</v>
      </c>
      <c r="V117" s="356">
        <v>2500958862</v>
      </c>
      <c r="W117" s="357">
        <v>13992</v>
      </c>
      <c r="X117" s="264">
        <f t="shared" si="55"/>
        <v>178742.06</v>
      </c>
      <c r="Y117" s="293">
        <f t="shared" si="56"/>
        <v>0.92840100000000003</v>
      </c>
      <c r="Z117" s="357">
        <v>107089</v>
      </c>
      <c r="AA117" s="293">
        <f t="shared" si="57"/>
        <v>0.88874799999999998</v>
      </c>
      <c r="AB117" s="293">
        <f t="shared" si="58"/>
        <v>8.3495E-2</v>
      </c>
      <c r="AC117" s="294">
        <f t="shared" si="59"/>
        <v>8.3495E-2</v>
      </c>
      <c r="AD117" s="295">
        <f t="shared" si="67"/>
        <v>0</v>
      </c>
      <c r="AE117" s="296">
        <f t="shared" si="68"/>
        <v>8.3495E-2</v>
      </c>
      <c r="AF117" s="357">
        <v>0</v>
      </c>
      <c r="AG117" s="357">
        <v>0</v>
      </c>
      <c r="AH117" s="254">
        <f t="shared" si="69"/>
        <v>0</v>
      </c>
      <c r="AI117" s="9">
        <f t="shared" si="60"/>
        <v>0</v>
      </c>
      <c r="AJ117" s="9">
        <v>0</v>
      </c>
      <c r="AK117" s="9">
        <f t="shared" si="70"/>
        <v>0</v>
      </c>
      <c r="AL117" s="9">
        <f t="shared" si="71"/>
        <v>0</v>
      </c>
      <c r="AM117" s="9">
        <f t="shared" si="72"/>
        <v>0</v>
      </c>
      <c r="AN117" s="9">
        <f t="shared" si="73"/>
        <v>0</v>
      </c>
      <c r="AO117" s="9">
        <f t="shared" si="61"/>
        <v>2075522</v>
      </c>
      <c r="AP117" s="9">
        <f t="shared" si="74"/>
        <v>2075522</v>
      </c>
      <c r="AQ117" s="9">
        <f t="shared" si="75"/>
        <v>2075522</v>
      </c>
      <c r="AR117" s="291">
        <v>4338569</v>
      </c>
      <c r="AS117" s="9">
        <f t="shared" si="76"/>
        <v>2263047</v>
      </c>
      <c r="AT117" s="297" t="str">
        <f t="shared" si="77"/>
        <v>No</v>
      </c>
      <c r="AU117" s="357">
        <v>3481120</v>
      </c>
      <c r="AV117" s="291">
        <f t="shared" si="62"/>
        <v>188511.81510000001</v>
      </c>
      <c r="AW117" s="291">
        <f t="shared" si="78"/>
        <v>3481120</v>
      </c>
      <c r="AX117" s="291">
        <f t="shared" si="63"/>
        <v>3481120</v>
      </c>
      <c r="AY117" s="358">
        <f t="shared" si="79"/>
        <v>0</v>
      </c>
      <c r="AZ117" s="301"/>
      <c r="BA117" s="301"/>
      <c r="BB117" s="302"/>
      <c r="BC117" s="291">
        <f t="shared" si="80"/>
        <v>3292608.1848999998</v>
      </c>
      <c r="BD117" s="298">
        <f t="shared" si="91"/>
        <v>3104096.3697999995</v>
      </c>
      <c r="BE117" s="298">
        <f t="shared" si="91"/>
        <v>2915584.5546999993</v>
      </c>
      <c r="BF117" s="298">
        <f t="shared" si="91"/>
        <v>2727072.739599999</v>
      </c>
      <c r="BG117" s="298">
        <f t="shared" si="92"/>
        <v>2538560.9244999988</v>
      </c>
      <c r="BH117" s="298">
        <f t="shared" si="92"/>
        <v>2350049.1093999986</v>
      </c>
      <c r="BI117" s="298">
        <f t="shared" si="83"/>
        <v>2075522</v>
      </c>
      <c r="BK117" s="298">
        <f t="shared" si="84"/>
        <v>3292608.1848999998</v>
      </c>
      <c r="BL117" s="298">
        <f t="shared" si="85"/>
        <v>3104096.3697999995</v>
      </c>
      <c r="BM117" s="298">
        <f t="shared" si="86"/>
        <v>2915584.5546999993</v>
      </c>
      <c r="BN117" s="298">
        <f t="shared" si="87"/>
        <v>2727072.739599999</v>
      </c>
      <c r="BO117" s="298">
        <f t="shared" si="88"/>
        <v>2538560.9244999988</v>
      </c>
      <c r="BP117" s="298">
        <f t="shared" si="89"/>
        <v>2350049.1093999986</v>
      </c>
      <c r="BQ117" s="298">
        <f t="shared" si="90"/>
        <v>2075522</v>
      </c>
    </row>
    <row r="118" spans="1:69" ht="15" x14ac:dyDescent="0.2">
      <c r="A118" s="10" t="s">
        <v>4</v>
      </c>
      <c r="B118" s="10"/>
      <c r="C118" s="276"/>
      <c r="D118" s="276"/>
      <c r="E118" s="276"/>
      <c r="F118" s="8">
        <v>5</v>
      </c>
      <c r="G118" s="355">
        <v>111</v>
      </c>
      <c r="H118" s="10">
        <v>92</v>
      </c>
      <c r="I118" s="7" t="s">
        <v>104</v>
      </c>
      <c r="J118" s="287"/>
      <c r="K118" s="356">
        <v>882.86</v>
      </c>
      <c r="L118" s="355"/>
      <c r="M118" s="289"/>
      <c r="N118" s="357">
        <v>158</v>
      </c>
      <c r="O118" s="290">
        <f t="shared" si="52"/>
        <v>0.178963822123553</v>
      </c>
      <c r="P118" s="290">
        <f t="shared" si="64"/>
        <v>0</v>
      </c>
      <c r="Q118" s="291">
        <f t="shared" si="53"/>
        <v>0</v>
      </c>
      <c r="R118" s="291">
        <f t="shared" si="65"/>
        <v>0</v>
      </c>
      <c r="S118" s="357">
        <v>7</v>
      </c>
      <c r="T118" s="292">
        <f t="shared" si="54"/>
        <v>47.4</v>
      </c>
      <c r="U118" s="254">
        <f t="shared" si="66"/>
        <v>932.01</v>
      </c>
      <c r="V118" s="356">
        <v>968060648.66999996</v>
      </c>
      <c r="W118" s="357">
        <v>6755</v>
      </c>
      <c r="X118" s="264">
        <f t="shared" si="55"/>
        <v>143310.24</v>
      </c>
      <c r="Y118" s="293">
        <f t="shared" si="56"/>
        <v>0.74436500000000005</v>
      </c>
      <c r="Z118" s="357">
        <v>99926</v>
      </c>
      <c r="AA118" s="293">
        <f t="shared" si="57"/>
        <v>0.82930099999999995</v>
      </c>
      <c r="AB118" s="293">
        <f t="shared" si="58"/>
        <v>0.230154</v>
      </c>
      <c r="AC118" s="294">
        <f t="shared" si="59"/>
        <v>0.230154</v>
      </c>
      <c r="AD118" s="295">
        <f t="shared" si="67"/>
        <v>0</v>
      </c>
      <c r="AE118" s="296">
        <f t="shared" si="68"/>
        <v>0.230154</v>
      </c>
      <c r="AF118" s="357">
        <v>450</v>
      </c>
      <c r="AG118" s="357">
        <v>6</v>
      </c>
      <c r="AH118" s="254">
        <f t="shared" si="69"/>
        <v>600</v>
      </c>
      <c r="AI118" s="9">
        <f t="shared" si="60"/>
        <v>270000</v>
      </c>
      <c r="AJ118" s="9">
        <v>0</v>
      </c>
      <c r="AK118" s="9">
        <f t="shared" si="70"/>
        <v>0</v>
      </c>
      <c r="AL118" s="9">
        <f t="shared" si="71"/>
        <v>0</v>
      </c>
      <c r="AM118" s="9">
        <f t="shared" si="72"/>
        <v>0</v>
      </c>
      <c r="AN118" s="9">
        <f t="shared" si="73"/>
        <v>270000</v>
      </c>
      <c r="AO118" s="9">
        <f t="shared" si="61"/>
        <v>2472180</v>
      </c>
      <c r="AP118" s="9">
        <f t="shared" si="74"/>
        <v>2742180</v>
      </c>
      <c r="AQ118" s="9">
        <f t="shared" si="75"/>
        <v>2742180</v>
      </c>
      <c r="AR118" s="291">
        <v>3113169</v>
      </c>
      <c r="AS118" s="9">
        <f t="shared" si="76"/>
        <v>370989</v>
      </c>
      <c r="AT118" s="297" t="str">
        <f t="shared" si="77"/>
        <v>No</v>
      </c>
      <c r="AU118" s="357">
        <v>2913010</v>
      </c>
      <c r="AV118" s="291">
        <f t="shared" si="62"/>
        <v>30903.383699999998</v>
      </c>
      <c r="AW118" s="291">
        <f t="shared" si="78"/>
        <v>2913010</v>
      </c>
      <c r="AX118" s="291">
        <f t="shared" si="63"/>
        <v>2913010</v>
      </c>
      <c r="AY118" s="358">
        <f t="shared" si="79"/>
        <v>0</v>
      </c>
      <c r="AZ118" s="301"/>
      <c r="BA118" s="301"/>
      <c r="BB118" s="302"/>
      <c r="BC118" s="291">
        <f t="shared" si="80"/>
        <v>2882106.6162999999</v>
      </c>
      <c r="BD118" s="298">
        <f t="shared" si="91"/>
        <v>2851203.2325999998</v>
      </c>
      <c r="BE118" s="298">
        <f t="shared" si="91"/>
        <v>2820299.8488999996</v>
      </c>
      <c r="BF118" s="298">
        <f t="shared" si="91"/>
        <v>2789396.4651999995</v>
      </c>
      <c r="BG118" s="298">
        <f t="shared" si="92"/>
        <v>2758493.0814999994</v>
      </c>
      <c r="BH118" s="298">
        <f t="shared" si="92"/>
        <v>2727589.6977999993</v>
      </c>
      <c r="BI118" s="298">
        <f t="shared" si="83"/>
        <v>2742180</v>
      </c>
      <c r="BK118" s="298">
        <f t="shared" si="84"/>
        <v>2882106.6162999999</v>
      </c>
      <c r="BL118" s="298">
        <f t="shared" si="85"/>
        <v>2851203.2325999998</v>
      </c>
      <c r="BM118" s="298">
        <f t="shared" si="86"/>
        <v>2820299.8488999996</v>
      </c>
      <c r="BN118" s="298">
        <f t="shared" si="87"/>
        <v>2789396.4651999995</v>
      </c>
      <c r="BO118" s="298">
        <f t="shared" si="88"/>
        <v>2758493.0814999994</v>
      </c>
      <c r="BP118" s="298">
        <f t="shared" si="89"/>
        <v>2727589.6977999993</v>
      </c>
      <c r="BQ118" s="298">
        <f t="shared" si="90"/>
        <v>2742180</v>
      </c>
    </row>
    <row r="119" spans="1:69" ht="15" x14ac:dyDescent="0.2">
      <c r="A119" s="10" t="s">
        <v>24</v>
      </c>
      <c r="B119" s="10">
        <v>1</v>
      </c>
      <c r="C119" s="276">
        <v>1</v>
      </c>
      <c r="D119" s="276">
        <v>0</v>
      </c>
      <c r="E119" s="276">
        <v>1</v>
      </c>
      <c r="F119" s="8">
        <v>10</v>
      </c>
      <c r="G119" s="359">
        <v>6</v>
      </c>
      <c r="H119" s="10">
        <v>93</v>
      </c>
      <c r="I119" s="7" t="s">
        <v>105</v>
      </c>
      <c r="J119" s="287"/>
      <c r="K119" s="356">
        <v>18017.75</v>
      </c>
      <c r="L119" s="359"/>
      <c r="M119" s="289"/>
      <c r="N119" s="357">
        <v>13306</v>
      </c>
      <c r="O119" s="290">
        <f t="shared" si="52"/>
        <v>0.73849398509802833</v>
      </c>
      <c r="P119" s="290">
        <f t="shared" si="64"/>
        <v>0.13849398509802835</v>
      </c>
      <c r="Q119" s="291">
        <f t="shared" si="53"/>
        <v>2495.3500000000004</v>
      </c>
      <c r="R119" s="291">
        <f t="shared" si="65"/>
        <v>374.30250000000007</v>
      </c>
      <c r="S119" s="357">
        <v>3469</v>
      </c>
      <c r="T119" s="292">
        <f t="shared" si="54"/>
        <v>3991.8</v>
      </c>
      <c r="U119" s="254">
        <f t="shared" si="66"/>
        <v>23251.102500000001</v>
      </c>
      <c r="V119" s="356">
        <v>10367105845</v>
      </c>
      <c r="W119" s="357">
        <v>130529</v>
      </c>
      <c r="X119" s="264">
        <f t="shared" si="55"/>
        <v>79423.77</v>
      </c>
      <c r="Y119" s="293">
        <f t="shared" si="56"/>
        <v>0.41253400000000001</v>
      </c>
      <c r="Z119" s="357">
        <v>41142</v>
      </c>
      <c r="AA119" s="293">
        <f t="shared" si="57"/>
        <v>0.34144400000000003</v>
      </c>
      <c r="AB119" s="293">
        <f t="shared" si="58"/>
        <v>0.60879300000000003</v>
      </c>
      <c r="AC119" s="294">
        <f t="shared" si="59"/>
        <v>0.60879300000000003</v>
      </c>
      <c r="AD119" s="295">
        <f t="shared" si="67"/>
        <v>0.05</v>
      </c>
      <c r="AE119" s="296">
        <f t="shared" si="68"/>
        <v>0.65879300000000007</v>
      </c>
      <c r="AF119" s="357">
        <v>0</v>
      </c>
      <c r="AG119" s="357">
        <v>0</v>
      </c>
      <c r="AH119" s="254">
        <f t="shared" si="69"/>
        <v>0</v>
      </c>
      <c r="AI119" s="9">
        <f t="shared" si="60"/>
        <v>0</v>
      </c>
      <c r="AJ119" s="9">
        <v>0</v>
      </c>
      <c r="AK119" s="9">
        <f t="shared" si="70"/>
        <v>0</v>
      </c>
      <c r="AL119" s="9">
        <f t="shared" si="71"/>
        <v>0</v>
      </c>
      <c r="AM119" s="9">
        <f t="shared" si="72"/>
        <v>0</v>
      </c>
      <c r="AN119" s="9">
        <f t="shared" si="73"/>
        <v>0</v>
      </c>
      <c r="AO119" s="9">
        <f t="shared" si="61"/>
        <v>176536073</v>
      </c>
      <c r="AP119" s="9">
        <f t="shared" si="74"/>
        <v>176536073</v>
      </c>
      <c r="AQ119" s="9">
        <f t="shared" si="75"/>
        <v>176536073</v>
      </c>
      <c r="AR119" s="291">
        <v>154301977</v>
      </c>
      <c r="AS119" s="9">
        <f t="shared" si="76"/>
        <v>22234096</v>
      </c>
      <c r="AT119" s="297" t="str">
        <f t="shared" si="77"/>
        <v>Yes</v>
      </c>
      <c r="AU119" s="357">
        <v>162840115.6336</v>
      </c>
      <c r="AV119" s="291">
        <f t="shared" si="62"/>
        <v>2370154.6335999998</v>
      </c>
      <c r="AW119" s="291">
        <f t="shared" si="78"/>
        <v>165210270.26719999</v>
      </c>
      <c r="AX119" s="291">
        <f t="shared" si="63"/>
        <v>165210270.26719999</v>
      </c>
      <c r="AY119" s="358">
        <f t="shared" si="79"/>
        <v>2370154.6335999966</v>
      </c>
      <c r="AZ119" s="301"/>
      <c r="BA119" s="301"/>
      <c r="BB119" s="302"/>
      <c r="BC119" s="291">
        <f t="shared" si="80"/>
        <v>167580424.90079999</v>
      </c>
      <c r="BD119" s="298">
        <f t="shared" si="91"/>
        <v>169950579.53439999</v>
      </c>
      <c r="BE119" s="298">
        <f t="shared" si="91"/>
        <v>172320734.16799998</v>
      </c>
      <c r="BF119" s="298">
        <f t="shared" si="91"/>
        <v>174690888.80159998</v>
      </c>
      <c r="BG119" s="298">
        <f t="shared" si="92"/>
        <v>176536073</v>
      </c>
      <c r="BH119" s="298">
        <f t="shared" si="92"/>
        <v>176536073</v>
      </c>
      <c r="BI119" s="298">
        <f t="shared" si="83"/>
        <v>176536073</v>
      </c>
      <c r="BK119" s="298">
        <f t="shared" si="84"/>
        <v>167580424.90079999</v>
      </c>
      <c r="BL119" s="298">
        <f t="shared" si="85"/>
        <v>169950579.53439999</v>
      </c>
      <c r="BM119" s="298">
        <f t="shared" si="86"/>
        <v>172320734.16799998</v>
      </c>
      <c r="BN119" s="298">
        <f t="shared" si="87"/>
        <v>174690888.80159998</v>
      </c>
      <c r="BO119" s="298">
        <f t="shared" si="88"/>
        <v>176536073</v>
      </c>
      <c r="BP119" s="298">
        <f t="shared" si="89"/>
        <v>176536073</v>
      </c>
      <c r="BQ119" s="298">
        <f t="shared" si="90"/>
        <v>176536073</v>
      </c>
    </row>
    <row r="120" spans="1:69" ht="15" x14ac:dyDescent="0.2">
      <c r="A120" s="10" t="s">
        <v>14</v>
      </c>
      <c r="B120" s="10"/>
      <c r="C120" s="276"/>
      <c r="D120" s="276"/>
      <c r="E120" s="276"/>
      <c r="F120" s="8">
        <v>7</v>
      </c>
      <c r="G120" s="355">
        <v>50</v>
      </c>
      <c r="H120" s="10">
        <v>94</v>
      </c>
      <c r="I120" s="7" t="s">
        <v>106</v>
      </c>
      <c r="J120" s="287"/>
      <c r="K120" s="356">
        <v>4044.15</v>
      </c>
      <c r="L120" s="355"/>
      <c r="M120" s="289"/>
      <c r="N120" s="357">
        <v>1303</v>
      </c>
      <c r="O120" s="290">
        <f t="shared" si="52"/>
        <v>0.32219378608607496</v>
      </c>
      <c r="P120" s="290">
        <f t="shared" si="64"/>
        <v>0</v>
      </c>
      <c r="Q120" s="291">
        <f t="shared" si="53"/>
        <v>0</v>
      </c>
      <c r="R120" s="291">
        <f t="shared" si="65"/>
        <v>0</v>
      </c>
      <c r="S120" s="357">
        <v>267</v>
      </c>
      <c r="T120" s="292">
        <f t="shared" si="54"/>
        <v>390.9</v>
      </c>
      <c r="U120" s="254">
        <f t="shared" si="66"/>
        <v>4501.8</v>
      </c>
      <c r="V120" s="356">
        <v>4044186639.3299999</v>
      </c>
      <c r="W120" s="357">
        <v>30323</v>
      </c>
      <c r="X120" s="264">
        <f t="shared" si="55"/>
        <v>133370.26999999999</v>
      </c>
      <c r="Y120" s="293">
        <f t="shared" si="56"/>
        <v>0.69273600000000002</v>
      </c>
      <c r="Z120" s="357">
        <v>80310</v>
      </c>
      <c r="AA120" s="293">
        <f t="shared" si="57"/>
        <v>0.66650500000000001</v>
      </c>
      <c r="AB120" s="293">
        <f t="shared" si="58"/>
        <v>0.315133</v>
      </c>
      <c r="AC120" s="294">
        <f t="shared" si="59"/>
        <v>0.315133</v>
      </c>
      <c r="AD120" s="295">
        <f t="shared" si="67"/>
        <v>0</v>
      </c>
      <c r="AE120" s="296">
        <f t="shared" si="68"/>
        <v>0.315133</v>
      </c>
      <c r="AF120" s="357">
        <v>0</v>
      </c>
      <c r="AG120" s="357">
        <v>0</v>
      </c>
      <c r="AH120" s="254">
        <f t="shared" si="69"/>
        <v>0</v>
      </c>
      <c r="AI120" s="9">
        <f t="shared" si="60"/>
        <v>0</v>
      </c>
      <c r="AJ120" s="9">
        <v>0</v>
      </c>
      <c r="AK120" s="9">
        <f t="shared" si="70"/>
        <v>0</v>
      </c>
      <c r="AL120" s="9">
        <f t="shared" si="71"/>
        <v>0</v>
      </c>
      <c r="AM120" s="9">
        <f t="shared" si="72"/>
        <v>0</v>
      </c>
      <c r="AN120" s="9">
        <f t="shared" si="73"/>
        <v>0</v>
      </c>
      <c r="AO120" s="9">
        <f t="shared" si="61"/>
        <v>16350123</v>
      </c>
      <c r="AP120" s="9">
        <f t="shared" si="74"/>
        <v>16350123</v>
      </c>
      <c r="AQ120" s="9">
        <f t="shared" si="75"/>
        <v>16350123</v>
      </c>
      <c r="AR120" s="291">
        <v>12983806</v>
      </c>
      <c r="AS120" s="9">
        <f t="shared" si="76"/>
        <v>3366317</v>
      </c>
      <c r="AT120" s="297" t="str">
        <f t="shared" si="77"/>
        <v>Yes</v>
      </c>
      <c r="AU120" s="357">
        <v>14131800.392200001</v>
      </c>
      <c r="AV120" s="291">
        <f t="shared" si="62"/>
        <v>358849.3922</v>
      </c>
      <c r="AW120" s="291">
        <f t="shared" si="78"/>
        <v>14490649.784400001</v>
      </c>
      <c r="AX120" s="291">
        <f t="shared" si="63"/>
        <v>14490649.784400001</v>
      </c>
      <c r="AY120" s="358">
        <f t="shared" si="79"/>
        <v>358849.39220000058</v>
      </c>
      <c r="AZ120" s="301"/>
      <c r="BA120" s="301"/>
      <c r="BB120" s="302"/>
      <c r="BC120" s="291">
        <f t="shared" si="80"/>
        <v>14849499.176600002</v>
      </c>
      <c r="BD120" s="298">
        <f t="shared" si="91"/>
        <v>15208348.568800002</v>
      </c>
      <c r="BE120" s="298">
        <f t="shared" si="91"/>
        <v>15567197.961000003</v>
      </c>
      <c r="BF120" s="298">
        <f t="shared" si="91"/>
        <v>15926047.353200004</v>
      </c>
      <c r="BG120" s="298">
        <f t="shared" si="92"/>
        <v>16350123</v>
      </c>
      <c r="BH120" s="298">
        <f t="shared" si="92"/>
        <v>16350123</v>
      </c>
      <c r="BI120" s="298">
        <f t="shared" si="83"/>
        <v>16350123</v>
      </c>
      <c r="BK120" s="298">
        <f t="shared" si="84"/>
        <v>14849499.176600002</v>
      </c>
      <c r="BL120" s="298">
        <f t="shared" si="85"/>
        <v>15208348.568800002</v>
      </c>
      <c r="BM120" s="298">
        <f t="shared" si="86"/>
        <v>15567197.961000003</v>
      </c>
      <c r="BN120" s="298">
        <f t="shared" si="87"/>
        <v>15926047.353200004</v>
      </c>
      <c r="BO120" s="298">
        <f t="shared" si="88"/>
        <v>16350123</v>
      </c>
      <c r="BP120" s="298">
        <f t="shared" si="89"/>
        <v>16350123</v>
      </c>
      <c r="BQ120" s="298">
        <f t="shared" si="90"/>
        <v>16350123</v>
      </c>
    </row>
    <row r="121" spans="1:69" ht="15" x14ac:dyDescent="0.2">
      <c r="A121" s="10" t="s">
        <v>24</v>
      </c>
      <c r="B121" s="10">
        <v>1</v>
      </c>
      <c r="C121" s="276">
        <v>1</v>
      </c>
      <c r="D121" s="276">
        <v>0</v>
      </c>
      <c r="E121" s="276">
        <v>1</v>
      </c>
      <c r="F121" s="8">
        <v>10</v>
      </c>
      <c r="G121" s="359">
        <v>4</v>
      </c>
      <c r="H121" s="10">
        <v>95</v>
      </c>
      <c r="I121" s="7" t="s">
        <v>107</v>
      </c>
      <c r="J121" s="287"/>
      <c r="K121" s="356">
        <v>3324.92</v>
      </c>
      <c r="L121" s="359"/>
      <c r="M121" s="289"/>
      <c r="N121" s="357">
        <v>2810</v>
      </c>
      <c r="O121" s="290">
        <f t="shared" si="52"/>
        <v>0.8451331159847455</v>
      </c>
      <c r="P121" s="290">
        <f t="shared" si="64"/>
        <v>0.24513311598474552</v>
      </c>
      <c r="Q121" s="291">
        <f t="shared" si="53"/>
        <v>815.04800000000012</v>
      </c>
      <c r="R121" s="291">
        <f t="shared" si="65"/>
        <v>122.25720000000001</v>
      </c>
      <c r="S121" s="357">
        <v>842</v>
      </c>
      <c r="T121" s="292">
        <f t="shared" si="54"/>
        <v>843</v>
      </c>
      <c r="U121" s="254">
        <f t="shared" si="66"/>
        <v>4500.6772000000001</v>
      </c>
      <c r="V121" s="356">
        <v>1978320860.3299999</v>
      </c>
      <c r="W121" s="357">
        <v>27032</v>
      </c>
      <c r="X121" s="264">
        <f t="shared" si="55"/>
        <v>73184.41</v>
      </c>
      <c r="Y121" s="293">
        <f t="shared" si="56"/>
        <v>0.38012600000000002</v>
      </c>
      <c r="Z121" s="357">
        <v>39675</v>
      </c>
      <c r="AA121" s="293">
        <f t="shared" si="57"/>
        <v>0.32926899999999998</v>
      </c>
      <c r="AB121" s="293">
        <f t="shared" si="58"/>
        <v>0.635131</v>
      </c>
      <c r="AC121" s="294">
        <f t="shared" si="59"/>
        <v>0.635131</v>
      </c>
      <c r="AD121" s="295">
        <f t="shared" si="67"/>
        <v>0.06</v>
      </c>
      <c r="AE121" s="296">
        <f t="shared" si="68"/>
        <v>0.69513099999999994</v>
      </c>
      <c r="AF121" s="357">
        <v>0</v>
      </c>
      <c r="AG121" s="357">
        <v>0</v>
      </c>
      <c r="AH121" s="254">
        <f t="shared" si="69"/>
        <v>0</v>
      </c>
      <c r="AI121" s="9">
        <f t="shared" si="60"/>
        <v>0</v>
      </c>
      <c r="AJ121" s="9">
        <v>0</v>
      </c>
      <c r="AK121" s="9">
        <f t="shared" si="70"/>
        <v>0</v>
      </c>
      <c r="AL121" s="9">
        <f t="shared" si="71"/>
        <v>0</v>
      </c>
      <c r="AM121" s="9">
        <f t="shared" si="72"/>
        <v>0</v>
      </c>
      <c r="AN121" s="9">
        <f t="shared" si="73"/>
        <v>0</v>
      </c>
      <c r="AO121" s="9">
        <f t="shared" si="61"/>
        <v>36056657</v>
      </c>
      <c r="AP121" s="9">
        <f t="shared" si="74"/>
        <v>36056657</v>
      </c>
      <c r="AQ121" s="9">
        <f t="shared" si="75"/>
        <v>36056657</v>
      </c>
      <c r="AR121" s="291">
        <v>25806077</v>
      </c>
      <c r="AS121" s="9">
        <f t="shared" si="76"/>
        <v>10250580</v>
      </c>
      <c r="AT121" s="297" t="str">
        <f t="shared" si="77"/>
        <v>Yes</v>
      </c>
      <c r="AU121" s="357">
        <v>29721685.828000002</v>
      </c>
      <c r="AV121" s="291">
        <f t="shared" si="62"/>
        <v>1092711.828</v>
      </c>
      <c r="AW121" s="291">
        <f t="shared" si="78"/>
        <v>30814397.656000003</v>
      </c>
      <c r="AX121" s="291">
        <f t="shared" si="63"/>
        <v>30814397.656000003</v>
      </c>
      <c r="AY121" s="358">
        <f t="shared" si="79"/>
        <v>1092711.8280000016</v>
      </c>
      <c r="AZ121" s="301"/>
      <c r="BA121" s="301"/>
      <c r="BB121" s="302"/>
      <c r="BC121" s="291">
        <f t="shared" si="80"/>
        <v>31907109.484000005</v>
      </c>
      <c r="BD121" s="298">
        <f t="shared" si="91"/>
        <v>32999821.312000006</v>
      </c>
      <c r="BE121" s="298">
        <f t="shared" si="91"/>
        <v>34092533.140000008</v>
      </c>
      <c r="BF121" s="298">
        <f t="shared" si="91"/>
        <v>35185244.96800001</v>
      </c>
      <c r="BG121" s="298">
        <f t="shared" si="92"/>
        <v>36056657</v>
      </c>
      <c r="BH121" s="298">
        <f t="shared" si="92"/>
        <v>36056657</v>
      </c>
      <c r="BI121" s="298">
        <f t="shared" si="83"/>
        <v>36056657</v>
      </c>
      <c r="BK121" s="298">
        <f t="shared" si="84"/>
        <v>31907109.484000005</v>
      </c>
      <c r="BL121" s="298">
        <f t="shared" si="85"/>
        <v>32999821.312000006</v>
      </c>
      <c r="BM121" s="298">
        <f t="shared" si="86"/>
        <v>34092533.140000008</v>
      </c>
      <c r="BN121" s="298">
        <f t="shared" si="87"/>
        <v>35185244.96800001</v>
      </c>
      <c r="BO121" s="298">
        <f t="shared" si="88"/>
        <v>36056657</v>
      </c>
      <c r="BP121" s="298">
        <f t="shared" si="89"/>
        <v>36056657</v>
      </c>
      <c r="BQ121" s="298">
        <f t="shared" si="90"/>
        <v>36056657</v>
      </c>
    </row>
    <row r="122" spans="1:69" ht="15" x14ac:dyDescent="0.2">
      <c r="A122" s="10" t="s">
        <v>14</v>
      </c>
      <c r="B122" s="10"/>
      <c r="C122" s="276"/>
      <c r="D122" s="276"/>
      <c r="E122" s="276"/>
      <c r="F122" s="8">
        <v>5</v>
      </c>
      <c r="G122" s="355">
        <v>71</v>
      </c>
      <c r="H122" s="10">
        <v>96</v>
      </c>
      <c r="I122" s="7" t="s">
        <v>108</v>
      </c>
      <c r="J122" s="287"/>
      <c r="K122" s="356">
        <v>3665.1</v>
      </c>
      <c r="L122" s="355"/>
      <c r="M122" s="289"/>
      <c r="N122" s="357">
        <v>1374</v>
      </c>
      <c r="O122" s="290">
        <f t="shared" si="52"/>
        <v>0.37488745191127121</v>
      </c>
      <c r="P122" s="290">
        <f t="shared" si="64"/>
        <v>0</v>
      </c>
      <c r="Q122" s="291">
        <f t="shared" si="53"/>
        <v>0</v>
      </c>
      <c r="R122" s="291">
        <f t="shared" si="65"/>
        <v>0</v>
      </c>
      <c r="S122" s="357">
        <v>177</v>
      </c>
      <c r="T122" s="292">
        <f t="shared" si="54"/>
        <v>412.2</v>
      </c>
      <c r="U122" s="254">
        <f t="shared" si="66"/>
        <v>4121.5499999999993</v>
      </c>
      <c r="V122" s="356">
        <v>4349146162.6700001</v>
      </c>
      <c r="W122" s="357">
        <v>27196</v>
      </c>
      <c r="X122" s="264">
        <f t="shared" si="55"/>
        <v>159918.6</v>
      </c>
      <c r="Y122" s="293">
        <f t="shared" si="56"/>
        <v>0.83062999999999998</v>
      </c>
      <c r="Z122" s="357">
        <v>87188</v>
      </c>
      <c r="AA122" s="293">
        <f t="shared" si="57"/>
        <v>0.72358599999999995</v>
      </c>
      <c r="AB122" s="293">
        <f t="shared" si="58"/>
        <v>0.201483</v>
      </c>
      <c r="AC122" s="294">
        <f t="shared" si="59"/>
        <v>0.201483</v>
      </c>
      <c r="AD122" s="295">
        <f t="shared" si="67"/>
        <v>0</v>
      </c>
      <c r="AE122" s="296">
        <f t="shared" si="68"/>
        <v>0.201483</v>
      </c>
      <c r="AF122" s="357">
        <v>0</v>
      </c>
      <c r="AG122" s="357">
        <v>0</v>
      </c>
      <c r="AH122" s="254">
        <f t="shared" si="69"/>
        <v>0</v>
      </c>
      <c r="AI122" s="9">
        <f t="shared" si="60"/>
        <v>0</v>
      </c>
      <c r="AJ122" s="9">
        <v>0</v>
      </c>
      <c r="AK122" s="9">
        <f t="shared" si="70"/>
        <v>0</v>
      </c>
      <c r="AL122" s="9">
        <f t="shared" si="71"/>
        <v>0</v>
      </c>
      <c r="AM122" s="9">
        <f t="shared" si="72"/>
        <v>0</v>
      </c>
      <c r="AN122" s="9">
        <f t="shared" si="73"/>
        <v>0</v>
      </c>
      <c r="AO122" s="9">
        <f t="shared" si="61"/>
        <v>9570617</v>
      </c>
      <c r="AP122" s="9">
        <f t="shared" si="74"/>
        <v>9570617</v>
      </c>
      <c r="AQ122" s="9">
        <f t="shared" si="75"/>
        <v>9570617</v>
      </c>
      <c r="AR122" s="291">
        <v>11832806</v>
      </c>
      <c r="AS122" s="9">
        <f t="shared" si="76"/>
        <v>2262189</v>
      </c>
      <c r="AT122" s="297" t="str">
        <f t="shared" si="77"/>
        <v>No</v>
      </c>
      <c r="AU122" s="357">
        <v>11124188</v>
      </c>
      <c r="AV122" s="291">
        <f t="shared" si="62"/>
        <v>188440.3437</v>
      </c>
      <c r="AW122" s="291">
        <f t="shared" si="78"/>
        <v>11124188</v>
      </c>
      <c r="AX122" s="291">
        <f t="shared" si="63"/>
        <v>11124188</v>
      </c>
      <c r="AY122" s="358">
        <f t="shared" si="79"/>
        <v>0</v>
      </c>
      <c r="AZ122" s="301"/>
      <c r="BA122" s="301"/>
      <c r="BB122" s="302"/>
      <c r="BC122" s="291">
        <f t="shared" si="80"/>
        <v>10935747.656300001</v>
      </c>
      <c r="BD122" s="298">
        <f t="shared" si="91"/>
        <v>10747307.312600002</v>
      </c>
      <c r="BE122" s="298">
        <f t="shared" si="91"/>
        <v>10558866.968900003</v>
      </c>
      <c r="BF122" s="298">
        <f t="shared" si="91"/>
        <v>10370426.625200003</v>
      </c>
      <c r="BG122" s="298">
        <f t="shared" si="92"/>
        <v>10181986.281500004</v>
      </c>
      <c r="BH122" s="298">
        <f t="shared" si="92"/>
        <v>9993545.9378000051</v>
      </c>
      <c r="BI122" s="298">
        <f t="shared" si="83"/>
        <v>9570617</v>
      </c>
      <c r="BK122" s="298">
        <f t="shared" si="84"/>
        <v>10935747.656300001</v>
      </c>
      <c r="BL122" s="298">
        <f t="shared" si="85"/>
        <v>10747307.312600002</v>
      </c>
      <c r="BM122" s="298">
        <f t="shared" si="86"/>
        <v>10558866.968900003</v>
      </c>
      <c r="BN122" s="298">
        <f t="shared" si="87"/>
        <v>10370426.625200003</v>
      </c>
      <c r="BO122" s="298">
        <f t="shared" si="88"/>
        <v>10181986.281500004</v>
      </c>
      <c r="BP122" s="298">
        <f t="shared" si="89"/>
        <v>9993545.9378000051</v>
      </c>
      <c r="BQ122" s="298">
        <f t="shared" si="90"/>
        <v>9570617</v>
      </c>
    </row>
    <row r="123" spans="1:69" ht="15" x14ac:dyDescent="0.2">
      <c r="A123" s="10" t="s">
        <v>10</v>
      </c>
      <c r="B123" s="10"/>
      <c r="C123" s="276"/>
      <c r="D123" s="276"/>
      <c r="E123" s="276"/>
      <c r="F123" s="8">
        <v>3</v>
      </c>
      <c r="G123" s="355">
        <v>121</v>
      </c>
      <c r="H123" s="10">
        <v>97</v>
      </c>
      <c r="I123" s="7" t="s">
        <v>109</v>
      </c>
      <c r="J123" s="287"/>
      <c r="K123" s="356">
        <v>4034.62</v>
      </c>
      <c r="L123" s="355"/>
      <c r="M123" s="289"/>
      <c r="N123" s="357">
        <v>582</v>
      </c>
      <c r="O123" s="290">
        <f t="shared" si="52"/>
        <v>0.14425150323946245</v>
      </c>
      <c r="P123" s="290">
        <f t="shared" si="64"/>
        <v>0</v>
      </c>
      <c r="Q123" s="291">
        <f t="shared" si="53"/>
        <v>0</v>
      </c>
      <c r="R123" s="291">
        <f t="shared" si="65"/>
        <v>0</v>
      </c>
      <c r="S123" s="357">
        <v>21</v>
      </c>
      <c r="T123" s="292">
        <f t="shared" si="54"/>
        <v>174.6</v>
      </c>
      <c r="U123" s="254">
        <f t="shared" si="66"/>
        <v>4214.47</v>
      </c>
      <c r="V123" s="356">
        <v>4637865782</v>
      </c>
      <c r="W123" s="357">
        <v>27853</v>
      </c>
      <c r="X123" s="264">
        <f t="shared" si="55"/>
        <v>166512.25</v>
      </c>
      <c r="Y123" s="293">
        <f t="shared" si="56"/>
        <v>0.86487800000000004</v>
      </c>
      <c r="Z123" s="357">
        <v>123974</v>
      </c>
      <c r="AA123" s="293">
        <f t="shared" si="57"/>
        <v>1.0288790000000001</v>
      </c>
      <c r="AB123" s="293">
        <f t="shared" si="58"/>
        <v>8.5921999999999998E-2</v>
      </c>
      <c r="AC123" s="294">
        <f t="shared" si="59"/>
        <v>8.5921999999999998E-2</v>
      </c>
      <c r="AD123" s="295">
        <f t="shared" si="67"/>
        <v>0</v>
      </c>
      <c r="AE123" s="296">
        <f t="shared" si="68"/>
        <v>8.5921999999999998E-2</v>
      </c>
      <c r="AF123" s="357">
        <v>0</v>
      </c>
      <c r="AG123" s="357">
        <v>0</v>
      </c>
      <c r="AH123" s="254">
        <f t="shared" si="69"/>
        <v>0</v>
      </c>
      <c r="AI123" s="9">
        <f t="shared" si="60"/>
        <v>0</v>
      </c>
      <c r="AJ123" s="9">
        <v>0</v>
      </c>
      <c r="AK123" s="9">
        <f t="shared" si="70"/>
        <v>0</v>
      </c>
      <c r="AL123" s="9">
        <f t="shared" si="71"/>
        <v>0</v>
      </c>
      <c r="AM123" s="9">
        <f t="shared" si="72"/>
        <v>0</v>
      </c>
      <c r="AN123" s="9">
        <f t="shared" si="73"/>
        <v>0</v>
      </c>
      <c r="AO123" s="9">
        <f t="shared" si="61"/>
        <v>4173383</v>
      </c>
      <c r="AP123" s="9">
        <f t="shared" si="74"/>
        <v>4173383</v>
      </c>
      <c r="AQ123" s="9">
        <f t="shared" si="75"/>
        <v>4173383</v>
      </c>
      <c r="AR123" s="291">
        <v>4893944</v>
      </c>
      <c r="AS123" s="9">
        <f t="shared" si="76"/>
        <v>720561</v>
      </c>
      <c r="AT123" s="297" t="str">
        <f t="shared" si="77"/>
        <v>No</v>
      </c>
      <c r="AU123" s="357">
        <v>4495691</v>
      </c>
      <c r="AV123" s="291">
        <f t="shared" si="62"/>
        <v>60022.731299999999</v>
      </c>
      <c r="AW123" s="291">
        <f t="shared" si="78"/>
        <v>4495691</v>
      </c>
      <c r="AX123" s="291">
        <f t="shared" si="63"/>
        <v>4495691</v>
      </c>
      <c r="AY123" s="358">
        <f t="shared" si="79"/>
        <v>0</v>
      </c>
      <c r="AZ123" s="301"/>
      <c r="BA123" s="301"/>
      <c r="BB123" s="302"/>
      <c r="BC123" s="291">
        <f t="shared" si="80"/>
        <v>4435668.2686999999</v>
      </c>
      <c r="BD123" s="298">
        <f t="shared" si="91"/>
        <v>4375645.5373999998</v>
      </c>
      <c r="BE123" s="298">
        <f t="shared" si="91"/>
        <v>4315622.8060999997</v>
      </c>
      <c r="BF123" s="298">
        <f t="shared" si="91"/>
        <v>4255600.0747999996</v>
      </c>
      <c r="BG123" s="298">
        <f t="shared" si="92"/>
        <v>4195577.3434999995</v>
      </c>
      <c r="BH123" s="298">
        <f t="shared" si="92"/>
        <v>4135554.6121999994</v>
      </c>
      <c r="BI123" s="298">
        <f t="shared" si="83"/>
        <v>4173383</v>
      </c>
      <c r="BK123" s="298">
        <f t="shared" si="84"/>
        <v>4435668.2686999999</v>
      </c>
      <c r="BL123" s="298">
        <f t="shared" si="85"/>
        <v>4375645.5373999998</v>
      </c>
      <c r="BM123" s="298">
        <f t="shared" si="86"/>
        <v>4315622.8060999997</v>
      </c>
      <c r="BN123" s="298">
        <f t="shared" si="87"/>
        <v>4255600.0747999996</v>
      </c>
      <c r="BO123" s="298">
        <f t="shared" si="88"/>
        <v>4195577.3434999995</v>
      </c>
      <c r="BP123" s="298">
        <f t="shared" si="89"/>
        <v>4135554.6121999994</v>
      </c>
      <c r="BQ123" s="298">
        <f t="shared" si="90"/>
        <v>4173383</v>
      </c>
    </row>
    <row r="124" spans="1:69" ht="15" x14ac:dyDescent="0.2">
      <c r="A124" s="10" t="s">
        <v>8</v>
      </c>
      <c r="B124" s="10"/>
      <c r="C124" s="276"/>
      <c r="D124" s="276"/>
      <c r="E124" s="276"/>
      <c r="F124" s="8">
        <v>2</v>
      </c>
      <c r="G124" s="355">
        <v>136</v>
      </c>
      <c r="H124" s="10">
        <v>98</v>
      </c>
      <c r="I124" s="7" t="s">
        <v>110</v>
      </c>
      <c r="J124" s="287"/>
      <c r="K124" s="356">
        <v>152.94999999999999</v>
      </c>
      <c r="L124" s="355"/>
      <c r="M124" s="289"/>
      <c r="N124" s="357">
        <v>51</v>
      </c>
      <c r="O124" s="290">
        <f t="shared" si="52"/>
        <v>0.33344230140568815</v>
      </c>
      <c r="P124" s="290">
        <f t="shared" si="64"/>
        <v>0</v>
      </c>
      <c r="Q124" s="291">
        <f t="shared" si="53"/>
        <v>0</v>
      </c>
      <c r="R124" s="291">
        <f t="shared" si="65"/>
        <v>0</v>
      </c>
      <c r="S124" s="357">
        <v>2</v>
      </c>
      <c r="T124" s="292">
        <f t="shared" si="54"/>
        <v>15.3</v>
      </c>
      <c r="U124" s="254">
        <f t="shared" si="66"/>
        <v>168.75</v>
      </c>
      <c r="V124" s="356">
        <v>383304826.67000002</v>
      </c>
      <c r="W124" s="357">
        <v>1503</v>
      </c>
      <c r="X124" s="264">
        <f t="shared" si="55"/>
        <v>255026.5</v>
      </c>
      <c r="Y124" s="293">
        <f t="shared" si="56"/>
        <v>1.3246290000000001</v>
      </c>
      <c r="Z124" s="357">
        <v>75547</v>
      </c>
      <c r="AA124" s="293">
        <f t="shared" si="57"/>
        <v>0.62697599999999998</v>
      </c>
      <c r="AB124" s="293">
        <f t="shared" si="58"/>
        <v>-0.115333</v>
      </c>
      <c r="AC124" s="294">
        <f t="shared" si="59"/>
        <v>0.01</v>
      </c>
      <c r="AD124" s="295">
        <f t="shared" si="67"/>
        <v>0</v>
      </c>
      <c r="AE124" s="296">
        <f t="shared" si="68"/>
        <v>0.01</v>
      </c>
      <c r="AF124" s="357">
        <v>72</v>
      </c>
      <c r="AG124" s="357">
        <v>6</v>
      </c>
      <c r="AH124" s="254">
        <f t="shared" si="69"/>
        <v>600</v>
      </c>
      <c r="AI124" s="9">
        <f t="shared" si="60"/>
        <v>43200</v>
      </c>
      <c r="AJ124" s="9">
        <v>0</v>
      </c>
      <c r="AK124" s="9">
        <f t="shared" si="70"/>
        <v>0</v>
      </c>
      <c r="AL124" s="9">
        <f t="shared" si="71"/>
        <v>0</v>
      </c>
      <c r="AM124" s="9">
        <f t="shared" si="72"/>
        <v>0</v>
      </c>
      <c r="AN124" s="9">
        <f t="shared" si="73"/>
        <v>43200</v>
      </c>
      <c r="AO124" s="9">
        <f t="shared" si="61"/>
        <v>19448</v>
      </c>
      <c r="AP124" s="9">
        <f t="shared" si="74"/>
        <v>62648</v>
      </c>
      <c r="AQ124" s="9">
        <f t="shared" si="75"/>
        <v>62648</v>
      </c>
      <c r="AR124" s="291">
        <v>25815</v>
      </c>
      <c r="AS124" s="9">
        <f t="shared" si="76"/>
        <v>36833</v>
      </c>
      <c r="AT124" s="297" t="str">
        <f t="shared" si="77"/>
        <v>Yes</v>
      </c>
      <c r="AU124" s="357">
        <v>29866.397799999999</v>
      </c>
      <c r="AV124" s="291">
        <f t="shared" si="62"/>
        <v>3926.3978000000002</v>
      </c>
      <c r="AW124" s="291">
        <f t="shared" si="78"/>
        <v>33792.795599999998</v>
      </c>
      <c r="AX124" s="291">
        <f t="shared" si="63"/>
        <v>33792.795599999998</v>
      </c>
      <c r="AY124" s="358">
        <f t="shared" si="79"/>
        <v>3926.3977999999988</v>
      </c>
      <c r="AZ124" s="301"/>
      <c r="BA124" s="301"/>
      <c r="BB124" s="302"/>
      <c r="BC124" s="291">
        <f t="shared" si="80"/>
        <v>37719.193399999996</v>
      </c>
      <c r="BD124" s="298">
        <f t="shared" ref="BD124:BF139" si="93">IF($AT124="Yes",BC124+$AV124,BC124-$AV124)</f>
        <v>41645.591199999995</v>
      </c>
      <c r="BE124" s="298">
        <f t="shared" si="93"/>
        <v>45571.988999999994</v>
      </c>
      <c r="BF124" s="298">
        <f t="shared" si="93"/>
        <v>49498.386799999993</v>
      </c>
      <c r="BG124" s="298">
        <f t="shared" ref="BG124:BH139" si="94">IF($AT124="Yes",$AP124,BF124-$AV124)</f>
        <v>62648</v>
      </c>
      <c r="BH124" s="298">
        <f t="shared" si="94"/>
        <v>62648</v>
      </c>
      <c r="BI124" s="298">
        <f t="shared" si="83"/>
        <v>62648</v>
      </c>
      <c r="BK124" s="298">
        <f t="shared" si="84"/>
        <v>37719.193399999996</v>
      </c>
      <c r="BL124" s="298">
        <f t="shared" si="85"/>
        <v>41645.591199999995</v>
      </c>
      <c r="BM124" s="298">
        <f t="shared" si="86"/>
        <v>45571.988999999994</v>
      </c>
      <c r="BN124" s="298">
        <f t="shared" si="87"/>
        <v>49498.386799999993</v>
      </c>
      <c r="BO124" s="298">
        <f t="shared" si="88"/>
        <v>62648</v>
      </c>
      <c r="BP124" s="298">
        <f t="shared" si="89"/>
        <v>62648</v>
      </c>
      <c r="BQ124" s="298">
        <f t="shared" si="90"/>
        <v>62648</v>
      </c>
    </row>
    <row r="125" spans="1:69" ht="15" x14ac:dyDescent="0.2">
      <c r="A125" s="10" t="s">
        <v>8</v>
      </c>
      <c r="B125" s="10"/>
      <c r="C125" s="276"/>
      <c r="D125" s="276"/>
      <c r="E125" s="276"/>
      <c r="F125" s="8">
        <v>6</v>
      </c>
      <c r="G125" s="355">
        <v>74</v>
      </c>
      <c r="H125" s="10">
        <v>99</v>
      </c>
      <c r="I125" s="7" t="s">
        <v>111</v>
      </c>
      <c r="J125" s="287"/>
      <c r="K125" s="356">
        <v>1665.65</v>
      </c>
      <c r="L125" s="355"/>
      <c r="M125" s="289"/>
      <c r="N125" s="357">
        <v>392</v>
      </c>
      <c r="O125" s="290">
        <f t="shared" si="52"/>
        <v>0.23534355957133851</v>
      </c>
      <c r="P125" s="290">
        <f t="shared" si="64"/>
        <v>0</v>
      </c>
      <c r="Q125" s="291">
        <f t="shared" si="53"/>
        <v>0</v>
      </c>
      <c r="R125" s="291">
        <f t="shared" si="65"/>
        <v>0</v>
      </c>
      <c r="S125" s="357">
        <v>17</v>
      </c>
      <c r="T125" s="292">
        <f t="shared" si="54"/>
        <v>117.6</v>
      </c>
      <c r="U125" s="254">
        <f t="shared" si="66"/>
        <v>1787.5</v>
      </c>
      <c r="V125" s="356">
        <v>1854366817</v>
      </c>
      <c r="W125" s="357">
        <v>14208</v>
      </c>
      <c r="X125" s="264">
        <f t="shared" si="55"/>
        <v>130515.68</v>
      </c>
      <c r="Y125" s="293">
        <f t="shared" si="56"/>
        <v>0.67790899999999998</v>
      </c>
      <c r="Z125" s="357">
        <v>86087</v>
      </c>
      <c r="AA125" s="293">
        <f t="shared" si="57"/>
        <v>0.714449</v>
      </c>
      <c r="AB125" s="293">
        <f t="shared" si="58"/>
        <v>0.31112899999999999</v>
      </c>
      <c r="AC125" s="294">
        <f t="shared" si="59"/>
        <v>0.31112899999999999</v>
      </c>
      <c r="AD125" s="295">
        <f t="shared" si="67"/>
        <v>0</v>
      </c>
      <c r="AE125" s="296">
        <f t="shared" si="68"/>
        <v>0.31112899999999999</v>
      </c>
      <c r="AF125" s="357">
        <v>0</v>
      </c>
      <c r="AG125" s="357">
        <v>0</v>
      </c>
      <c r="AH125" s="254">
        <f t="shared" si="69"/>
        <v>0</v>
      </c>
      <c r="AI125" s="9">
        <f t="shared" si="60"/>
        <v>0</v>
      </c>
      <c r="AJ125" s="9">
        <v>0</v>
      </c>
      <c r="AK125" s="9">
        <f t="shared" si="70"/>
        <v>0</v>
      </c>
      <c r="AL125" s="9">
        <f t="shared" si="71"/>
        <v>0</v>
      </c>
      <c r="AM125" s="9">
        <f t="shared" si="72"/>
        <v>0</v>
      </c>
      <c r="AN125" s="9">
        <f t="shared" si="73"/>
        <v>0</v>
      </c>
      <c r="AO125" s="9">
        <f t="shared" si="61"/>
        <v>6409549</v>
      </c>
      <c r="AP125" s="9">
        <f t="shared" si="74"/>
        <v>6409549</v>
      </c>
      <c r="AQ125" s="9">
        <f t="shared" si="75"/>
        <v>6409549</v>
      </c>
      <c r="AR125" s="291">
        <v>8076776</v>
      </c>
      <c r="AS125" s="9">
        <f t="shared" si="76"/>
        <v>1667227</v>
      </c>
      <c r="AT125" s="297" t="str">
        <f t="shared" si="77"/>
        <v>No</v>
      </c>
      <c r="AU125" s="357">
        <v>7331325</v>
      </c>
      <c r="AV125" s="291">
        <f t="shared" si="62"/>
        <v>138880.0091</v>
      </c>
      <c r="AW125" s="291">
        <f t="shared" si="78"/>
        <v>7331325</v>
      </c>
      <c r="AX125" s="291">
        <f t="shared" si="63"/>
        <v>7331325</v>
      </c>
      <c r="AY125" s="358">
        <f t="shared" si="79"/>
        <v>0</v>
      </c>
      <c r="AZ125" s="301"/>
      <c r="BA125" s="301"/>
      <c r="BB125" s="302"/>
      <c r="BC125" s="291">
        <f t="shared" si="80"/>
        <v>7192444.9908999996</v>
      </c>
      <c r="BD125" s="298">
        <f t="shared" si="93"/>
        <v>7053564.9817999993</v>
      </c>
      <c r="BE125" s="298">
        <f t="shared" si="93"/>
        <v>6914684.9726999989</v>
      </c>
      <c r="BF125" s="298">
        <f t="shared" si="93"/>
        <v>6775804.9635999985</v>
      </c>
      <c r="BG125" s="298">
        <f t="shared" si="94"/>
        <v>6636924.9544999981</v>
      </c>
      <c r="BH125" s="298">
        <f t="shared" si="94"/>
        <v>6498044.9453999978</v>
      </c>
      <c r="BI125" s="298">
        <f t="shared" si="83"/>
        <v>6409549</v>
      </c>
      <c r="BK125" s="298">
        <f t="shared" si="84"/>
        <v>7192444.9908999996</v>
      </c>
      <c r="BL125" s="298">
        <f t="shared" si="85"/>
        <v>7053564.9817999993</v>
      </c>
      <c r="BM125" s="298">
        <f t="shared" si="86"/>
        <v>6914684.9726999989</v>
      </c>
      <c r="BN125" s="298">
        <f t="shared" si="87"/>
        <v>6775804.9635999985</v>
      </c>
      <c r="BO125" s="298">
        <f t="shared" si="88"/>
        <v>6636924.9544999981</v>
      </c>
      <c r="BP125" s="298">
        <f t="shared" si="89"/>
        <v>6498044.9453999978</v>
      </c>
      <c r="BQ125" s="298">
        <f t="shared" si="90"/>
        <v>6409549</v>
      </c>
    </row>
    <row r="126" spans="1:69" ht="15" x14ac:dyDescent="0.2">
      <c r="A126" s="10" t="s">
        <v>32</v>
      </c>
      <c r="B126" s="10"/>
      <c r="C126" s="276"/>
      <c r="D126" s="276"/>
      <c r="E126" s="276"/>
      <c r="F126" s="8">
        <v>8</v>
      </c>
      <c r="G126" s="355">
        <v>67</v>
      </c>
      <c r="H126" s="10">
        <v>100</v>
      </c>
      <c r="I126" s="7" t="s">
        <v>112</v>
      </c>
      <c r="J126" s="287"/>
      <c r="K126" s="356">
        <v>352.41</v>
      </c>
      <c r="L126" s="355"/>
      <c r="M126" s="289"/>
      <c r="N126" s="357">
        <v>176</v>
      </c>
      <c r="O126" s="290">
        <f t="shared" si="52"/>
        <v>0.49941829119491499</v>
      </c>
      <c r="P126" s="290">
        <f t="shared" si="64"/>
        <v>0</v>
      </c>
      <c r="Q126" s="291">
        <f t="shared" si="53"/>
        <v>0</v>
      </c>
      <c r="R126" s="291">
        <f t="shared" si="65"/>
        <v>0</v>
      </c>
      <c r="S126" s="357">
        <v>12</v>
      </c>
      <c r="T126" s="292">
        <f t="shared" si="54"/>
        <v>52.8</v>
      </c>
      <c r="U126" s="254">
        <f t="shared" si="66"/>
        <v>408.21000000000004</v>
      </c>
      <c r="V126" s="356">
        <v>433160796.32999998</v>
      </c>
      <c r="W126" s="357">
        <v>3302</v>
      </c>
      <c r="X126" s="264">
        <f t="shared" si="55"/>
        <v>131181.34</v>
      </c>
      <c r="Y126" s="293">
        <f t="shared" si="56"/>
        <v>0.68136699999999994</v>
      </c>
      <c r="Z126" s="357">
        <v>68438</v>
      </c>
      <c r="AA126" s="293">
        <f t="shared" si="57"/>
        <v>0.56797699999999995</v>
      </c>
      <c r="AB126" s="293">
        <f t="shared" si="58"/>
        <v>0.35265000000000002</v>
      </c>
      <c r="AC126" s="294">
        <f t="shared" si="59"/>
        <v>0.35265000000000002</v>
      </c>
      <c r="AD126" s="295">
        <f t="shared" si="67"/>
        <v>0</v>
      </c>
      <c r="AE126" s="296">
        <f t="shared" si="68"/>
        <v>0.35265000000000002</v>
      </c>
      <c r="AF126" s="357">
        <v>106</v>
      </c>
      <c r="AG126" s="357">
        <v>4</v>
      </c>
      <c r="AH126" s="254">
        <f t="shared" si="69"/>
        <v>400</v>
      </c>
      <c r="AI126" s="9">
        <f t="shared" si="60"/>
        <v>42400</v>
      </c>
      <c r="AJ126" s="9">
        <v>0</v>
      </c>
      <c r="AK126" s="9">
        <f t="shared" si="70"/>
        <v>0</v>
      </c>
      <c r="AL126" s="9">
        <f t="shared" si="71"/>
        <v>0</v>
      </c>
      <c r="AM126" s="9">
        <f t="shared" si="72"/>
        <v>0</v>
      </c>
      <c r="AN126" s="9">
        <f t="shared" si="73"/>
        <v>42400</v>
      </c>
      <c r="AO126" s="9">
        <f t="shared" si="61"/>
        <v>1659084</v>
      </c>
      <c r="AP126" s="9">
        <f t="shared" si="74"/>
        <v>1701484</v>
      </c>
      <c r="AQ126" s="9">
        <f t="shared" si="75"/>
        <v>1701484</v>
      </c>
      <c r="AR126" s="291">
        <v>2044243</v>
      </c>
      <c r="AS126" s="9">
        <f t="shared" si="76"/>
        <v>342759</v>
      </c>
      <c r="AT126" s="297" t="str">
        <f t="shared" si="77"/>
        <v>No</v>
      </c>
      <c r="AU126" s="357">
        <v>1781954</v>
      </c>
      <c r="AV126" s="291">
        <f t="shared" si="62"/>
        <v>28551.824700000001</v>
      </c>
      <c r="AW126" s="291">
        <f t="shared" si="78"/>
        <v>1781954</v>
      </c>
      <c r="AX126" s="291">
        <f t="shared" si="63"/>
        <v>1781954</v>
      </c>
      <c r="AY126" s="358">
        <f t="shared" si="79"/>
        <v>0</v>
      </c>
      <c r="AZ126" s="301"/>
      <c r="BA126" s="301"/>
      <c r="BB126" s="302"/>
      <c r="BC126" s="291">
        <f t="shared" si="80"/>
        <v>1753402.1753</v>
      </c>
      <c r="BD126" s="298">
        <f t="shared" si="93"/>
        <v>1724850.3506</v>
      </c>
      <c r="BE126" s="298">
        <f t="shared" si="93"/>
        <v>1696298.5259</v>
      </c>
      <c r="BF126" s="298">
        <f t="shared" si="93"/>
        <v>1667746.7012</v>
      </c>
      <c r="BG126" s="298">
        <f t="shared" si="94"/>
        <v>1639194.8765</v>
      </c>
      <c r="BH126" s="298">
        <f t="shared" si="94"/>
        <v>1610643.0518</v>
      </c>
      <c r="BI126" s="298">
        <f t="shared" si="83"/>
        <v>1701484</v>
      </c>
      <c r="BK126" s="298">
        <f t="shared" si="84"/>
        <v>1753402.1753</v>
      </c>
      <c r="BL126" s="298">
        <f t="shared" si="85"/>
        <v>1724850.3506</v>
      </c>
      <c r="BM126" s="298">
        <f t="shared" si="86"/>
        <v>1696298.5259</v>
      </c>
      <c r="BN126" s="298">
        <f t="shared" si="87"/>
        <v>1667746.7012</v>
      </c>
      <c r="BO126" s="298">
        <f t="shared" si="88"/>
        <v>1639194.8765</v>
      </c>
      <c r="BP126" s="298">
        <f t="shared" si="89"/>
        <v>1610643.0518</v>
      </c>
      <c r="BQ126" s="298">
        <f t="shared" si="90"/>
        <v>1701484</v>
      </c>
    </row>
    <row r="127" spans="1:69" ht="15" x14ac:dyDescent="0.2">
      <c r="A127" s="10" t="s">
        <v>14</v>
      </c>
      <c r="B127" s="10"/>
      <c r="C127" s="276"/>
      <c r="D127" s="276"/>
      <c r="E127" s="276"/>
      <c r="F127" s="8">
        <v>4</v>
      </c>
      <c r="G127" s="355">
        <v>93</v>
      </c>
      <c r="H127" s="10">
        <v>101</v>
      </c>
      <c r="I127" s="7" t="s">
        <v>113</v>
      </c>
      <c r="J127" s="287"/>
      <c r="K127" s="356">
        <v>3126.45</v>
      </c>
      <c r="L127" s="355"/>
      <c r="M127" s="289"/>
      <c r="N127" s="357">
        <v>639</v>
      </c>
      <c r="O127" s="290">
        <f t="shared" si="52"/>
        <v>0.20438516528330855</v>
      </c>
      <c r="P127" s="290">
        <f t="shared" si="64"/>
        <v>0</v>
      </c>
      <c r="Q127" s="291">
        <f t="shared" si="53"/>
        <v>0</v>
      </c>
      <c r="R127" s="291">
        <f t="shared" si="65"/>
        <v>0</v>
      </c>
      <c r="S127" s="357">
        <v>105</v>
      </c>
      <c r="T127" s="292">
        <f t="shared" si="54"/>
        <v>191.7</v>
      </c>
      <c r="U127" s="254">
        <f t="shared" si="66"/>
        <v>3344.3999999999996</v>
      </c>
      <c r="V127" s="356">
        <v>4261260702.6700001</v>
      </c>
      <c r="W127" s="357">
        <v>23786</v>
      </c>
      <c r="X127" s="264">
        <f t="shared" si="55"/>
        <v>179149.95</v>
      </c>
      <c r="Y127" s="293">
        <f t="shared" si="56"/>
        <v>0.93052000000000001</v>
      </c>
      <c r="Z127" s="357">
        <v>99094</v>
      </c>
      <c r="AA127" s="293">
        <f t="shared" si="57"/>
        <v>0.82239600000000002</v>
      </c>
      <c r="AB127" s="293">
        <f t="shared" si="58"/>
        <v>0.10191699999999999</v>
      </c>
      <c r="AC127" s="294">
        <f t="shared" si="59"/>
        <v>0.10191699999999999</v>
      </c>
      <c r="AD127" s="295">
        <f t="shared" si="67"/>
        <v>0</v>
      </c>
      <c r="AE127" s="296">
        <f t="shared" si="68"/>
        <v>0.10191699999999999</v>
      </c>
      <c r="AF127" s="357">
        <v>0</v>
      </c>
      <c r="AG127" s="357">
        <v>0</v>
      </c>
      <c r="AH127" s="254">
        <f t="shared" si="69"/>
        <v>0</v>
      </c>
      <c r="AI127" s="9">
        <f t="shared" si="60"/>
        <v>0</v>
      </c>
      <c r="AJ127" s="9">
        <v>0</v>
      </c>
      <c r="AK127" s="9">
        <f t="shared" si="70"/>
        <v>0</v>
      </c>
      <c r="AL127" s="9">
        <f t="shared" si="71"/>
        <v>0</v>
      </c>
      <c r="AM127" s="9">
        <f t="shared" si="72"/>
        <v>0</v>
      </c>
      <c r="AN127" s="9">
        <f t="shared" si="73"/>
        <v>0</v>
      </c>
      <c r="AO127" s="9">
        <f t="shared" si="61"/>
        <v>3928310</v>
      </c>
      <c r="AP127" s="9">
        <f t="shared" si="74"/>
        <v>3928310</v>
      </c>
      <c r="AQ127" s="9">
        <f t="shared" si="75"/>
        <v>3928310</v>
      </c>
      <c r="AR127" s="291">
        <v>3842088</v>
      </c>
      <c r="AS127" s="9">
        <f t="shared" si="76"/>
        <v>86222</v>
      </c>
      <c r="AT127" s="297" t="str">
        <f t="shared" si="77"/>
        <v>Yes</v>
      </c>
      <c r="AU127" s="357">
        <v>3860551.2651999998</v>
      </c>
      <c r="AV127" s="291">
        <f t="shared" si="62"/>
        <v>9191.2651999999998</v>
      </c>
      <c r="AW127" s="291">
        <f t="shared" si="78"/>
        <v>3869742.5303999996</v>
      </c>
      <c r="AX127" s="291">
        <f t="shared" si="63"/>
        <v>3869742.5303999996</v>
      </c>
      <c r="AY127" s="358">
        <f t="shared" si="79"/>
        <v>9191.2651999997906</v>
      </c>
      <c r="AZ127" s="301"/>
      <c r="BA127" s="301"/>
      <c r="BB127" s="302"/>
      <c r="BC127" s="291">
        <f t="shared" si="80"/>
        <v>3878933.7955999994</v>
      </c>
      <c r="BD127" s="298">
        <f t="shared" si="93"/>
        <v>3888125.0607999992</v>
      </c>
      <c r="BE127" s="298">
        <f t="shared" si="93"/>
        <v>3897316.325999999</v>
      </c>
      <c r="BF127" s="298">
        <f t="shared" si="93"/>
        <v>3906507.5911999987</v>
      </c>
      <c r="BG127" s="298">
        <f t="shared" si="94"/>
        <v>3928310</v>
      </c>
      <c r="BH127" s="298">
        <f t="shared" si="94"/>
        <v>3928310</v>
      </c>
      <c r="BI127" s="298">
        <f t="shared" si="83"/>
        <v>3928310</v>
      </c>
      <c r="BK127" s="298">
        <f t="shared" si="84"/>
        <v>3878933.7955999994</v>
      </c>
      <c r="BL127" s="298">
        <f t="shared" si="85"/>
        <v>3888125.0607999992</v>
      </c>
      <c r="BM127" s="298">
        <f t="shared" si="86"/>
        <v>3897316.325999999</v>
      </c>
      <c r="BN127" s="298">
        <f t="shared" si="87"/>
        <v>3906507.5911999987</v>
      </c>
      <c r="BO127" s="298">
        <f t="shared" si="88"/>
        <v>3928310</v>
      </c>
      <c r="BP127" s="298">
        <f t="shared" si="89"/>
        <v>3928310</v>
      </c>
      <c r="BQ127" s="298">
        <f t="shared" si="90"/>
        <v>3928310</v>
      </c>
    </row>
    <row r="128" spans="1:69" ht="15" x14ac:dyDescent="0.2">
      <c r="A128" s="10" t="s">
        <v>8</v>
      </c>
      <c r="B128" s="10"/>
      <c r="C128" s="276"/>
      <c r="D128" s="276"/>
      <c r="E128" s="276"/>
      <c r="F128" s="8">
        <v>4</v>
      </c>
      <c r="G128" s="355">
        <v>81</v>
      </c>
      <c r="H128" s="10">
        <v>102</v>
      </c>
      <c r="I128" s="7" t="s">
        <v>114</v>
      </c>
      <c r="J128" s="287"/>
      <c r="K128" s="356">
        <v>709.57</v>
      </c>
      <c r="L128" s="355"/>
      <c r="M128" s="289"/>
      <c r="N128" s="357">
        <v>156</v>
      </c>
      <c r="O128" s="290">
        <f t="shared" si="52"/>
        <v>0.21985145933452652</v>
      </c>
      <c r="P128" s="290">
        <f t="shared" si="64"/>
        <v>0</v>
      </c>
      <c r="Q128" s="291">
        <f t="shared" si="53"/>
        <v>0</v>
      </c>
      <c r="R128" s="291">
        <f t="shared" si="65"/>
        <v>0</v>
      </c>
      <c r="S128" s="357">
        <v>0</v>
      </c>
      <c r="T128" s="292">
        <f t="shared" si="54"/>
        <v>46.8</v>
      </c>
      <c r="U128" s="254">
        <f t="shared" si="66"/>
        <v>756.37</v>
      </c>
      <c r="V128" s="356">
        <v>829466418.33000004</v>
      </c>
      <c r="W128" s="357">
        <v>5242</v>
      </c>
      <c r="X128" s="264">
        <f t="shared" si="55"/>
        <v>158234.72</v>
      </c>
      <c r="Y128" s="293">
        <f t="shared" si="56"/>
        <v>0.82188399999999995</v>
      </c>
      <c r="Z128" s="357">
        <v>76985</v>
      </c>
      <c r="AA128" s="293">
        <f t="shared" si="57"/>
        <v>0.63890999999999998</v>
      </c>
      <c r="AB128" s="293">
        <f t="shared" si="58"/>
        <v>0.23300799999999999</v>
      </c>
      <c r="AC128" s="294">
        <f t="shared" si="59"/>
        <v>0.23300799999999999</v>
      </c>
      <c r="AD128" s="295">
        <f t="shared" si="67"/>
        <v>0</v>
      </c>
      <c r="AE128" s="296">
        <f t="shared" si="68"/>
        <v>0.23300799999999999</v>
      </c>
      <c r="AF128" s="357">
        <v>0</v>
      </c>
      <c r="AG128" s="357">
        <v>0</v>
      </c>
      <c r="AH128" s="254">
        <f t="shared" si="69"/>
        <v>0</v>
      </c>
      <c r="AI128" s="9">
        <f t="shared" si="60"/>
        <v>0</v>
      </c>
      <c r="AJ128" s="9">
        <v>0</v>
      </c>
      <c r="AK128" s="9">
        <f t="shared" si="70"/>
        <v>0</v>
      </c>
      <c r="AL128" s="9">
        <f t="shared" si="71"/>
        <v>0</v>
      </c>
      <c r="AM128" s="9">
        <f t="shared" si="72"/>
        <v>0</v>
      </c>
      <c r="AN128" s="9">
        <f t="shared" si="73"/>
        <v>0</v>
      </c>
      <c r="AO128" s="9">
        <f t="shared" si="61"/>
        <v>2031169</v>
      </c>
      <c r="AP128" s="9">
        <f t="shared" si="74"/>
        <v>2031169</v>
      </c>
      <c r="AQ128" s="9">
        <f t="shared" si="75"/>
        <v>2031169</v>
      </c>
      <c r="AR128" s="291">
        <v>2834470</v>
      </c>
      <c r="AS128" s="9">
        <f t="shared" si="76"/>
        <v>803301</v>
      </c>
      <c r="AT128" s="297" t="str">
        <f t="shared" si="77"/>
        <v>No</v>
      </c>
      <c r="AU128" s="357">
        <v>2584204</v>
      </c>
      <c r="AV128" s="291">
        <f t="shared" si="62"/>
        <v>66914.973299999998</v>
      </c>
      <c r="AW128" s="291">
        <f t="shared" si="78"/>
        <v>2584204</v>
      </c>
      <c r="AX128" s="291">
        <f t="shared" si="63"/>
        <v>2584204</v>
      </c>
      <c r="AY128" s="358">
        <f t="shared" si="79"/>
        <v>0</v>
      </c>
      <c r="AZ128" s="301"/>
      <c r="BA128" s="301"/>
      <c r="BB128" s="302"/>
      <c r="BC128" s="291">
        <f t="shared" si="80"/>
        <v>2517289.0266999998</v>
      </c>
      <c r="BD128" s="298">
        <f t="shared" si="93"/>
        <v>2450374.0533999996</v>
      </c>
      <c r="BE128" s="298">
        <f t="shared" si="93"/>
        <v>2383459.0800999994</v>
      </c>
      <c r="BF128" s="298">
        <f t="shared" si="93"/>
        <v>2316544.1067999993</v>
      </c>
      <c r="BG128" s="298">
        <f t="shared" si="94"/>
        <v>2249629.1334999991</v>
      </c>
      <c r="BH128" s="298">
        <f t="shared" si="94"/>
        <v>2182714.1601999989</v>
      </c>
      <c r="BI128" s="298">
        <f t="shared" si="83"/>
        <v>2031169</v>
      </c>
      <c r="BK128" s="298">
        <f t="shared" si="84"/>
        <v>2517289.0266999998</v>
      </c>
      <c r="BL128" s="298">
        <f t="shared" si="85"/>
        <v>2450374.0533999996</v>
      </c>
      <c r="BM128" s="298">
        <f t="shared" si="86"/>
        <v>2383459.0800999994</v>
      </c>
      <c r="BN128" s="298">
        <f t="shared" si="87"/>
        <v>2316544.1067999993</v>
      </c>
      <c r="BO128" s="298">
        <f t="shared" si="88"/>
        <v>2249629.1334999991</v>
      </c>
      <c r="BP128" s="298">
        <f t="shared" si="89"/>
        <v>2182714.1601999989</v>
      </c>
      <c r="BQ128" s="298">
        <f t="shared" si="90"/>
        <v>2031169</v>
      </c>
    </row>
    <row r="129" spans="1:69" ht="15" x14ac:dyDescent="0.2">
      <c r="A129" s="10" t="s">
        <v>6</v>
      </c>
      <c r="B129" s="10">
        <v>1</v>
      </c>
      <c r="C129" s="276">
        <v>1</v>
      </c>
      <c r="D129" s="276">
        <v>1</v>
      </c>
      <c r="E129" s="276"/>
      <c r="F129" s="8">
        <v>3</v>
      </c>
      <c r="G129" s="355">
        <v>96</v>
      </c>
      <c r="H129" s="10">
        <v>103</v>
      </c>
      <c r="I129" s="7" t="s">
        <v>115</v>
      </c>
      <c r="J129" s="287"/>
      <c r="K129" s="356">
        <v>11932.34</v>
      </c>
      <c r="L129" s="355"/>
      <c r="M129" s="289"/>
      <c r="N129" s="357">
        <v>7064</v>
      </c>
      <c r="O129" s="290">
        <f t="shared" si="52"/>
        <v>0.59200458585658811</v>
      </c>
      <c r="P129" s="290">
        <f t="shared" si="64"/>
        <v>0</v>
      </c>
      <c r="Q129" s="291">
        <f t="shared" si="53"/>
        <v>0</v>
      </c>
      <c r="R129" s="291">
        <f t="shared" si="65"/>
        <v>0</v>
      </c>
      <c r="S129" s="357">
        <v>1972</v>
      </c>
      <c r="T129" s="292">
        <f t="shared" si="54"/>
        <v>2119.1999999999998</v>
      </c>
      <c r="U129" s="254">
        <f t="shared" si="66"/>
        <v>14544.54</v>
      </c>
      <c r="V129" s="356">
        <v>19622013158.669998</v>
      </c>
      <c r="W129" s="357">
        <v>88436</v>
      </c>
      <c r="X129" s="264">
        <f t="shared" si="55"/>
        <v>221878.12</v>
      </c>
      <c r="Y129" s="293">
        <f t="shared" si="56"/>
        <v>1.1524529999999999</v>
      </c>
      <c r="Z129" s="357">
        <v>82474</v>
      </c>
      <c r="AA129" s="293">
        <f t="shared" si="57"/>
        <v>0.68446399999999996</v>
      </c>
      <c r="AB129" s="293">
        <f t="shared" si="58"/>
        <v>-1.2056000000000001E-2</v>
      </c>
      <c r="AC129" s="294">
        <f t="shared" si="59"/>
        <v>0.1</v>
      </c>
      <c r="AD129" s="295">
        <f t="shared" si="67"/>
        <v>0</v>
      </c>
      <c r="AE129" s="296">
        <f t="shared" si="68"/>
        <v>0.1</v>
      </c>
      <c r="AF129" s="357">
        <v>0</v>
      </c>
      <c r="AG129" s="357">
        <v>0</v>
      </c>
      <c r="AH129" s="254">
        <f t="shared" si="69"/>
        <v>0</v>
      </c>
      <c r="AI129" s="9">
        <f t="shared" si="60"/>
        <v>0</v>
      </c>
      <c r="AJ129" s="9">
        <v>0</v>
      </c>
      <c r="AK129" s="9">
        <f t="shared" si="70"/>
        <v>0</v>
      </c>
      <c r="AL129" s="9">
        <f t="shared" si="71"/>
        <v>0</v>
      </c>
      <c r="AM129" s="9">
        <f t="shared" si="72"/>
        <v>0</v>
      </c>
      <c r="AN129" s="9">
        <f t="shared" si="73"/>
        <v>0</v>
      </c>
      <c r="AO129" s="9">
        <f t="shared" si="61"/>
        <v>16762582</v>
      </c>
      <c r="AP129" s="9">
        <f t="shared" si="74"/>
        <v>16762582</v>
      </c>
      <c r="AQ129" s="9">
        <f t="shared" si="75"/>
        <v>16762582</v>
      </c>
      <c r="AR129" s="291">
        <v>11243340</v>
      </c>
      <c r="AS129" s="9">
        <f t="shared" si="76"/>
        <v>5519242</v>
      </c>
      <c r="AT129" s="297" t="str">
        <f t="shared" si="77"/>
        <v>Yes</v>
      </c>
      <c r="AU129" s="357">
        <v>13178830.1972</v>
      </c>
      <c r="AV129" s="291">
        <f t="shared" si="62"/>
        <v>588351.19720000005</v>
      </c>
      <c r="AW129" s="291">
        <f t="shared" si="78"/>
        <v>13767181.394400001</v>
      </c>
      <c r="AX129" s="291">
        <f t="shared" si="63"/>
        <v>13767181.394400001</v>
      </c>
      <c r="AY129" s="358">
        <f t="shared" si="79"/>
        <v>588351.19720000029</v>
      </c>
      <c r="AZ129" s="301"/>
      <c r="BA129" s="301"/>
      <c r="BB129" s="302"/>
      <c r="BC129" s="291">
        <f t="shared" si="80"/>
        <v>14355532.591600001</v>
      </c>
      <c r="BD129" s="298">
        <f t="shared" si="93"/>
        <v>14943883.788800001</v>
      </c>
      <c r="BE129" s="298">
        <f t="shared" si="93"/>
        <v>15532234.986000001</v>
      </c>
      <c r="BF129" s="298">
        <f t="shared" si="93"/>
        <v>16120586.183200002</v>
      </c>
      <c r="BG129" s="298">
        <f t="shared" si="94"/>
        <v>16762582</v>
      </c>
      <c r="BH129" s="298">
        <f t="shared" si="94"/>
        <v>16762582</v>
      </c>
      <c r="BI129" s="298">
        <f t="shared" si="83"/>
        <v>16762582</v>
      </c>
      <c r="BK129" s="298">
        <f t="shared" si="84"/>
        <v>14355532.591600001</v>
      </c>
      <c r="BL129" s="298">
        <f t="shared" si="85"/>
        <v>14943883.788800001</v>
      </c>
      <c r="BM129" s="298">
        <f t="shared" si="86"/>
        <v>15532234.986000001</v>
      </c>
      <c r="BN129" s="298">
        <f t="shared" si="87"/>
        <v>16120586.183200002</v>
      </c>
      <c r="BO129" s="298">
        <f t="shared" si="88"/>
        <v>16762582</v>
      </c>
      <c r="BP129" s="298">
        <f t="shared" si="89"/>
        <v>16762582</v>
      </c>
      <c r="BQ129" s="298">
        <f t="shared" si="90"/>
        <v>16762582</v>
      </c>
    </row>
    <row r="130" spans="1:69" ht="15" x14ac:dyDescent="0.2">
      <c r="A130" s="10" t="s">
        <v>6</v>
      </c>
      <c r="B130" s="10">
        <v>1</v>
      </c>
      <c r="C130" s="276">
        <v>1</v>
      </c>
      <c r="D130" s="276">
        <v>0</v>
      </c>
      <c r="E130" s="276">
        <v>1</v>
      </c>
      <c r="F130" s="8">
        <v>10</v>
      </c>
      <c r="G130" s="359">
        <v>7</v>
      </c>
      <c r="H130" s="10">
        <v>104</v>
      </c>
      <c r="I130" s="7" t="s">
        <v>116</v>
      </c>
      <c r="J130" s="287"/>
      <c r="K130" s="356">
        <v>5078.3100000000004</v>
      </c>
      <c r="L130" s="359"/>
      <c r="M130" s="289"/>
      <c r="N130" s="357">
        <v>3373</v>
      </c>
      <c r="O130" s="290">
        <f t="shared" si="52"/>
        <v>0.664197341241476</v>
      </c>
      <c r="P130" s="290">
        <f t="shared" si="64"/>
        <v>6.4197341241476025E-2</v>
      </c>
      <c r="Q130" s="291">
        <f t="shared" si="53"/>
        <v>326.01400000000012</v>
      </c>
      <c r="R130" s="291">
        <f t="shared" si="65"/>
        <v>48.902100000000019</v>
      </c>
      <c r="S130" s="357">
        <v>815</v>
      </c>
      <c r="T130" s="292">
        <f t="shared" si="54"/>
        <v>1011.9</v>
      </c>
      <c r="U130" s="254">
        <f t="shared" si="66"/>
        <v>6342.8621000000003</v>
      </c>
      <c r="V130" s="356">
        <v>2784442113.6700001</v>
      </c>
      <c r="W130" s="357">
        <v>39567</v>
      </c>
      <c r="X130" s="264">
        <f t="shared" si="55"/>
        <v>70372.84</v>
      </c>
      <c r="Y130" s="293">
        <f t="shared" si="56"/>
        <v>0.36552200000000001</v>
      </c>
      <c r="Z130" s="357">
        <v>55391</v>
      </c>
      <c r="AA130" s="293">
        <f t="shared" si="57"/>
        <v>0.459698</v>
      </c>
      <c r="AB130" s="293">
        <f t="shared" si="58"/>
        <v>0.60622500000000001</v>
      </c>
      <c r="AC130" s="294">
        <f t="shared" si="59"/>
        <v>0.60622500000000001</v>
      </c>
      <c r="AD130" s="295">
        <f t="shared" si="67"/>
        <v>0.05</v>
      </c>
      <c r="AE130" s="296">
        <f t="shared" si="68"/>
        <v>0.65622500000000006</v>
      </c>
      <c r="AF130" s="357">
        <v>0</v>
      </c>
      <c r="AG130" s="357">
        <v>0</v>
      </c>
      <c r="AH130" s="254">
        <f t="shared" si="69"/>
        <v>0</v>
      </c>
      <c r="AI130" s="9">
        <f t="shared" si="60"/>
        <v>0</v>
      </c>
      <c r="AJ130" s="9">
        <v>1462</v>
      </c>
      <c r="AK130" s="9">
        <f t="shared" si="70"/>
        <v>4</v>
      </c>
      <c r="AL130" s="9">
        <f t="shared" si="71"/>
        <v>400</v>
      </c>
      <c r="AM130" s="9">
        <f t="shared" si="72"/>
        <v>584800</v>
      </c>
      <c r="AN130" s="9">
        <f t="shared" si="73"/>
        <v>584800</v>
      </c>
      <c r="AO130" s="9">
        <f t="shared" si="61"/>
        <v>47971022</v>
      </c>
      <c r="AP130" s="9">
        <f t="shared" si="74"/>
        <v>48555822</v>
      </c>
      <c r="AQ130" s="9">
        <f t="shared" si="75"/>
        <v>48555822</v>
      </c>
      <c r="AR130" s="291">
        <v>36209664</v>
      </c>
      <c r="AS130" s="9">
        <f t="shared" si="76"/>
        <v>12346158</v>
      </c>
      <c r="AT130" s="297" t="str">
        <f t="shared" si="77"/>
        <v>Yes</v>
      </c>
      <c r="AU130" s="357">
        <v>40544338.4428</v>
      </c>
      <c r="AV130" s="291">
        <f t="shared" si="62"/>
        <v>1316100.4428000001</v>
      </c>
      <c r="AW130" s="291">
        <f t="shared" si="78"/>
        <v>41860438.885600001</v>
      </c>
      <c r="AX130" s="291">
        <f t="shared" si="63"/>
        <v>41860438.885600001</v>
      </c>
      <c r="AY130" s="358">
        <f t="shared" si="79"/>
        <v>1316100.4428000003</v>
      </c>
      <c r="AZ130" s="301"/>
      <c r="BA130" s="301"/>
      <c r="BB130" s="302"/>
      <c r="BC130" s="291">
        <f t="shared" si="80"/>
        <v>43176539.328400001</v>
      </c>
      <c r="BD130" s="298">
        <f t="shared" si="93"/>
        <v>44492639.771200001</v>
      </c>
      <c r="BE130" s="298">
        <f t="shared" si="93"/>
        <v>45808740.214000002</v>
      </c>
      <c r="BF130" s="298">
        <f t="shared" si="93"/>
        <v>47124840.656800002</v>
      </c>
      <c r="BG130" s="298">
        <f t="shared" si="94"/>
        <v>48555822</v>
      </c>
      <c r="BH130" s="298">
        <f t="shared" si="94"/>
        <v>48555822</v>
      </c>
      <c r="BI130" s="298">
        <f t="shared" si="83"/>
        <v>48555822</v>
      </c>
      <c r="BK130" s="298">
        <f t="shared" si="84"/>
        <v>43176539.328400001</v>
      </c>
      <c r="BL130" s="298">
        <f t="shared" si="85"/>
        <v>44492639.771200001</v>
      </c>
      <c r="BM130" s="298">
        <f t="shared" si="86"/>
        <v>45808740.214000002</v>
      </c>
      <c r="BN130" s="298">
        <f t="shared" si="87"/>
        <v>47124840.656800002</v>
      </c>
      <c r="BO130" s="298">
        <f t="shared" si="88"/>
        <v>48555822</v>
      </c>
      <c r="BP130" s="298">
        <f t="shared" si="89"/>
        <v>48555822</v>
      </c>
      <c r="BQ130" s="298">
        <f t="shared" si="90"/>
        <v>48555822</v>
      </c>
    </row>
    <row r="131" spans="1:69" ht="15" x14ac:dyDescent="0.2">
      <c r="A131" s="10" t="s">
        <v>4</v>
      </c>
      <c r="B131" s="10"/>
      <c r="C131" s="276"/>
      <c r="D131" s="276"/>
      <c r="E131" s="276"/>
      <c r="F131" s="8">
        <v>2</v>
      </c>
      <c r="G131" s="355">
        <v>144</v>
      </c>
      <c r="H131" s="10">
        <v>105</v>
      </c>
      <c r="I131" s="7" t="s">
        <v>117</v>
      </c>
      <c r="J131" s="287"/>
      <c r="K131" s="356">
        <v>1045.92</v>
      </c>
      <c r="L131" s="355"/>
      <c r="M131" s="289"/>
      <c r="N131" s="357">
        <v>197</v>
      </c>
      <c r="O131" s="290">
        <f t="shared" si="52"/>
        <v>0.18835092550099433</v>
      </c>
      <c r="P131" s="290">
        <f t="shared" si="64"/>
        <v>0</v>
      </c>
      <c r="Q131" s="291">
        <f t="shared" si="53"/>
        <v>0</v>
      </c>
      <c r="R131" s="291">
        <f t="shared" si="65"/>
        <v>0</v>
      </c>
      <c r="S131" s="357">
        <v>24</v>
      </c>
      <c r="T131" s="292">
        <f t="shared" si="54"/>
        <v>59.1</v>
      </c>
      <c r="U131" s="254">
        <f t="shared" si="66"/>
        <v>1111.02</v>
      </c>
      <c r="V131" s="356">
        <v>2305620831.6700001</v>
      </c>
      <c r="W131" s="357">
        <v>7431</v>
      </c>
      <c r="X131" s="264">
        <f t="shared" si="55"/>
        <v>310270.59999999998</v>
      </c>
      <c r="Y131" s="293">
        <f t="shared" si="56"/>
        <v>1.6115710000000001</v>
      </c>
      <c r="Z131" s="357">
        <v>92383</v>
      </c>
      <c r="AA131" s="293">
        <f t="shared" si="57"/>
        <v>0.76670000000000005</v>
      </c>
      <c r="AB131" s="293">
        <f t="shared" si="58"/>
        <v>-0.35810999999999998</v>
      </c>
      <c r="AC131" s="294">
        <f t="shared" si="59"/>
        <v>0.01</v>
      </c>
      <c r="AD131" s="295">
        <f t="shared" si="67"/>
        <v>0</v>
      </c>
      <c r="AE131" s="296">
        <f t="shared" si="68"/>
        <v>0.01</v>
      </c>
      <c r="AF131" s="357">
        <v>1044</v>
      </c>
      <c r="AG131" s="357">
        <v>13</v>
      </c>
      <c r="AH131" s="254">
        <f t="shared" si="69"/>
        <v>1300</v>
      </c>
      <c r="AI131" s="9">
        <f t="shared" si="60"/>
        <v>1357200</v>
      </c>
      <c r="AJ131" s="9">
        <v>0</v>
      </c>
      <c r="AK131" s="9">
        <f t="shared" si="70"/>
        <v>0</v>
      </c>
      <c r="AL131" s="9">
        <f t="shared" si="71"/>
        <v>0</v>
      </c>
      <c r="AM131" s="9">
        <f t="shared" si="72"/>
        <v>0</v>
      </c>
      <c r="AN131" s="9">
        <f t="shared" si="73"/>
        <v>1357200</v>
      </c>
      <c r="AO131" s="9">
        <f t="shared" si="61"/>
        <v>128045</v>
      </c>
      <c r="AP131" s="9">
        <f t="shared" si="74"/>
        <v>1485245</v>
      </c>
      <c r="AQ131" s="9">
        <f t="shared" si="75"/>
        <v>1485245</v>
      </c>
      <c r="AR131" s="291">
        <v>247462</v>
      </c>
      <c r="AS131" s="9">
        <f t="shared" si="76"/>
        <v>1237783</v>
      </c>
      <c r="AT131" s="297" t="str">
        <f t="shared" si="77"/>
        <v>Yes</v>
      </c>
      <c r="AU131" s="357">
        <v>370530.6678</v>
      </c>
      <c r="AV131" s="291">
        <f t="shared" si="62"/>
        <v>131947.6678</v>
      </c>
      <c r="AW131" s="291">
        <f t="shared" si="78"/>
        <v>502478.33559999999</v>
      </c>
      <c r="AX131" s="291">
        <f t="shared" si="63"/>
        <v>502478.33559999999</v>
      </c>
      <c r="AY131" s="358">
        <f t="shared" si="79"/>
        <v>131947.6678</v>
      </c>
      <c r="AZ131" s="301"/>
      <c r="BA131" s="301"/>
      <c r="BB131" s="302"/>
      <c r="BC131" s="291">
        <f t="shared" si="80"/>
        <v>634426.00340000005</v>
      </c>
      <c r="BD131" s="298">
        <f t="shared" si="93"/>
        <v>766373.67119999998</v>
      </c>
      <c r="BE131" s="298">
        <f t="shared" si="93"/>
        <v>898321.33899999992</v>
      </c>
      <c r="BF131" s="298">
        <f t="shared" si="93"/>
        <v>1030269.0067999999</v>
      </c>
      <c r="BG131" s="298">
        <f t="shared" si="94"/>
        <v>1485245</v>
      </c>
      <c r="BH131" s="298">
        <f t="shared" si="94"/>
        <v>1485245</v>
      </c>
      <c r="BI131" s="298">
        <f t="shared" si="83"/>
        <v>1485245</v>
      </c>
      <c r="BK131" s="298">
        <f t="shared" si="84"/>
        <v>634426.00340000005</v>
      </c>
      <c r="BL131" s="298">
        <f t="shared" si="85"/>
        <v>766373.67119999998</v>
      </c>
      <c r="BM131" s="298">
        <f t="shared" si="86"/>
        <v>898321.33899999992</v>
      </c>
      <c r="BN131" s="298">
        <f t="shared" si="87"/>
        <v>1030269.0067999999</v>
      </c>
      <c r="BO131" s="298">
        <f t="shared" si="88"/>
        <v>1485245</v>
      </c>
      <c r="BP131" s="298">
        <f t="shared" si="89"/>
        <v>1485245</v>
      </c>
      <c r="BQ131" s="298">
        <f t="shared" si="90"/>
        <v>1485245</v>
      </c>
    </row>
    <row r="132" spans="1:69" ht="15" x14ac:dyDescent="0.2">
      <c r="A132" s="10" t="s">
        <v>14</v>
      </c>
      <c r="B132" s="10"/>
      <c r="C132" s="276"/>
      <c r="D132" s="276"/>
      <c r="E132" s="276"/>
      <c r="F132" s="8">
        <v>2</v>
      </c>
      <c r="G132" s="355">
        <v>139</v>
      </c>
      <c r="H132" s="10">
        <v>106</v>
      </c>
      <c r="I132" s="7" t="s">
        <v>118</v>
      </c>
      <c r="J132" s="287"/>
      <c r="K132" s="356">
        <v>1052.2</v>
      </c>
      <c r="L132" s="355"/>
      <c r="M132" s="289"/>
      <c r="N132" s="357">
        <v>280</v>
      </c>
      <c r="O132" s="290">
        <f t="shared" si="52"/>
        <v>0.26610910473294047</v>
      </c>
      <c r="P132" s="290">
        <f t="shared" si="64"/>
        <v>0</v>
      </c>
      <c r="Q132" s="291">
        <f t="shared" si="53"/>
        <v>0</v>
      </c>
      <c r="R132" s="291">
        <f t="shared" si="65"/>
        <v>0</v>
      </c>
      <c r="S132" s="357">
        <v>69</v>
      </c>
      <c r="T132" s="292">
        <f t="shared" si="54"/>
        <v>84</v>
      </c>
      <c r="U132" s="254">
        <f t="shared" si="66"/>
        <v>1153.45</v>
      </c>
      <c r="V132" s="356">
        <v>3245522279</v>
      </c>
      <c r="W132" s="357">
        <v>10118</v>
      </c>
      <c r="X132" s="264">
        <f t="shared" si="55"/>
        <v>320767.18</v>
      </c>
      <c r="Y132" s="293">
        <f t="shared" si="56"/>
        <v>1.666091</v>
      </c>
      <c r="Z132" s="357">
        <v>81411</v>
      </c>
      <c r="AA132" s="293">
        <f t="shared" si="57"/>
        <v>0.67564199999999996</v>
      </c>
      <c r="AB132" s="293">
        <f t="shared" si="58"/>
        <v>-0.36895600000000001</v>
      </c>
      <c r="AC132" s="294">
        <f t="shared" si="59"/>
        <v>0.01</v>
      </c>
      <c r="AD132" s="295">
        <f t="shared" si="67"/>
        <v>0</v>
      </c>
      <c r="AE132" s="296">
        <f t="shared" si="68"/>
        <v>0.01</v>
      </c>
      <c r="AF132" s="357">
        <v>0</v>
      </c>
      <c r="AG132" s="357">
        <v>0</v>
      </c>
      <c r="AH132" s="254">
        <f t="shared" si="69"/>
        <v>0</v>
      </c>
      <c r="AI132" s="9">
        <f t="shared" si="60"/>
        <v>0</v>
      </c>
      <c r="AJ132" s="9">
        <v>0</v>
      </c>
      <c r="AK132" s="9">
        <f t="shared" si="70"/>
        <v>0</v>
      </c>
      <c r="AL132" s="9">
        <f t="shared" si="71"/>
        <v>0</v>
      </c>
      <c r="AM132" s="9">
        <f t="shared" si="72"/>
        <v>0</v>
      </c>
      <c r="AN132" s="9">
        <f t="shared" si="73"/>
        <v>0</v>
      </c>
      <c r="AO132" s="9">
        <f t="shared" si="61"/>
        <v>132935</v>
      </c>
      <c r="AP132" s="9">
        <f t="shared" si="74"/>
        <v>132935</v>
      </c>
      <c r="AQ132" s="9">
        <f t="shared" si="75"/>
        <v>132935</v>
      </c>
      <c r="AR132" s="291">
        <v>122907</v>
      </c>
      <c r="AS132" s="9">
        <f t="shared" si="76"/>
        <v>10028</v>
      </c>
      <c r="AT132" s="297" t="str">
        <f t="shared" si="77"/>
        <v>Yes</v>
      </c>
      <c r="AU132" s="357">
        <v>130782.98480000001</v>
      </c>
      <c r="AV132" s="291">
        <f t="shared" si="62"/>
        <v>1068.9848</v>
      </c>
      <c r="AW132" s="291">
        <f t="shared" si="78"/>
        <v>131851.96960000001</v>
      </c>
      <c r="AX132" s="291">
        <f t="shared" si="63"/>
        <v>131851.96960000001</v>
      </c>
      <c r="AY132" s="358">
        <f t="shared" si="79"/>
        <v>1068.9848000000056</v>
      </c>
      <c r="AZ132" s="301"/>
      <c r="BA132" s="301"/>
      <c r="BB132" s="302"/>
      <c r="BC132" s="291">
        <f t="shared" si="80"/>
        <v>132920.95440000002</v>
      </c>
      <c r="BD132" s="298">
        <f t="shared" si="93"/>
        <v>133989.93920000002</v>
      </c>
      <c r="BE132" s="298">
        <f t="shared" si="93"/>
        <v>135058.92400000003</v>
      </c>
      <c r="BF132" s="298">
        <f t="shared" si="93"/>
        <v>136127.90880000003</v>
      </c>
      <c r="BG132" s="298">
        <f t="shared" si="94"/>
        <v>132935</v>
      </c>
      <c r="BH132" s="298">
        <f t="shared" si="94"/>
        <v>132935</v>
      </c>
      <c r="BI132" s="298">
        <f t="shared" si="83"/>
        <v>132935</v>
      </c>
      <c r="BK132" s="298">
        <f t="shared" si="84"/>
        <v>132920.95440000002</v>
      </c>
      <c r="BL132" s="298">
        <f t="shared" si="85"/>
        <v>133989.93920000002</v>
      </c>
      <c r="BM132" s="298">
        <f t="shared" si="86"/>
        <v>135058.92400000003</v>
      </c>
      <c r="BN132" s="298">
        <f t="shared" si="87"/>
        <v>136127.90880000003</v>
      </c>
      <c r="BO132" s="298">
        <f t="shared" si="88"/>
        <v>132935</v>
      </c>
      <c r="BP132" s="298">
        <f t="shared" si="89"/>
        <v>132935</v>
      </c>
      <c r="BQ132" s="298">
        <f t="shared" si="90"/>
        <v>132935</v>
      </c>
    </row>
    <row r="133" spans="1:69" ht="15" x14ac:dyDescent="0.2">
      <c r="A133" s="10" t="s">
        <v>10</v>
      </c>
      <c r="B133" s="10"/>
      <c r="C133" s="276"/>
      <c r="D133" s="276"/>
      <c r="E133" s="276"/>
      <c r="F133" s="8">
        <v>3</v>
      </c>
      <c r="G133" s="355">
        <v>131</v>
      </c>
      <c r="H133" s="10">
        <v>107</v>
      </c>
      <c r="I133" s="7" t="s">
        <v>119</v>
      </c>
      <c r="J133" s="287"/>
      <c r="K133" s="356">
        <v>2310.44</v>
      </c>
      <c r="L133" s="355"/>
      <c r="M133" s="289"/>
      <c r="N133" s="357">
        <v>316</v>
      </c>
      <c r="O133" s="290">
        <f t="shared" si="52"/>
        <v>0.13677048527553193</v>
      </c>
      <c r="P133" s="290">
        <f t="shared" si="64"/>
        <v>0</v>
      </c>
      <c r="Q133" s="291">
        <f t="shared" si="53"/>
        <v>0</v>
      </c>
      <c r="R133" s="291">
        <f t="shared" si="65"/>
        <v>0</v>
      </c>
      <c r="S133" s="357">
        <v>72</v>
      </c>
      <c r="T133" s="292">
        <f t="shared" si="54"/>
        <v>94.8</v>
      </c>
      <c r="U133" s="254">
        <f t="shared" si="66"/>
        <v>2423.2400000000002</v>
      </c>
      <c r="V133" s="356">
        <v>3050518712</v>
      </c>
      <c r="W133" s="357">
        <v>13937</v>
      </c>
      <c r="X133" s="264">
        <f t="shared" si="55"/>
        <v>218879.15</v>
      </c>
      <c r="Y133" s="293">
        <f t="shared" si="56"/>
        <v>1.136876</v>
      </c>
      <c r="Z133" s="357">
        <v>117215</v>
      </c>
      <c r="AA133" s="293">
        <f t="shared" si="57"/>
        <v>0.97278500000000001</v>
      </c>
      <c r="AB133" s="293">
        <f t="shared" si="58"/>
        <v>-8.7649000000000005E-2</v>
      </c>
      <c r="AC133" s="294">
        <f t="shared" si="59"/>
        <v>0.01</v>
      </c>
      <c r="AD133" s="295">
        <f t="shared" si="67"/>
        <v>0</v>
      </c>
      <c r="AE133" s="296">
        <f t="shared" si="68"/>
        <v>0.01</v>
      </c>
      <c r="AF133" s="357">
        <v>1095</v>
      </c>
      <c r="AG133" s="357">
        <v>6</v>
      </c>
      <c r="AH133" s="254">
        <f t="shared" si="69"/>
        <v>600</v>
      </c>
      <c r="AI133" s="9">
        <f t="shared" si="60"/>
        <v>657000</v>
      </c>
      <c r="AJ133" s="9">
        <v>0</v>
      </c>
      <c r="AK133" s="9">
        <f t="shared" si="70"/>
        <v>0</v>
      </c>
      <c r="AL133" s="9">
        <f t="shared" si="71"/>
        <v>0</v>
      </c>
      <c r="AM133" s="9">
        <f t="shared" si="72"/>
        <v>0</v>
      </c>
      <c r="AN133" s="9">
        <f t="shared" si="73"/>
        <v>657000</v>
      </c>
      <c r="AO133" s="9">
        <f t="shared" si="61"/>
        <v>279278</v>
      </c>
      <c r="AP133" s="9">
        <f t="shared" si="74"/>
        <v>936278</v>
      </c>
      <c r="AQ133" s="9">
        <f t="shared" si="75"/>
        <v>936278</v>
      </c>
      <c r="AR133" s="291">
        <v>1509226</v>
      </c>
      <c r="AS133" s="9">
        <f t="shared" si="76"/>
        <v>572948</v>
      </c>
      <c r="AT133" s="297" t="str">
        <f t="shared" si="77"/>
        <v>No</v>
      </c>
      <c r="AU133" s="357">
        <v>1015498</v>
      </c>
      <c r="AV133" s="291">
        <f t="shared" si="62"/>
        <v>47726.568399999996</v>
      </c>
      <c r="AW133" s="291">
        <f t="shared" si="78"/>
        <v>1015498</v>
      </c>
      <c r="AX133" s="291">
        <f t="shared" si="63"/>
        <v>1015498</v>
      </c>
      <c r="AY133" s="358">
        <f t="shared" si="79"/>
        <v>0</v>
      </c>
      <c r="AZ133" s="301"/>
      <c r="BA133" s="301"/>
      <c r="BB133" s="302"/>
      <c r="BC133" s="291">
        <f t="shared" si="80"/>
        <v>967771.43160000001</v>
      </c>
      <c r="BD133" s="298">
        <f t="shared" si="93"/>
        <v>920044.86320000002</v>
      </c>
      <c r="BE133" s="298">
        <f t="shared" si="93"/>
        <v>872318.29480000003</v>
      </c>
      <c r="BF133" s="298">
        <f t="shared" si="93"/>
        <v>824591.72640000004</v>
      </c>
      <c r="BG133" s="298">
        <f t="shared" si="94"/>
        <v>776865.15800000005</v>
      </c>
      <c r="BH133" s="298">
        <f t="shared" si="94"/>
        <v>729138.58960000006</v>
      </c>
      <c r="BI133" s="298">
        <f t="shared" si="83"/>
        <v>936278</v>
      </c>
      <c r="BK133" s="298">
        <f t="shared" si="84"/>
        <v>967771.43160000001</v>
      </c>
      <c r="BL133" s="298">
        <f t="shared" si="85"/>
        <v>920044.86320000002</v>
      </c>
      <c r="BM133" s="298">
        <f t="shared" si="86"/>
        <v>872318.29480000003</v>
      </c>
      <c r="BN133" s="298">
        <f t="shared" si="87"/>
        <v>824591.72640000004</v>
      </c>
      <c r="BO133" s="298">
        <f t="shared" si="88"/>
        <v>776865.15800000005</v>
      </c>
      <c r="BP133" s="298">
        <f t="shared" si="89"/>
        <v>729138.58960000006</v>
      </c>
      <c r="BQ133" s="298">
        <f t="shared" si="90"/>
        <v>936278</v>
      </c>
    </row>
    <row r="134" spans="1:69" ht="15" x14ac:dyDescent="0.2">
      <c r="A134" s="10" t="s">
        <v>4</v>
      </c>
      <c r="B134" s="10"/>
      <c r="C134" s="276"/>
      <c r="D134" s="276"/>
      <c r="E134" s="276"/>
      <c r="F134" s="8">
        <v>3</v>
      </c>
      <c r="G134" s="355">
        <v>126</v>
      </c>
      <c r="H134" s="10">
        <v>108</v>
      </c>
      <c r="I134" s="7" t="s">
        <v>120</v>
      </c>
      <c r="J134" s="287"/>
      <c r="K134" s="356">
        <v>1681.03</v>
      </c>
      <c r="L134" s="355"/>
      <c r="M134" s="289"/>
      <c r="N134" s="357">
        <v>224</v>
      </c>
      <c r="O134" s="290">
        <f t="shared" si="52"/>
        <v>0.13325163738898177</v>
      </c>
      <c r="P134" s="290">
        <f t="shared" si="64"/>
        <v>0</v>
      </c>
      <c r="Q134" s="291">
        <f t="shared" si="53"/>
        <v>0</v>
      </c>
      <c r="R134" s="291">
        <f t="shared" si="65"/>
        <v>0</v>
      </c>
      <c r="S134" s="357">
        <v>39</v>
      </c>
      <c r="T134" s="292">
        <f t="shared" si="54"/>
        <v>67.2</v>
      </c>
      <c r="U134" s="254">
        <f t="shared" si="66"/>
        <v>1757.98</v>
      </c>
      <c r="V134" s="356">
        <v>2275743653.6700001</v>
      </c>
      <c r="W134" s="357">
        <v>13022</v>
      </c>
      <c r="X134" s="264">
        <f t="shared" si="55"/>
        <v>174761.45</v>
      </c>
      <c r="Y134" s="293">
        <f t="shared" si="56"/>
        <v>0.907725</v>
      </c>
      <c r="Z134" s="357">
        <v>106047</v>
      </c>
      <c r="AA134" s="293">
        <f t="shared" si="57"/>
        <v>0.88009999999999999</v>
      </c>
      <c r="AB134" s="293">
        <f t="shared" si="58"/>
        <v>0.100563</v>
      </c>
      <c r="AC134" s="294">
        <f t="shared" si="59"/>
        <v>0.100563</v>
      </c>
      <c r="AD134" s="295">
        <f t="shared" si="67"/>
        <v>0</v>
      </c>
      <c r="AE134" s="296">
        <f t="shared" si="68"/>
        <v>0.100563</v>
      </c>
      <c r="AF134" s="357">
        <v>0</v>
      </c>
      <c r="AG134" s="357">
        <v>0</v>
      </c>
      <c r="AH134" s="254">
        <f t="shared" si="69"/>
        <v>0</v>
      </c>
      <c r="AI134" s="9">
        <f t="shared" si="60"/>
        <v>0</v>
      </c>
      <c r="AJ134" s="9">
        <v>0</v>
      </c>
      <c r="AK134" s="9">
        <f t="shared" si="70"/>
        <v>0</v>
      </c>
      <c r="AL134" s="9">
        <f t="shared" si="71"/>
        <v>0</v>
      </c>
      <c r="AM134" s="9">
        <f t="shared" si="72"/>
        <v>0</v>
      </c>
      <c r="AN134" s="9">
        <f t="shared" si="73"/>
        <v>0</v>
      </c>
      <c r="AO134" s="9">
        <f t="shared" si="61"/>
        <v>2037479</v>
      </c>
      <c r="AP134" s="9">
        <f t="shared" si="74"/>
        <v>2037479</v>
      </c>
      <c r="AQ134" s="9">
        <f t="shared" si="75"/>
        <v>2037479</v>
      </c>
      <c r="AR134" s="291">
        <v>4528763</v>
      </c>
      <c r="AS134" s="9">
        <f t="shared" si="76"/>
        <v>2491284</v>
      </c>
      <c r="AT134" s="297" t="str">
        <f t="shared" si="77"/>
        <v>No</v>
      </c>
      <c r="AU134" s="357">
        <v>3677011</v>
      </c>
      <c r="AV134" s="291">
        <f t="shared" si="62"/>
        <v>207523.9572</v>
      </c>
      <c r="AW134" s="291">
        <f t="shared" si="78"/>
        <v>3677011</v>
      </c>
      <c r="AX134" s="291">
        <f t="shared" si="63"/>
        <v>3677011</v>
      </c>
      <c r="AY134" s="358">
        <f t="shared" si="79"/>
        <v>0</v>
      </c>
      <c r="AZ134" s="301"/>
      <c r="BA134" s="301"/>
      <c r="BB134" s="302"/>
      <c r="BC134" s="291">
        <f t="shared" si="80"/>
        <v>3469487.0427999999</v>
      </c>
      <c r="BD134" s="298">
        <f t="shared" si="93"/>
        <v>3261963.0855999999</v>
      </c>
      <c r="BE134" s="298">
        <f t="shared" si="93"/>
        <v>3054439.1283999998</v>
      </c>
      <c r="BF134" s="298">
        <f t="shared" si="93"/>
        <v>2846915.1711999997</v>
      </c>
      <c r="BG134" s="298">
        <f t="shared" si="94"/>
        <v>2639391.2139999997</v>
      </c>
      <c r="BH134" s="298">
        <f t="shared" si="94"/>
        <v>2431867.2567999996</v>
      </c>
      <c r="BI134" s="298">
        <f t="shared" si="83"/>
        <v>2037479</v>
      </c>
      <c r="BK134" s="298">
        <f t="shared" si="84"/>
        <v>3469487.0427999999</v>
      </c>
      <c r="BL134" s="298">
        <f t="shared" si="85"/>
        <v>3261963.0855999999</v>
      </c>
      <c r="BM134" s="298">
        <f t="shared" si="86"/>
        <v>3054439.1283999998</v>
      </c>
      <c r="BN134" s="298">
        <f t="shared" si="87"/>
        <v>2846915.1711999997</v>
      </c>
      <c r="BO134" s="298">
        <f t="shared" si="88"/>
        <v>2639391.2139999997</v>
      </c>
      <c r="BP134" s="298">
        <f t="shared" si="89"/>
        <v>2431867.2567999996</v>
      </c>
      <c r="BQ134" s="298">
        <f t="shared" si="90"/>
        <v>2037479</v>
      </c>
    </row>
    <row r="135" spans="1:69" ht="15" x14ac:dyDescent="0.2">
      <c r="A135" s="10" t="s">
        <v>19</v>
      </c>
      <c r="B135" s="10"/>
      <c r="C135" s="276"/>
      <c r="D135" s="276"/>
      <c r="E135" s="276"/>
      <c r="F135" s="8">
        <v>9</v>
      </c>
      <c r="G135" s="359">
        <v>23</v>
      </c>
      <c r="H135" s="10">
        <v>109</v>
      </c>
      <c r="I135" s="7" t="s">
        <v>121</v>
      </c>
      <c r="J135" s="287"/>
      <c r="K135" s="356">
        <v>2006</v>
      </c>
      <c r="L135" s="359"/>
      <c r="M135" s="289"/>
      <c r="N135" s="357">
        <v>1148</v>
      </c>
      <c r="O135" s="290">
        <f t="shared" si="52"/>
        <v>0.57228315054835488</v>
      </c>
      <c r="P135" s="290">
        <f t="shared" si="64"/>
        <v>0</v>
      </c>
      <c r="Q135" s="291">
        <f t="shared" si="53"/>
        <v>0</v>
      </c>
      <c r="R135" s="291">
        <f t="shared" si="65"/>
        <v>0</v>
      </c>
      <c r="S135" s="357">
        <v>37</v>
      </c>
      <c r="T135" s="292">
        <f t="shared" si="54"/>
        <v>344.4</v>
      </c>
      <c r="U135" s="254">
        <f t="shared" si="66"/>
        <v>2359.65</v>
      </c>
      <c r="V135" s="356">
        <v>1489193576.3299999</v>
      </c>
      <c r="W135" s="357">
        <v>15114</v>
      </c>
      <c r="X135" s="264">
        <f t="shared" si="55"/>
        <v>98530.74</v>
      </c>
      <c r="Y135" s="293">
        <f t="shared" si="56"/>
        <v>0.51177700000000004</v>
      </c>
      <c r="Z135" s="357">
        <v>67551</v>
      </c>
      <c r="AA135" s="293">
        <f t="shared" si="57"/>
        <v>0.560616</v>
      </c>
      <c r="AB135" s="293">
        <f t="shared" si="58"/>
        <v>0.47357100000000002</v>
      </c>
      <c r="AC135" s="294">
        <f t="shared" si="59"/>
        <v>0.47357100000000002</v>
      </c>
      <c r="AD135" s="295">
        <f t="shared" si="67"/>
        <v>0</v>
      </c>
      <c r="AE135" s="296">
        <f t="shared" si="68"/>
        <v>0.47357100000000002</v>
      </c>
      <c r="AF135" s="357">
        <v>0</v>
      </c>
      <c r="AG135" s="357">
        <v>0</v>
      </c>
      <c r="AH135" s="254">
        <f t="shared" si="69"/>
        <v>0</v>
      </c>
      <c r="AI135" s="9">
        <f t="shared" si="60"/>
        <v>0</v>
      </c>
      <c r="AJ135" s="9">
        <v>0</v>
      </c>
      <c r="AK135" s="9">
        <f t="shared" si="70"/>
        <v>0</v>
      </c>
      <c r="AL135" s="9">
        <f t="shared" si="71"/>
        <v>0</v>
      </c>
      <c r="AM135" s="9">
        <f t="shared" si="72"/>
        <v>0</v>
      </c>
      <c r="AN135" s="9">
        <f t="shared" si="73"/>
        <v>0</v>
      </c>
      <c r="AO135" s="9">
        <f t="shared" si="61"/>
        <v>12878747</v>
      </c>
      <c r="AP135" s="9">
        <f t="shared" si="74"/>
        <v>12878747</v>
      </c>
      <c r="AQ135" s="9">
        <f t="shared" si="75"/>
        <v>12878747</v>
      </c>
      <c r="AR135" s="291">
        <v>15364444</v>
      </c>
      <c r="AS135" s="9">
        <f t="shared" si="76"/>
        <v>2485697</v>
      </c>
      <c r="AT135" s="297" t="str">
        <f t="shared" si="77"/>
        <v>No</v>
      </c>
      <c r="AU135" s="357">
        <v>14990047</v>
      </c>
      <c r="AV135" s="291">
        <f t="shared" si="62"/>
        <v>207058.5601</v>
      </c>
      <c r="AW135" s="291">
        <f t="shared" si="78"/>
        <v>14990047</v>
      </c>
      <c r="AX135" s="291">
        <f t="shared" si="63"/>
        <v>14990047</v>
      </c>
      <c r="AY135" s="358">
        <f t="shared" si="79"/>
        <v>0</v>
      </c>
      <c r="AZ135" s="301"/>
      <c r="BA135" s="301"/>
      <c r="BB135" s="302"/>
      <c r="BC135" s="291">
        <f t="shared" si="80"/>
        <v>14782988.4399</v>
      </c>
      <c r="BD135" s="298">
        <f t="shared" si="93"/>
        <v>14575929.879799999</v>
      </c>
      <c r="BE135" s="298">
        <f t="shared" si="93"/>
        <v>14368871.319699999</v>
      </c>
      <c r="BF135" s="298">
        <f t="shared" si="93"/>
        <v>14161812.759599999</v>
      </c>
      <c r="BG135" s="298">
        <f t="shared" si="94"/>
        <v>13954754.199499998</v>
      </c>
      <c r="BH135" s="298">
        <f t="shared" si="94"/>
        <v>13747695.639399998</v>
      </c>
      <c r="BI135" s="298">
        <f t="shared" si="83"/>
        <v>12878747</v>
      </c>
      <c r="BK135" s="298">
        <f t="shared" si="84"/>
        <v>14782988.4399</v>
      </c>
      <c r="BL135" s="298">
        <f t="shared" si="85"/>
        <v>14575929.879799999</v>
      </c>
      <c r="BM135" s="298">
        <f t="shared" si="86"/>
        <v>14368871.319699999</v>
      </c>
      <c r="BN135" s="298">
        <f t="shared" si="87"/>
        <v>14161812.759599999</v>
      </c>
      <c r="BO135" s="298">
        <f t="shared" si="88"/>
        <v>13954754.199499998</v>
      </c>
      <c r="BP135" s="298">
        <f t="shared" si="89"/>
        <v>13747695.639399998</v>
      </c>
      <c r="BQ135" s="298">
        <f t="shared" si="90"/>
        <v>12878747</v>
      </c>
    </row>
    <row r="136" spans="1:69" ht="15" x14ac:dyDescent="0.2">
      <c r="A136" s="10" t="s">
        <v>32</v>
      </c>
      <c r="B136" s="10"/>
      <c r="C136" s="276"/>
      <c r="D136" s="276"/>
      <c r="E136" s="276"/>
      <c r="F136" s="8">
        <v>8</v>
      </c>
      <c r="G136" s="359">
        <v>40</v>
      </c>
      <c r="H136" s="10">
        <v>110</v>
      </c>
      <c r="I136" s="7" t="s">
        <v>122</v>
      </c>
      <c r="J136" s="287"/>
      <c r="K136" s="356">
        <v>2217.0300000000002</v>
      </c>
      <c r="L136" s="359"/>
      <c r="M136" s="289"/>
      <c r="N136" s="357">
        <v>854</v>
      </c>
      <c r="O136" s="290">
        <f t="shared" si="52"/>
        <v>0.38520001984637103</v>
      </c>
      <c r="P136" s="290">
        <f t="shared" si="64"/>
        <v>0</v>
      </c>
      <c r="Q136" s="291">
        <f t="shared" si="53"/>
        <v>0</v>
      </c>
      <c r="R136" s="291">
        <f t="shared" si="65"/>
        <v>0</v>
      </c>
      <c r="S136" s="357">
        <v>162</v>
      </c>
      <c r="T136" s="292">
        <f t="shared" si="54"/>
        <v>256.2</v>
      </c>
      <c r="U136" s="254">
        <f t="shared" si="66"/>
        <v>2513.73</v>
      </c>
      <c r="V136" s="356">
        <v>2046165809.3299999</v>
      </c>
      <c r="W136" s="357">
        <v>17720</v>
      </c>
      <c r="X136" s="264">
        <f t="shared" si="55"/>
        <v>115472.11</v>
      </c>
      <c r="Y136" s="293">
        <f t="shared" si="56"/>
        <v>0.59977199999999997</v>
      </c>
      <c r="Z136" s="357">
        <v>65553</v>
      </c>
      <c r="AA136" s="293">
        <f t="shared" si="57"/>
        <v>0.54403400000000002</v>
      </c>
      <c r="AB136" s="293">
        <f t="shared" si="58"/>
        <v>0.41694900000000001</v>
      </c>
      <c r="AC136" s="294">
        <f t="shared" si="59"/>
        <v>0.41694900000000001</v>
      </c>
      <c r="AD136" s="295">
        <f t="shared" si="67"/>
        <v>0</v>
      </c>
      <c r="AE136" s="296">
        <f t="shared" si="68"/>
        <v>0.41694900000000001</v>
      </c>
      <c r="AF136" s="357">
        <v>0</v>
      </c>
      <c r="AG136" s="357">
        <v>0</v>
      </c>
      <c r="AH136" s="254">
        <f t="shared" si="69"/>
        <v>0</v>
      </c>
      <c r="AI136" s="9">
        <f t="shared" si="60"/>
        <v>0</v>
      </c>
      <c r="AJ136" s="9">
        <v>0</v>
      </c>
      <c r="AK136" s="9">
        <f t="shared" si="70"/>
        <v>0</v>
      </c>
      <c r="AL136" s="9">
        <f t="shared" si="71"/>
        <v>0</v>
      </c>
      <c r="AM136" s="9">
        <f t="shared" si="72"/>
        <v>0</v>
      </c>
      <c r="AN136" s="9">
        <f t="shared" si="73"/>
        <v>0</v>
      </c>
      <c r="AO136" s="9">
        <f t="shared" si="61"/>
        <v>12079320</v>
      </c>
      <c r="AP136" s="9">
        <f t="shared" si="74"/>
        <v>12079320</v>
      </c>
      <c r="AQ136" s="9">
        <f t="shared" si="75"/>
        <v>12079320</v>
      </c>
      <c r="AR136" s="291">
        <v>10272197</v>
      </c>
      <c r="AS136" s="9">
        <f t="shared" si="76"/>
        <v>1807123</v>
      </c>
      <c r="AT136" s="297" t="str">
        <f t="shared" si="77"/>
        <v>Yes</v>
      </c>
      <c r="AU136" s="357">
        <v>11004705.311799999</v>
      </c>
      <c r="AV136" s="291">
        <f t="shared" si="62"/>
        <v>192639.3118</v>
      </c>
      <c r="AW136" s="291">
        <f t="shared" si="78"/>
        <v>11197344.623599999</v>
      </c>
      <c r="AX136" s="291">
        <f t="shared" si="63"/>
        <v>11197344.623599999</v>
      </c>
      <c r="AY136" s="358">
        <f t="shared" si="79"/>
        <v>192639.31179999933</v>
      </c>
      <c r="AZ136" s="301"/>
      <c r="BA136" s="301"/>
      <c r="BB136" s="302"/>
      <c r="BC136" s="291">
        <f t="shared" si="80"/>
        <v>11389983.935399998</v>
      </c>
      <c r="BD136" s="298">
        <f t="shared" si="93"/>
        <v>11582623.247199997</v>
      </c>
      <c r="BE136" s="298">
        <f t="shared" si="93"/>
        <v>11775262.558999997</v>
      </c>
      <c r="BF136" s="298">
        <f t="shared" si="93"/>
        <v>11967901.870799996</v>
      </c>
      <c r="BG136" s="298">
        <f t="shared" si="94"/>
        <v>12079320</v>
      </c>
      <c r="BH136" s="298">
        <f t="shared" si="94"/>
        <v>12079320</v>
      </c>
      <c r="BI136" s="298">
        <f t="shared" si="83"/>
        <v>12079320</v>
      </c>
      <c r="BK136" s="298">
        <f t="shared" si="84"/>
        <v>11389983.935399998</v>
      </c>
      <c r="BL136" s="298">
        <f t="shared" si="85"/>
        <v>11582623.247199997</v>
      </c>
      <c r="BM136" s="298">
        <f t="shared" si="86"/>
        <v>11775262.558999997</v>
      </c>
      <c r="BN136" s="298">
        <f t="shared" si="87"/>
        <v>11967901.870799996</v>
      </c>
      <c r="BO136" s="298">
        <f t="shared" si="88"/>
        <v>12079320</v>
      </c>
      <c r="BP136" s="298">
        <f t="shared" si="89"/>
        <v>12079320</v>
      </c>
      <c r="BQ136" s="298">
        <f t="shared" si="90"/>
        <v>12079320</v>
      </c>
    </row>
    <row r="137" spans="1:69" ht="15" x14ac:dyDescent="0.2">
      <c r="A137" s="10" t="s">
        <v>32</v>
      </c>
      <c r="B137" s="10"/>
      <c r="C137" s="276"/>
      <c r="D137" s="276"/>
      <c r="E137" s="276"/>
      <c r="F137" s="8">
        <v>8</v>
      </c>
      <c r="G137" s="359">
        <v>17</v>
      </c>
      <c r="H137" s="10">
        <v>111</v>
      </c>
      <c r="I137" s="7" t="s">
        <v>123</v>
      </c>
      <c r="J137" s="287"/>
      <c r="K137" s="356">
        <v>1424.63</v>
      </c>
      <c r="L137" s="359"/>
      <c r="M137" s="289"/>
      <c r="N137" s="357">
        <v>637</v>
      </c>
      <c r="O137" s="290">
        <f t="shared" si="52"/>
        <v>0.44713364171749853</v>
      </c>
      <c r="P137" s="290">
        <f t="shared" si="64"/>
        <v>0</v>
      </c>
      <c r="Q137" s="291">
        <f t="shared" si="53"/>
        <v>0</v>
      </c>
      <c r="R137" s="291">
        <f t="shared" si="65"/>
        <v>0</v>
      </c>
      <c r="S137" s="357">
        <v>26</v>
      </c>
      <c r="T137" s="292">
        <f t="shared" si="54"/>
        <v>191.1</v>
      </c>
      <c r="U137" s="254">
        <f t="shared" si="66"/>
        <v>1622.23</v>
      </c>
      <c r="V137" s="356">
        <v>1120792865</v>
      </c>
      <c r="W137" s="357">
        <v>11782</v>
      </c>
      <c r="X137" s="264">
        <f t="shared" si="55"/>
        <v>95127.56</v>
      </c>
      <c r="Y137" s="293">
        <f t="shared" si="56"/>
        <v>0.49409999999999998</v>
      </c>
      <c r="Z137" s="357">
        <v>80750</v>
      </c>
      <c r="AA137" s="293">
        <f t="shared" si="57"/>
        <v>0.67015599999999997</v>
      </c>
      <c r="AB137" s="293">
        <f t="shared" si="58"/>
        <v>0.45308300000000001</v>
      </c>
      <c r="AC137" s="294">
        <f t="shared" si="59"/>
        <v>0.45308300000000001</v>
      </c>
      <c r="AD137" s="295">
        <f t="shared" si="67"/>
        <v>0.03</v>
      </c>
      <c r="AE137" s="296">
        <f t="shared" si="68"/>
        <v>0.48308300000000004</v>
      </c>
      <c r="AF137" s="357">
        <v>0</v>
      </c>
      <c r="AG137" s="357">
        <v>0</v>
      </c>
      <c r="AH137" s="254">
        <f t="shared" si="69"/>
        <v>0</v>
      </c>
      <c r="AI137" s="9">
        <f t="shared" si="60"/>
        <v>0</v>
      </c>
      <c r="AJ137" s="9">
        <v>0</v>
      </c>
      <c r="AK137" s="9">
        <f t="shared" si="70"/>
        <v>0</v>
      </c>
      <c r="AL137" s="9">
        <f t="shared" si="71"/>
        <v>0</v>
      </c>
      <c r="AM137" s="9">
        <f t="shared" si="72"/>
        <v>0</v>
      </c>
      <c r="AN137" s="9">
        <f t="shared" si="73"/>
        <v>0</v>
      </c>
      <c r="AO137" s="9">
        <f t="shared" si="61"/>
        <v>9031817</v>
      </c>
      <c r="AP137" s="9">
        <f t="shared" si="74"/>
        <v>9031817</v>
      </c>
      <c r="AQ137" s="9">
        <f t="shared" si="75"/>
        <v>9031817</v>
      </c>
      <c r="AR137" s="291">
        <v>9761632</v>
      </c>
      <c r="AS137" s="9">
        <f t="shared" si="76"/>
        <v>729815</v>
      </c>
      <c r="AT137" s="297" t="str">
        <f t="shared" si="77"/>
        <v>No</v>
      </c>
      <c r="AU137" s="357">
        <v>9802121</v>
      </c>
      <c r="AV137" s="291">
        <f t="shared" si="62"/>
        <v>60793.589500000002</v>
      </c>
      <c r="AW137" s="291">
        <f t="shared" si="78"/>
        <v>9802121</v>
      </c>
      <c r="AX137" s="291">
        <f t="shared" si="63"/>
        <v>9802121</v>
      </c>
      <c r="AY137" s="358">
        <f t="shared" si="79"/>
        <v>0</v>
      </c>
      <c r="AZ137" s="301"/>
      <c r="BA137" s="301"/>
      <c r="BB137" s="302"/>
      <c r="BC137" s="291">
        <f t="shared" si="80"/>
        <v>9741327.4104999993</v>
      </c>
      <c r="BD137" s="298">
        <f t="shared" si="93"/>
        <v>9680533.8209999986</v>
      </c>
      <c r="BE137" s="298">
        <f t="shared" si="93"/>
        <v>9619740.2314999979</v>
      </c>
      <c r="BF137" s="298">
        <f t="shared" si="93"/>
        <v>9558946.6419999972</v>
      </c>
      <c r="BG137" s="298">
        <f t="shared" si="94"/>
        <v>9498153.0524999965</v>
      </c>
      <c r="BH137" s="298">
        <f t="shared" si="94"/>
        <v>9437359.4629999958</v>
      </c>
      <c r="BI137" s="298">
        <f t="shared" si="83"/>
        <v>9031817</v>
      </c>
      <c r="BK137" s="298">
        <f t="shared" si="84"/>
        <v>9741327.4104999993</v>
      </c>
      <c r="BL137" s="298">
        <f t="shared" si="85"/>
        <v>9680533.8209999986</v>
      </c>
      <c r="BM137" s="298">
        <f t="shared" si="86"/>
        <v>9619740.2314999979</v>
      </c>
      <c r="BN137" s="298">
        <f t="shared" si="87"/>
        <v>9558946.6419999972</v>
      </c>
      <c r="BO137" s="298">
        <f t="shared" si="88"/>
        <v>9498153.0524999965</v>
      </c>
      <c r="BP137" s="298">
        <f t="shared" si="89"/>
        <v>9437359.4629999958</v>
      </c>
      <c r="BQ137" s="298">
        <f t="shared" si="90"/>
        <v>9031817</v>
      </c>
    </row>
    <row r="138" spans="1:69" ht="15" x14ac:dyDescent="0.2">
      <c r="A138" s="10" t="s">
        <v>4</v>
      </c>
      <c r="B138" s="10"/>
      <c r="C138" s="276"/>
      <c r="D138" s="276"/>
      <c r="E138" s="276"/>
      <c r="F138" s="8">
        <v>8</v>
      </c>
      <c r="G138" s="355">
        <v>134</v>
      </c>
      <c r="H138" s="10">
        <v>112</v>
      </c>
      <c r="I138" s="7" t="s">
        <v>124</v>
      </c>
      <c r="J138" s="287"/>
      <c r="K138" s="356">
        <v>521</v>
      </c>
      <c r="L138" s="355"/>
      <c r="M138" s="289"/>
      <c r="N138" s="357">
        <v>92</v>
      </c>
      <c r="O138" s="290">
        <f t="shared" si="52"/>
        <v>0.1765834932821497</v>
      </c>
      <c r="P138" s="290">
        <f t="shared" si="64"/>
        <v>0</v>
      </c>
      <c r="Q138" s="291">
        <f t="shared" si="53"/>
        <v>0</v>
      </c>
      <c r="R138" s="291">
        <f t="shared" si="65"/>
        <v>0</v>
      </c>
      <c r="S138" s="357">
        <v>0</v>
      </c>
      <c r="T138" s="292">
        <f t="shared" si="54"/>
        <v>27.6</v>
      </c>
      <c r="U138" s="254">
        <f t="shared" si="66"/>
        <v>548.6</v>
      </c>
      <c r="V138" s="356">
        <v>553530573.33000004</v>
      </c>
      <c r="W138" s="357">
        <v>4173</v>
      </c>
      <c r="X138" s="264">
        <f t="shared" si="55"/>
        <v>132645.72</v>
      </c>
      <c r="Y138" s="293">
        <f t="shared" si="56"/>
        <v>0.68897299999999995</v>
      </c>
      <c r="Z138" s="357">
        <v>78958</v>
      </c>
      <c r="AA138" s="293">
        <f t="shared" si="57"/>
        <v>0.65528399999999998</v>
      </c>
      <c r="AB138" s="293">
        <f t="shared" si="58"/>
        <v>0.32113399999999998</v>
      </c>
      <c r="AC138" s="294">
        <f t="shared" si="59"/>
        <v>0.32113399999999998</v>
      </c>
      <c r="AD138" s="295">
        <f t="shared" si="67"/>
        <v>0</v>
      </c>
      <c r="AE138" s="296">
        <f t="shared" si="68"/>
        <v>0.32113399999999998</v>
      </c>
      <c r="AF138" s="357">
        <v>0</v>
      </c>
      <c r="AG138" s="357">
        <v>0</v>
      </c>
      <c r="AH138" s="254">
        <f t="shared" si="69"/>
        <v>0</v>
      </c>
      <c r="AI138" s="9">
        <f t="shared" si="60"/>
        <v>0</v>
      </c>
      <c r="AJ138" s="9">
        <v>157</v>
      </c>
      <c r="AK138" s="9">
        <f t="shared" si="70"/>
        <v>4</v>
      </c>
      <c r="AL138" s="9">
        <f t="shared" si="71"/>
        <v>400</v>
      </c>
      <c r="AM138" s="9">
        <f t="shared" si="72"/>
        <v>62800</v>
      </c>
      <c r="AN138" s="9">
        <f t="shared" si="73"/>
        <v>62800</v>
      </c>
      <c r="AO138" s="9">
        <f t="shared" si="61"/>
        <v>2030407</v>
      </c>
      <c r="AP138" s="9">
        <f t="shared" si="74"/>
        <v>2093207</v>
      </c>
      <c r="AQ138" s="9">
        <f t="shared" si="75"/>
        <v>2093207</v>
      </c>
      <c r="AR138" s="291">
        <v>3073015</v>
      </c>
      <c r="AS138" s="9">
        <f t="shared" si="76"/>
        <v>979808</v>
      </c>
      <c r="AT138" s="297" t="str">
        <f t="shared" si="77"/>
        <v>No</v>
      </c>
      <c r="AU138" s="357">
        <v>2670987</v>
      </c>
      <c r="AV138" s="291">
        <f t="shared" si="62"/>
        <v>81618.006399999998</v>
      </c>
      <c r="AW138" s="291">
        <f t="shared" si="78"/>
        <v>2670987</v>
      </c>
      <c r="AX138" s="291">
        <f t="shared" si="63"/>
        <v>2670987</v>
      </c>
      <c r="AY138" s="358">
        <f t="shared" si="79"/>
        <v>0</v>
      </c>
      <c r="AZ138" s="301"/>
      <c r="BA138" s="301"/>
      <c r="BB138" s="302"/>
      <c r="BC138" s="291">
        <f t="shared" si="80"/>
        <v>2589368.9936000002</v>
      </c>
      <c r="BD138" s="298">
        <f t="shared" si="93"/>
        <v>2507750.9872000003</v>
      </c>
      <c r="BE138" s="298">
        <f t="shared" si="93"/>
        <v>2426132.9808000005</v>
      </c>
      <c r="BF138" s="298">
        <f t="shared" si="93"/>
        <v>2344514.9744000006</v>
      </c>
      <c r="BG138" s="298">
        <f t="shared" si="94"/>
        <v>2262896.9680000008</v>
      </c>
      <c r="BH138" s="298">
        <f t="shared" si="94"/>
        <v>2181278.961600001</v>
      </c>
      <c r="BI138" s="298">
        <f t="shared" si="83"/>
        <v>2093207</v>
      </c>
      <c r="BK138" s="298">
        <f t="shared" si="84"/>
        <v>2589368.9936000002</v>
      </c>
      <c r="BL138" s="298">
        <f t="shared" si="85"/>
        <v>2507750.9872000003</v>
      </c>
      <c r="BM138" s="298">
        <f t="shared" si="86"/>
        <v>2426132.9808000005</v>
      </c>
      <c r="BN138" s="298">
        <f t="shared" si="87"/>
        <v>2344514.9744000006</v>
      </c>
      <c r="BO138" s="298">
        <f t="shared" si="88"/>
        <v>2262896.9680000008</v>
      </c>
      <c r="BP138" s="298">
        <f t="shared" si="89"/>
        <v>2181278.961600001</v>
      </c>
      <c r="BQ138" s="298">
        <f t="shared" si="90"/>
        <v>2093207</v>
      </c>
    </row>
    <row r="139" spans="1:69" ht="15" x14ac:dyDescent="0.2">
      <c r="A139" s="10" t="s">
        <v>8</v>
      </c>
      <c r="B139" s="10"/>
      <c r="C139" s="276"/>
      <c r="D139" s="276"/>
      <c r="E139" s="276"/>
      <c r="F139" s="8">
        <v>6</v>
      </c>
      <c r="G139" s="355">
        <v>69</v>
      </c>
      <c r="H139" s="10">
        <v>113</v>
      </c>
      <c r="I139" s="7" t="s">
        <v>125</v>
      </c>
      <c r="J139" s="287"/>
      <c r="K139" s="356">
        <v>1288.2</v>
      </c>
      <c r="L139" s="355"/>
      <c r="M139" s="289"/>
      <c r="N139" s="357">
        <v>336</v>
      </c>
      <c r="O139" s="290">
        <f t="shared" si="52"/>
        <v>0.2608290638099674</v>
      </c>
      <c r="P139" s="290">
        <f t="shared" si="64"/>
        <v>0</v>
      </c>
      <c r="Q139" s="291">
        <f t="shared" si="53"/>
        <v>0</v>
      </c>
      <c r="R139" s="291">
        <f t="shared" si="65"/>
        <v>0</v>
      </c>
      <c r="S139" s="357">
        <v>34</v>
      </c>
      <c r="T139" s="292">
        <f t="shared" si="54"/>
        <v>100.8</v>
      </c>
      <c r="U139" s="254">
        <f t="shared" si="66"/>
        <v>1397.5</v>
      </c>
      <c r="V139" s="356">
        <v>1215427411.3299999</v>
      </c>
      <c r="W139" s="357">
        <v>9362</v>
      </c>
      <c r="X139" s="264">
        <f t="shared" si="55"/>
        <v>129825.62</v>
      </c>
      <c r="Y139" s="293">
        <f t="shared" si="56"/>
        <v>0.67432499999999995</v>
      </c>
      <c r="Z139" s="357">
        <v>91295</v>
      </c>
      <c r="AA139" s="293">
        <f t="shared" si="57"/>
        <v>0.75767099999999998</v>
      </c>
      <c r="AB139" s="293">
        <f t="shared" si="58"/>
        <v>0.30067100000000002</v>
      </c>
      <c r="AC139" s="294">
        <f t="shared" si="59"/>
        <v>0.30067100000000002</v>
      </c>
      <c r="AD139" s="295">
        <f t="shared" si="67"/>
        <v>0</v>
      </c>
      <c r="AE139" s="296">
        <f t="shared" si="68"/>
        <v>0.30067100000000002</v>
      </c>
      <c r="AF139" s="357">
        <v>0</v>
      </c>
      <c r="AG139" s="357">
        <v>0</v>
      </c>
      <c r="AH139" s="254">
        <f t="shared" si="69"/>
        <v>0</v>
      </c>
      <c r="AI139" s="9">
        <f t="shared" si="60"/>
        <v>0</v>
      </c>
      <c r="AJ139" s="9">
        <v>0</v>
      </c>
      <c r="AK139" s="9">
        <f t="shared" si="70"/>
        <v>0</v>
      </c>
      <c r="AL139" s="9">
        <f t="shared" si="71"/>
        <v>0</v>
      </c>
      <c r="AM139" s="9">
        <f t="shared" si="72"/>
        <v>0</v>
      </c>
      <c r="AN139" s="9">
        <f t="shared" si="73"/>
        <v>0</v>
      </c>
      <c r="AO139" s="9">
        <f t="shared" si="61"/>
        <v>4842664</v>
      </c>
      <c r="AP139" s="9">
        <f t="shared" si="74"/>
        <v>4842664</v>
      </c>
      <c r="AQ139" s="9">
        <f t="shared" si="75"/>
        <v>4842664</v>
      </c>
      <c r="AR139" s="291">
        <v>4363751</v>
      </c>
      <c r="AS139" s="9">
        <f t="shared" si="76"/>
        <v>478913</v>
      </c>
      <c r="AT139" s="297" t="str">
        <f t="shared" si="77"/>
        <v>Yes</v>
      </c>
      <c r="AU139" s="357">
        <v>4544357.1257999996</v>
      </c>
      <c r="AV139" s="291">
        <f t="shared" si="62"/>
        <v>51052.125800000002</v>
      </c>
      <c r="AW139" s="291">
        <f t="shared" si="78"/>
        <v>4595409.2515999991</v>
      </c>
      <c r="AX139" s="291">
        <f t="shared" si="63"/>
        <v>4595409.2515999991</v>
      </c>
      <c r="AY139" s="358">
        <f t="shared" si="79"/>
        <v>51052.125799999572</v>
      </c>
      <c r="AZ139" s="301"/>
      <c r="BA139" s="301"/>
      <c r="BB139" s="302"/>
      <c r="BC139" s="291">
        <f t="shared" si="80"/>
        <v>4646461.3773999987</v>
      </c>
      <c r="BD139" s="298">
        <f t="shared" si="93"/>
        <v>4697513.5031999983</v>
      </c>
      <c r="BE139" s="298">
        <f t="shared" si="93"/>
        <v>4748565.6289999979</v>
      </c>
      <c r="BF139" s="298">
        <f t="shared" si="93"/>
        <v>4799617.7547999974</v>
      </c>
      <c r="BG139" s="298">
        <f t="shared" si="94"/>
        <v>4842664</v>
      </c>
      <c r="BH139" s="298">
        <f t="shared" si="94"/>
        <v>4842664</v>
      </c>
      <c r="BI139" s="298">
        <f t="shared" si="83"/>
        <v>4842664</v>
      </c>
      <c r="BK139" s="298">
        <f t="shared" si="84"/>
        <v>4646461.3773999987</v>
      </c>
      <c r="BL139" s="298">
        <f t="shared" si="85"/>
        <v>4697513.5031999983</v>
      </c>
      <c r="BM139" s="298">
        <f t="shared" si="86"/>
        <v>4748565.6289999979</v>
      </c>
      <c r="BN139" s="298">
        <f t="shared" si="87"/>
        <v>4799617.7547999974</v>
      </c>
      <c r="BO139" s="298">
        <f t="shared" si="88"/>
        <v>4842664</v>
      </c>
      <c r="BP139" s="298">
        <f t="shared" si="89"/>
        <v>4842664</v>
      </c>
      <c r="BQ139" s="298">
        <f t="shared" si="90"/>
        <v>4842664</v>
      </c>
    </row>
    <row r="140" spans="1:69" ht="15" x14ac:dyDescent="0.2">
      <c r="A140" s="10" t="s">
        <v>8</v>
      </c>
      <c r="B140" s="10"/>
      <c r="C140" s="276"/>
      <c r="D140" s="276"/>
      <c r="E140" s="276"/>
      <c r="F140" s="8">
        <v>7</v>
      </c>
      <c r="G140" s="359">
        <v>41</v>
      </c>
      <c r="H140" s="10">
        <v>114</v>
      </c>
      <c r="I140" s="7" t="s">
        <v>126</v>
      </c>
      <c r="J140" s="287"/>
      <c r="K140" s="356">
        <v>588.26</v>
      </c>
      <c r="L140" s="359"/>
      <c r="M140" s="289"/>
      <c r="N140" s="357">
        <v>156</v>
      </c>
      <c r="O140" s="290">
        <f t="shared" si="52"/>
        <v>0.26518886206779313</v>
      </c>
      <c r="P140" s="290">
        <f t="shared" si="64"/>
        <v>0</v>
      </c>
      <c r="Q140" s="291">
        <f t="shared" si="53"/>
        <v>0</v>
      </c>
      <c r="R140" s="291">
        <f t="shared" si="65"/>
        <v>0</v>
      </c>
      <c r="S140" s="357">
        <v>8</v>
      </c>
      <c r="T140" s="292">
        <f t="shared" si="54"/>
        <v>46.8</v>
      </c>
      <c r="U140" s="254">
        <f t="shared" si="66"/>
        <v>637.05999999999995</v>
      </c>
      <c r="V140" s="356">
        <v>652410182.66999996</v>
      </c>
      <c r="W140" s="357">
        <v>4666</v>
      </c>
      <c r="X140" s="264">
        <f t="shared" si="55"/>
        <v>139822.16</v>
      </c>
      <c r="Y140" s="293">
        <f t="shared" si="56"/>
        <v>0.726248</v>
      </c>
      <c r="Z140" s="357">
        <v>75568</v>
      </c>
      <c r="AA140" s="293">
        <f t="shared" si="57"/>
        <v>0.62714999999999999</v>
      </c>
      <c r="AB140" s="293">
        <f t="shared" si="58"/>
        <v>0.303481</v>
      </c>
      <c r="AC140" s="294">
        <f t="shared" si="59"/>
        <v>0.303481</v>
      </c>
      <c r="AD140" s="295">
        <f t="shared" si="67"/>
        <v>0</v>
      </c>
      <c r="AE140" s="296">
        <f t="shared" si="68"/>
        <v>0.303481</v>
      </c>
      <c r="AF140" s="357">
        <v>0</v>
      </c>
      <c r="AG140" s="357">
        <v>0</v>
      </c>
      <c r="AH140" s="254">
        <f t="shared" si="69"/>
        <v>0</v>
      </c>
      <c r="AI140" s="9">
        <f t="shared" si="60"/>
        <v>0</v>
      </c>
      <c r="AJ140" s="9">
        <v>158</v>
      </c>
      <c r="AK140" s="9">
        <f t="shared" si="70"/>
        <v>4</v>
      </c>
      <c r="AL140" s="9">
        <f t="shared" si="71"/>
        <v>400</v>
      </c>
      <c r="AM140" s="9">
        <f t="shared" si="72"/>
        <v>63200</v>
      </c>
      <c r="AN140" s="9">
        <f t="shared" si="73"/>
        <v>63200</v>
      </c>
      <c r="AO140" s="9">
        <f t="shared" si="61"/>
        <v>2228193</v>
      </c>
      <c r="AP140" s="9">
        <f t="shared" si="74"/>
        <v>2291393</v>
      </c>
      <c r="AQ140" s="9">
        <f t="shared" si="75"/>
        <v>2291393</v>
      </c>
      <c r="AR140" s="291">
        <v>3012017</v>
      </c>
      <c r="AS140" s="9">
        <f t="shared" si="76"/>
        <v>720624</v>
      </c>
      <c r="AT140" s="297" t="str">
        <f t="shared" si="77"/>
        <v>No</v>
      </c>
      <c r="AU140" s="357">
        <v>2952496</v>
      </c>
      <c r="AV140" s="291">
        <f t="shared" si="62"/>
        <v>60027.979200000002</v>
      </c>
      <c r="AW140" s="291">
        <f t="shared" si="78"/>
        <v>2952496</v>
      </c>
      <c r="AX140" s="291">
        <f t="shared" si="63"/>
        <v>2952496</v>
      </c>
      <c r="AY140" s="358">
        <f t="shared" si="79"/>
        <v>0</v>
      </c>
      <c r="AZ140" s="301"/>
      <c r="BA140" s="301"/>
      <c r="BB140" s="302"/>
      <c r="BC140" s="291">
        <f t="shared" si="80"/>
        <v>2892468.0208000001</v>
      </c>
      <c r="BD140" s="298">
        <f t="shared" ref="BD140:BF155" si="95">IF($AT140="Yes",BC140+$AV140,BC140-$AV140)</f>
        <v>2832440.0416000001</v>
      </c>
      <c r="BE140" s="298">
        <f t="shared" si="95"/>
        <v>2772412.0624000002</v>
      </c>
      <c r="BF140" s="298">
        <f t="shared" si="95"/>
        <v>2712384.0832000002</v>
      </c>
      <c r="BG140" s="298">
        <f t="shared" ref="BG140:BH155" si="96">IF($AT140="Yes",$AP140,BF140-$AV140)</f>
        <v>2652356.1040000003</v>
      </c>
      <c r="BH140" s="298">
        <f t="shared" si="96"/>
        <v>2592328.1248000003</v>
      </c>
      <c r="BI140" s="298">
        <f t="shared" si="83"/>
        <v>2291393</v>
      </c>
      <c r="BK140" s="298">
        <f t="shared" si="84"/>
        <v>2892468.0208000001</v>
      </c>
      <c r="BL140" s="298">
        <f t="shared" si="85"/>
        <v>2832440.0416000001</v>
      </c>
      <c r="BM140" s="298">
        <f t="shared" si="86"/>
        <v>2772412.0624000002</v>
      </c>
      <c r="BN140" s="298">
        <f t="shared" si="87"/>
        <v>2712384.0832000002</v>
      </c>
      <c r="BO140" s="298">
        <f t="shared" si="88"/>
        <v>2652356.1040000003</v>
      </c>
      <c r="BP140" s="298">
        <f t="shared" si="89"/>
        <v>2592328.1248000003</v>
      </c>
      <c r="BQ140" s="298">
        <f t="shared" si="90"/>
        <v>2291393</v>
      </c>
    </row>
    <row r="141" spans="1:69" ht="15" x14ac:dyDescent="0.2">
      <c r="A141" s="10" t="s">
        <v>8</v>
      </c>
      <c r="B141" s="10"/>
      <c r="C141" s="276"/>
      <c r="D141" s="276"/>
      <c r="E141" s="276"/>
      <c r="F141" s="8">
        <v>6</v>
      </c>
      <c r="G141" s="355">
        <v>70</v>
      </c>
      <c r="H141" s="10">
        <v>115</v>
      </c>
      <c r="I141" s="7" t="s">
        <v>127</v>
      </c>
      <c r="J141" s="287"/>
      <c r="K141" s="356">
        <v>1311.37</v>
      </c>
      <c r="L141" s="355"/>
      <c r="M141" s="289"/>
      <c r="N141" s="357">
        <v>267</v>
      </c>
      <c r="O141" s="290">
        <f t="shared" si="52"/>
        <v>0.20360386466062211</v>
      </c>
      <c r="P141" s="290">
        <f t="shared" si="64"/>
        <v>0</v>
      </c>
      <c r="Q141" s="291">
        <f t="shared" si="53"/>
        <v>0</v>
      </c>
      <c r="R141" s="291">
        <f t="shared" si="65"/>
        <v>0</v>
      </c>
      <c r="S141" s="357">
        <v>28</v>
      </c>
      <c r="T141" s="292">
        <f t="shared" si="54"/>
        <v>80.099999999999994</v>
      </c>
      <c r="U141" s="254">
        <f t="shared" si="66"/>
        <v>1398.4699999999998</v>
      </c>
      <c r="V141" s="356">
        <v>1272039799.3299999</v>
      </c>
      <c r="W141" s="357">
        <v>9736</v>
      </c>
      <c r="X141" s="264">
        <f t="shared" si="55"/>
        <v>130653.23</v>
      </c>
      <c r="Y141" s="293">
        <f t="shared" si="56"/>
        <v>0.678624</v>
      </c>
      <c r="Z141" s="357">
        <v>100524</v>
      </c>
      <c r="AA141" s="293">
        <f t="shared" si="57"/>
        <v>0.83426400000000001</v>
      </c>
      <c r="AB141" s="293">
        <f t="shared" si="58"/>
        <v>0.27468399999999998</v>
      </c>
      <c r="AC141" s="294">
        <f t="shared" si="59"/>
        <v>0.27468399999999998</v>
      </c>
      <c r="AD141" s="295">
        <f t="shared" si="67"/>
        <v>0</v>
      </c>
      <c r="AE141" s="296">
        <f t="shared" si="68"/>
        <v>0.27468399999999998</v>
      </c>
      <c r="AF141" s="357">
        <v>1312</v>
      </c>
      <c r="AG141" s="357">
        <v>13</v>
      </c>
      <c r="AH141" s="254">
        <f t="shared" si="69"/>
        <v>1300</v>
      </c>
      <c r="AI141" s="9">
        <f t="shared" si="60"/>
        <v>1705600</v>
      </c>
      <c r="AJ141" s="9">
        <v>0</v>
      </c>
      <c r="AK141" s="9">
        <f t="shared" si="70"/>
        <v>0</v>
      </c>
      <c r="AL141" s="9">
        <f t="shared" si="71"/>
        <v>0</v>
      </c>
      <c r="AM141" s="9">
        <f t="shared" si="72"/>
        <v>0</v>
      </c>
      <c r="AN141" s="9">
        <f t="shared" si="73"/>
        <v>1705600</v>
      </c>
      <c r="AO141" s="9">
        <f t="shared" si="61"/>
        <v>4427183</v>
      </c>
      <c r="AP141" s="9">
        <f t="shared" si="74"/>
        <v>6132783</v>
      </c>
      <c r="AQ141" s="9">
        <f t="shared" si="75"/>
        <v>6132783</v>
      </c>
      <c r="AR141" s="291">
        <v>5297609</v>
      </c>
      <c r="AS141" s="9">
        <f t="shared" si="76"/>
        <v>835174</v>
      </c>
      <c r="AT141" s="297" t="str">
        <f t="shared" si="77"/>
        <v>Yes</v>
      </c>
      <c r="AU141" s="357">
        <v>4951152.5483999997</v>
      </c>
      <c r="AV141" s="291">
        <f t="shared" si="62"/>
        <v>89029.5484</v>
      </c>
      <c r="AW141" s="291">
        <f t="shared" si="78"/>
        <v>5040182.0967999995</v>
      </c>
      <c r="AX141" s="291">
        <f t="shared" si="63"/>
        <v>5040182.0967999995</v>
      </c>
      <c r="AY141" s="358">
        <f t="shared" si="79"/>
        <v>89029.548399999738</v>
      </c>
      <c r="AZ141" s="301"/>
      <c r="BA141" s="301"/>
      <c r="BB141" s="302"/>
      <c r="BC141" s="291">
        <f t="shared" si="80"/>
        <v>5129211.6451999992</v>
      </c>
      <c r="BD141" s="298">
        <f t="shared" si="95"/>
        <v>5218241.193599999</v>
      </c>
      <c r="BE141" s="298">
        <f t="shared" si="95"/>
        <v>5307270.7419999987</v>
      </c>
      <c r="BF141" s="298">
        <f t="shared" si="95"/>
        <v>5396300.2903999984</v>
      </c>
      <c r="BG141" s="298">
        <f t="shared" si="96"/>
        <v>6132783</v>
      </c>
      <c r="BH141" s="298">
        <f t="shared" si="96"/>
        <v>6132783</v>
      </c>
      <c r="BI141" s="298">
        <f t="shared" si="83"/>
        <v>6132783</v>
      </c>
      <c r="BK141" s="298">
        <f t="shared" si="84"/>
        <v>5129211.6451999992</v>
      </c>
      <c r="BL141" s="298">
        <f t="shared" si="85"/>
        <v>5218241.193599999</v>
      </c>
      <c r="BM141" s="298">
        <f t="shared" si="86"/>
        <v>5307270.7419999987</v>
      </c>
      <c r="BN141" s="298">
        <f t="shared" si="87"/>
        <v>5396300.2903999984</v>
      </c>
      <c r="BO141" s="298">
        <f t="shared" si="88"/>
        <v>6132783</v>
      </c>
      <c r="BP141" s="298">
        <f t="shared" si="89"/>
        <v>6132783</v>
      </c>
      <c r="BQ141" s="298">
        <f t="shared" si="90"/>
        <v>6132783</v>
      </c>
    </row>
    <row r="142" spans="1:69" ht="15" x14ac:dyDescent="0.2">
      <c r="A142" s="10" t="s">
        <v>19</v>
      </c>
      <c r="B142" s="299"/>
      <c r="C142" s="276">
        <v>1</v>
      </c>
      <c r="D142" s="276">
        <v>1</v>
      </c>
      <c r="E142" s="276"/>
      <c r="F142" s="8">
        <v>10</v>
      </c>
      <c r="G142" s="359">
        <v>33</v>
      </c>
      <c r="H142" s="10">
        <v>116</v>
      </c>
      <c r="I142" s="7" t="s">
        <v>128</v>
      </c>
      <c r="J142" s="287"/>
      <c r="K142" s="356">
        <v>1059.3499999999999</v>
      </c>
      <c r="L142" s="359"/>
      <c r="M142" s="289"/>
      <c r="N142" s="357">
        <v>689</v>
      </c>
      <c r="O142" s="290">
        <f t="shared" si="52"/>
        <v>0.650398829470902</v>
      </c>
      <c r="P142" s="290">
        <f t="shared" si="64"/>
        <v>5.0398829470902018E-2</v>
      </c>
      <c r="Q142" s="291">
        <f t="shared" si="53"/>
        <v>53.39000000000005</v>
      </c>
      <c r="R142" s="291">
        <f t="shared" si="65"/>
        <v>8.0085000000000068</v>
      </c>
      <c r="S142" s="357">
        <v>40</v>
      </c>
      <c r="T142" s="292">
        <f t="shared" si="54"/>
        <v>206.7</v>
      </c>
      <c r="U142" s="254">
        <f t="shared" si="66"/>
        <v>1284.0584999999999</v>
      </c>
      <c r="V142" s="356">
        <v>1007105663.33</v>
      </c>
      <c r="W142" s="357">
        <v>9360</v>
      </c>
      <c r="X142" s="264">
        <f t="shared" si="55"/>
        <v>107596.76</v>
      </c>
      <c r="Y142" s="293">
        <f t="shared" si="56"/>
        <v>0.55886599999999997</v>
      </c>
      <c r="Z142" s="357">
        <v>59753</v>
      </c>
      <c r="AA142" s="293">
        <f t="shared" si="57"/>
        <v>0.49589899999999998</v>
      </c>
      <c r="AB142" s="293">
        <f t="shared" si="58"/>
        <v>0.46002399999999999</v>
      </c>
      <c r="AC142" s="294">
        <f t="shared" si="59"/>
        <v>0.46002399999999999</v>
      </c>
      <c r="AD142" s="295">
        <f t="shared" si="67"/>
        <v>0</v>
      </c>
      <c r="AE142" s="296">
        <f t="shared" si="68"/>
        <v>0.46002399999999999</v>
      </c>
      <c r="AF142" s="357">
        <v>0</v>
      </c>
      <c r="AG142" s="357">
        <v>0</v>
      </c>
      <c r="AH142" s="254">
        <f t="shared" si="69"/>
        <v>0</v>
      </c>
      <c r="AI142" s="9">
        <f t="shared" si="60"/>
        <v>0</v>
      </c>
      <c r="AJ142" s="9">
        <v>0</v>
      </c>
      <c r="AK142" s="9">
        <f t="shared" si="70"/>
        <v>0</v>
      </c>
      <c r="AL142" s="9">
        <f t="shared" si="71"/>
        <v>0</v>
      </c>
      <c r="AM142" s="9">
        <f t="shared" si="72"/>
        <v>0</v>
      </c>
      <c r="AN142" s="9">
        <f t="shared" si="73"/>
        <v>0</v>
      </c>
      <c r="AO142" s="9">
        <f t="shared" si="61"/>
        <v>6807791</v>
      </c>
      <c r="AP142" s="9">
        <f t="shared" si="74"/>
        <v>6807791</v>
      </c>
      <c r="AQ142" s="9">
        <f t="shared" si="75"/>
        <v>8340282</v>
      </c>
      <c r="AR142" s="291">
        <v>8340282</v>
      </c>
      <c r="AS142" s="9">
        <f t="shared" si="76"/>
        <v>1532491</v>
      </c>
      <c r="AT142" s="297" t="str">
        <f t="shared" si="77"/>
        <v>No</v>
      </c>
      <c r="AU142" s="357">
        <v>8340282</v>
      </c>
      <c r="AV142" s="291">
        <f t="shared" si="62"/>
        <v>127656.5003</v>
      </c>
      <c r="AW142" s="291">
        <f t="shared" si="78"/>
        <v>8340282</v>
      </c>
      <c r="AX142" s="291">
        <f t="shared" si="63"/>
        <v>8340282</v>
      </c>
      <c r="AY142" s="358">
        <f t="shared" si="79"/>
        <v>0</v>
      </c>
      <c r="AZ142" s="301"/>
      <c r="BA142" s="301"/>
      <c r="BB142" s="302"/>
      <c r="BC142" s="291">
        <f t="shared" si="80"/>
        <v>8212625.4996999996</v>
      </c>
      <c r="BD142" s="298">
        <f t="shared" si="95"/>
        <v>8084968.9993999992</v>
      </c>
      <c r="BE142" s="298">
        <f t="shared" si="95"/>
        <v>7957312.4990999987</v>
      </c>
      <c r="BF142" s="298">
        <f t="shared" si="95"/>
        <v>7829655.9987999983</v>
      </c>
      <c r="BG142" s="298">
        <f t="shared" si="96"/>
        <v>7701999.4984999979</v>
      </c>
      <c r="BH142" s="298">
        <f t="shared" si="96"/>
        <v>7574342.9981999975</v>
      </c>
      <c r="BI142" s="298">
        <f t="shared" si="83"/>
        <v>6807791</v>
      </c>
      <c r="BK142" s="298">
        <f t="shared" si="84"/>
        <v>8340282</v>
      </c>
      <c r="BL142" s="298">
        <f t="shared" si="85"/>
        <v>8340282</v>
      </c>
      <c r="BM142" s="298">
        <f t="shared" si="86"/>
        <v>8340282</v>
      </c>
      <c r="BN142" s="298">
        <f t="shared" si="87"/>
        <v>8340282</v>
      </c>
      <c r="BO142" s="298">
        <f t="shared" si="88"/>
        <v>8340282</v>
      </c>
      <c r="BP142" s="298">
        <f t="shared" si="89"/>
        <v>8340282</v>
      </c>
      <c r="BQ142" s="298">
        <f t="shared" si="90"/>
        <v>8340282</v>
      </c>
    </row>
    <row r="143" spans="1:69" ht="15" x14ac:dyDescent="0.2">
      <c r="A143" s="10" t="s">
        <v>46</v>
      </c>
      <c r="B143" s="10"/>
      <c r="C143" s="276"/>
      <c r="D143" s="276"/>
      <c r="E143" s="276"/>
      <c r="F143" s="8">
        <v>1</v>
      </c>
      <c r="G143" s="355">
        <v>151</v>
      </c>
      <c r="H143" s="10">
        <v>117</v>
      </c>
      <c r="I143" s="7" t="s">
        <v>129</v>
      </c>
      <c r="J143" s="287"/>
      <c r="K143" s="356">
        <v>1228.08</v>
      </c>
      <c r="L143" s="355"/>
      <c r="M143" s="289"/>
      <c r="N143" s="357">
        <v>123</v>
      </c>
      <c r="O143" s="290">
        <f t="shared" si="52"/>
        <v>0.10015634160641002</v>
      </c>
      <c r="P143" s="290">
        <f t="shared" si="64"/>
        <v>0</v>
      </c>
      <c r="Q143" s="291">
        <f t="shared" si="53"/>
        <v>0</v>
      </c>
      <c r="R143" s="291">
        <f t="shared" si="65"/>
        <v>0</v>
      </c>
      <c r="S143" s="357">
        <v>12</v>
      </c>
      <c r="T143" s="292">
        <f t="shared" si="54"/>
        <v>36.9</v>
      </c>
      <c r="U143" s="254">
        <f t="shared" si="66"/>
        <v>1267.98</v>
      </c>
      <c r="V143" s="356">
        <v>2278467170.6700001</v>
      </c>
      <c r="W143" s="357">
        <v>9209</v>
      </c>
      <c r="X143" s="264">
        <f t="shared" si="55"/>
        <v>247417.44</v>
      </c>
      <c r="Y143" s="293">
        <f t="shared" si="56"/>
        <v>1.285107</v>
      </c>
      <c r="Z143" s="357">
        <v>128047</v>
      </c>
      <c r="AA143" s="293">
        <f t="shared" si="57"/>
        <v>1.062681</v>
      </c>
      <c r="AB143" s="293">
        <f t="shared" si="58"/>
        <v>-0.21837899999999999</v>
      </c>
      <c r="AC143" s="294">
        <f t="shared" si="59"/>
        <v>0.01</v>
      </c>
      <c r="AD143" s="295">
        <f t="shared" si="67"/>
        <v>0</v>
      </c>
      <c r="AE143" s="296">
        <f t="shared" si="68"/>
        <v>0.01</v>
      </c>
      <c r="AF143" s="357">
        <v>434</v>
      </c>
      <c r="AG143" s="357">
        <v>4</v>
      </c>
      <c r="AH143" s="254">
        <f t="shared" si="69"/>
        <v>400</v>
      </c>
      <c r="AI143" s="9">
        <f t="shared" si="60"/>
        <v>173600</v>
      </c>
      <c r="AJ143" s="9">
        <v>0</v>
      </c>
      <c r="AK143" s="9">
        <f t="shared" si="70"/>
        <v>0</v>
      </c>
      <c r="AL143" s="9">
        <f t="shared" si="71"/>
        <v>0</v>
      </c>
      <c r="AM143" s="9">
        <f t="shared" si="72"/>
        <v>0</v>
      </c>
      <c r="AN143" s="9">
        <f t="shared" si="73"/>
        <v>173600</v>
      </c>
      <c r="AO143" s="9">
        <f t="shared" si="61"/>
        <v>146135</v>
      </c>
      <c r="AP143" s="9">
        <f t="shared" si="74"/>
        <v>319735</v>
      </c>
      <c r="AQ143" s="9">
        <f t="shared" si="75"/>
        <v>319735</v>
      </c>
      <c r="AR143" s="291">
        <v>180135</v>
      </c>
      <c r="AS143" s="9">
        <f t="shared" si="76"/>
        <v>139600</v>
      </c>
      <c r="AT143" s="297" t="str">
        <f t="shared" si="77"/>
        <v>Yes</v>
      </c>
      <c r="AU143" s="357">
        <v>192921.36</v>
      </c>
      <c r="AV143" s="291">
        <f t="shared" si="62"/>
        <v>14881.36</v>
      </c>
      <c r="AW143" s="291">
        <f t="shared" si="78"/>
        <v>207802.71999999997</v>
      </c>
      <c r="AX143" s="291">
        <f t="shared" si="63"/>
        <v>207802.71999999997</v>
      </c>
      <c r="AY143" s="358">
        <f t="shared" si="79"/>
        <v>14881.359999999986</v>
      </c>
      <c r="AZ143" s="301"/>
      <c r="BA143" s="301"/>
      <c r="BB143" s="302"/>
      <c r="BC143" s="291">
        <f t="shared" si="80"/>
        <v>222684.07999999996</v>
      </c>
      <c r="BD143" s="298">
        <f t="shared" si="95"/>
        <v>237565.43999999994</v>
      </c>
      <c r="BE143" s="298">
        <f t="shared" si="95"/>
        <v>252446.79999999993</v>
      </c>
      <c r="BF143" s="298">
        <f t="shared" si="95"/>
        <v>267328.15999999992</v>
      </c>
      <c r="BG143" s="298">
        <f t="shared" si="96"/>
        <v>319735</v>
      </c>
      <c r="BH143" s="298">
        <f t="shared" si="96"/>
        <v>319735</v>
      </c>
      <c r="BI143" s="298">
        <f t="shared" si="83"/>
        <v>319735</v>
      </c>
      <c r="BK143" s="298">
        <f t="shared" si="84"/>
        <v>222684.07999999996</v>
      </c>
      <c r="BL143" s="298">
        <f t="shared" si="85"/>
        <v>237565.43999999994</v>
      </c>
      <c r="BM143" s="298">
        <f t="shared" si="86"/>
        <v>252446.79999999993</v>
      </c>
      <c r="BN143" s="298">
        <f t="shared" si="87"/>
        <v>267328.15999999992</v>
      </c>
      <c r="BO143" s="298">
        <f t="shared" si="88"/>
        <v>319735</v>
      </c>
      <c r="BP143" s="298">
        <f t="shared" si="89"/>
        <v>319735</v>
      </c>
      <c r="BQ143" s="298">
        <f t="shared" si="90"/>
        <v>319735</v>
      </c>
    </row>
    <row r="144" spans="1:69" ht="15" x14ac:dyDescent="0.2">
      <c r="A144" s="10" t="s">
        <v>46</v>
      </c>
      <c r="B144" s="10"/>
      <c r="C144" s="276"/>
      <c r="D144" s="276"/>
      <c r="E144" s="276"/>
      <c r="F144" s="8">
        <v>1</v>
      </c>
      <c r="G144" s="355">
        <v>158</v>
      </c>
      <c r="H144" s="10">
        <v>118</v>
      </c>
      <c r="I144" s="7" t="s">
        <v>130</v>
      </c>
      <c r="J144" s="287"/>
      <c r="K144" s="356">
        <v>4545.18</v>
      </c>
      <c r="L144" s="355"/>
      <c r="M144" s="289"/>
      <c r="N144" s="357">
        <v>250</v>
      </c>
      <c r="O144" s="290">
        <f t="shared" si="52"/>
        <v>5.5003322200660919E-2</v>
      </c>
      <c r="P144" s="290">
        <f t="shared" si="64"/>
        <v>0</v>
      </c>
      <c r="Q144" s="291">
        <f t="shared" si="53"/>
        <v>0</v>
      </c>
      <c r="R144" s="291">
        <f t="shared" si="65"/>
        <v>0</v>
      </c>
      <c r="S144" s="357">
        <v>50</v>
      </c>
      <c r="T144" s="292">
        <f t="shared" si="54"/>
        <v>75</v>
      </c>
      <c r="U144" s="254">
        <f t="shared" si="66"/>
        <v>4632.68</v>
      </c>
      <c r="V144" s="356">
        <v>7091462587</v>
      </c>
      <c r="W144" s="357">
        <v>25070</v>
      </c>
      <c r="X144" s="264">
        <f t="shared" si="55"/>
        <v>282866.48</v>
      </c>
      <c r="Y144" s="293">
        <f t="shared" si="56"/>
        <v>1.4692320000000001</v>
      </c>
      <c r="Z144" s="357">
        <v>158518</v>
      </c>
      <c r="AA144" s="293">
        <f t="shared" si="57"/>
        <v>1.3155650000000001</v>
      </c>
      <c r="AB144" s="293">
        <f t="shared" si="58"/>
        <v>-0.42313200000000001</v>
      </c>
      <c r="AC144" s="294">
        <f t="shared" si="59"/>
        <v>0.01</v>
      </c>
      <c r="AD144" s="295">
        <f t="shared" si="67"/>
        <v>0</v>
      </c>
      <c r="AE144" s="296">
        <f t="shared" si="68"/>
        <v>0.01</v>
      </c>
      <c r="AF144" s="357">
        <v>0</v>
      </c>
      <c r="AG144" s="357">
        <v>0</v>
      </c>
      <c r="AH144" s="254">
        <f t="shared" si="69"/>
        <v>0</v>
      </c>
      <c r="AI144" s="9">
        <f t="shared" si="60"/>
        <v>0</v>
      </c>
      <c r="AJ144" s="9">
        <v>0</v>
      </c>
      <c r="AK144" s="9">
        <f t="shared" si="70"/>
        <v>0</v>
      </c>
      <c r="AL144" s="9">
        <f t="shared" si="71"/>
        <v>0</v>
      </c>
      <c r="AM144" s="9">
        <f t="shared" si="72"/>
        <v>0</v>
      </c>
      <c r="AN144" s="9">
        <f t="shared" si="73"/>
        <v>0</v>
      </c>
      <c r="AO144" s="9">
        <f t="shared" si="61"/>
        <v>533916</v>
      </c>
      <c r="AP144" s="9">
        <f t="shared" si="74"/>
        <v>533916</v>
      </c>
      <c r="AQ144" s="9">
        <f t="shared" si="75"/>
        <v>533916</v>
      </c>
      <c r="AR144" s="291">
        <v>571648</v>
      </c>
      <c r="AS144" s="9">
        <f t="shared" si="76"/>
        <v>37732</v>
      </c>
      <c r="AT144" s="297" t="str">
        <f t="shared" si="77"/>
        <v>No</v>
      </c>
      <c r="AU144" s="357">
        <v>568700</v>
      </c>
      <c r="AV144" s="291">
        <f t="shared" si="62"/>
        <v>3143.0756000000001</v>
      </c>
      <c r="AW144" s="291">
        <f t="shared" si="78"/>
        <v>568700</v>
      </c>
      <c r="AX144" s="291">
        <f t="shared" si="63"/>
        <v>568700</v>
      </c>
      <c r="AY144" s="358">
        <f t="shared" si="79"/>
        <v>0</v>
      </c>
      <c r="AZ144" s="301"/>
      <c r="BA144" s="301"/>
      <c r="BB144" s="302"/>
      <c r="BC144" s="291">
        <f t="shared" si="80"/>
        <v>565556.92440000002</v>
      </c>
      <c r="BD144" s="298">
        <f t="shared" si="95"/>
        <v>562413.84880000004</v>
      </c>
      <c r="BE144" s="298">
        <f t="shared" si="95"/>
        <v>559270.77320000005</v>
      </c>
      <c r="BF144" s="298">
        <f t="shared" si="95"/>
        <v>556127.69760000007</v>
      </c>
      <c r="BG144" s="298">
        <f t="shared" si="96"/>
        <v>552984.62200000009</v>
      </c>
      <c r="BH144" s="298">
        <f t="shared" si="96"/>
        <v>549841.54640000011</v>
      </c>
      <c r="BI144" s="298">
        <f t="shared" si="83"/>
        <v>533916</v>
      </c>
      <c r="BK144" s="298">
        <f t="shared" si="84"/>
        <v>565556.92440000002</v>
      </c>
      <c r="BL144" s="298">
        <f t="shared" si="85"/>
        <v>562413.84880000004</v>
      </c>
      <c r="BM144" s="298">
        <f t="shared" si="86"/>
        <v>559270.77320000005</v>
      </c>
      <c r="BN144" s="298">
        <f t="shared" si="87"/>
        <v>556127.69760000007</v>
      </c>
      <c r="BO144" s="298">
        <f t="shared" si="88"/>
        <v>552984.62200000009</v>
      </c>
      <c r="BP144" s="298">
        <f t="shared" si="89"/>
        <v>549841.54640000011</v>
      </c>
      <c r="BQ144" s="298">
        <f t="shared" si="90"/>
        <v>533916</v>
      </c>
    </row>
    <row r="145" spans="1:69" ht="15" x14ac:dyDescent="0.2">
      <c r="A145" s="10" t="s">
        <v>14</v>
      </c>
      <c r="B145" s="10"/>
      <c r="C145" s="276"/>
      <c r="D145" s="276"/>
      <c r="E145" s="276"/>
      <c r="F145" s="8">
        <v>6</v>
      </c>
      <c r="G145" s="355">
        <v>110</v>
      </c>
      <c r="H145" s="10">
        <v>119</v>
      </c>
      <c r="I145" s="7" t="s">
        <v>131</v>
      </c>
      <c r="J145" s="287"/>
      <c r="K145" s="356">
        <v>2774.17</v>
      </c>
      <c r="L145" s="355"/>
      <c r="M145" s="289"/>
      <c r="N145" s="357">
        <v>506</v>
      </c>
      <c r="O145" s="290">
        <f t="shared" si="52"/>
        <v>0.18239689708994042</v>
      </c>
      <c r="P145" s="290">
        <f t="shared" si="64"/>
        <v>0</v>
      </c>
      <c r="Q145" s="291">
        <f t="shared" si="53"/>
        <v>0</v>
      </c>
      <c r="R145" s="291">
        <f t="shared" si="65"/>
        <v>0</v>
      </c>
      <c r="S145" s="357">
        <v>215</v>
      </c>
      <c r="T145" s="292">
        <f t="shared" si="54"/>
        <v>151.80000000000001</v>
      </c>
      <c r="U145" s="254">
        <f t="shared" si="66"/>
        <v>2979.7200000000003</v>
      </c>
      <c r="V145" s="356">
        <v>3097362568</v>
      </c>
      <c r="W145" s="357">
        <v>20137</v>
      </c>
      <c r="X145" s="264">
        <f t="shared" si="55"/>
        <v>153814.5</v>
      </c>
      <c r="Y145" s="293">
        <f t="shared" si="56"/>
        <v>0.798925</v>
      </c>
      <c r="Z145" s="357">
        <v>83100</v>
      </c>
      <c r="AA145" s="293">
        <f t="shared" si="57"/>
        <v>0.68965900000000002</v>
      </c>
      <c r="AB145" s="293">
        <f t="shared" si="58"/>
        <v>0.23385500000000001</v>
      </c>
      <c r="AC145" s="294">
        <f t="shared" si="59"/>
        <v>0.23385500000000001</v>
      </c>
      <c r="AD145" s="295">
        <f t="shared" si="67"/>
        <v>0</v>
      </c>
      <c r="AE145" s="296">
        <f t="shared" si="68"/>
        <v>0.23385500000000001</v>
      </c>
      <c r="AF145" s="357">
        <v>0</v>
      </c>
      <c r="AG145" s="357">
        <v>0</v>
      </c>
      <c r="AH145" s="254">
        <f t="shared" si="69"/>
        <v>0</v>
      </c>
      <c r="AI145" s="9">
        <f t="shared" si="60"/>
        <v>0</v>
      </c>
      <c r="AJ145" s="9">
        <v>0</v>
      </c>
      <c r="AK145" s="9">
        <f t="shared" si="70"/>
        <v>0</v>
      </c>
      <c r="AL145" s="9">
        <f t="shared" si="71"/>
        <v>0</v>
      </c>
      <c r="AM145" s="9">
        <f t="shared" si="72"/>
        <v>0</v>
      </c>
      <c r="AN145" s="9">
        <f t="shared" si="73"/>
        <v>0</v>
      </c>
      <c r="AO145" s="9">
        <f t="shared" si="61"/>
        <v>8030878</v>
      </c>
      <c r="AP145" s="9">
        <f t="shared" si="74"/>
        <v>8030878</v>
      </c>
      <c r="AQ145" s="9">
        <f t="shared" si="75"/>
        <v>8030878</v>
      </c>
      <c r="AR145" s="291">
        <v>4250230</v>
      </c>
      <c r="AS145" s="9">
        <f t="shared" si="76"/>
        <v>3780648</v>
      </c>
      <c r="AT145" s="297" t="str">
        <f t="shared" si="77"/>
        <v>Yes</v>
      </c>
      <c r="AU145" s="357">
        <v>5413831.0767999999</v>
      </c>
      <c r="AV145" s="291">
        <f t="shared" si="62"/>
        <v>403017.07679999998</v>
      </c>
      <c r="AW145" s="291">
        <f t="shared" si="78"/>
        <v>5816848.1535999998</v>
      </c>
      <c r="AX145" s="291">
        <f t="shared" si="63"/>
        <v>5816848.1535999998</v>
      </c>
      <c r="AY145" s="358">
        <f t="shared" si="79"/>
        <v>403017.07679999992</v>
      </c>
      <c r="AZ145" s="301"/>
      <c r="BA145" s="301"/>
      <c r="BB145" s="302"/>
      <c r="BC145" s="291">
        <f t="shared" si="80"/>
        <v>6219865.2303999998</v>
      </c>
      <c r="BD145" s="298">
        <f t="shared" si="95"/>
        <v>6622882.3071999997</v>
      </c>
      <c r="BE145" s="298">
        <f t="shared" si="95"/>
        <v>7025899.3839999996</v>
      </c>
      <c r="BF145" s="298">
        <f t="shared" si="95"/>
        <v>7428916.4607999995</v>
      </c>
      <c r="BG145" s="298">
        <f t="shared" si="96"/>
        <v>8030878</v>
      </c>
      <c r="BH145" s="298">
        <f t="shared" si="96"/>
        <v>8030878</v>
      </c>
      <c r="BI145" s="298">
        <f t="shared" si="83"/>
        <v>8030878</v>
      </c>
      <c r="BK145" s="298">
        <f t="shared" si="84"/>
        <v>6219865.2303999998</v>
      </c>
      <c r="BL145" s="298">
        <f t="shared" si="85"/>
        <v>6622882.3071999997</v>
      </c>
      <c r="BM145" s="298">
        <f t="shared" si="86"/>
        <v>7025899.3839999996</v>
      </c>
      <c r="BN145" s="298">
        <f t="shared" si="87"/>
        <v>7428916.4607999995</v>
      </c>
      <c r="BO145" s="298">
        <f t="shared" si="88"/>
        <v>8030878</v>
      </c>
      <c r="BP145" s="298">
        <f t="shared" si="89"/>
        <v>8030878</v>
      </c>
      <c r="BQ145" s="298">
        <f t="shared" si="90"/>
        <v>8030878</v>
      </c>
    </row>
    <row r="146" spans="1:69" ht="15" x14ac:dyDescent="0.2">
      <c r="A146" s="10" t="s">
        <v>4</v>
      </c>
      <c r="B146" s="10"/>
      <c r="C146" s="276"/>
      <c r="D146" s="276"/>
      <c r="E146" s="276"/>
      <c r="F146" s="8">
        <v>1</v>
      </c>
      <c r="G146" s="355">
        <v>165</v>
      </c>
      <c r="H146" s="10">
        <v>120</v>
      </c>
      <c r="I146" s="7" t="s">
        <v>132</v>
      </c>
      <c r="J146" s="287"/>
      <c r="K146" s="356">
        <v>192.02</v>
      </c>
      <c r="L146" s="355"/>
      <c r="M146" s="289"/>
      <c r="N146" s="357">
        <v>43</v>
      </c>
      <c r="O146" s="290">
        <f t="shared" si="52"/>
        <v>0.22393500677012809</v>
      </c>
      <c r="P146" s="290">
        <f t="shared" si="64"/>
        <v>0</v>
      </c>
      <c r="Q146" s="291">
        <f t="shared" si="53"/>
        <v>0</v>
      </c>
      <c r="R146" s="291">
        <f t="shared" si="65"/>
        <v>0</v>
      </c>
      <c r="S146" s="357">
        <v>2</v>
      </c>
      <c r="T146" s="292">
        <f t="shared" si="54"/>
        <v>12.9</v>
      </c>
      <c r="U146" s="254">
        <f t="shared" si="66"/>
        <v>205.42000000000002</v>
      </c>
      <c r="V146" s="356">
        <v>923272151.66999996</v>
      </c>
      <c r="W146" s="357">
        <v>2103</v>
      </c>
      <c r="X146" s="264">
        <f t="shared" si="55"/>
        <v>439026.23</v>
      </c>
      <c r="Y146" s="293">
        <f t="shared" si="56"/>
        <v>2.280338</v>
      </c>
      <c r="Z146" s="357">
        <v>137656</v>
      </c>
      <c r="AA146" s="293">
        <f t="shared" si="57"/>
        <v>1.142428</v>
      </c>
      <c r="AB146" s="293">
        <f t="shared" si="58"/>
        <v>-0.93896500000000005</v>
      </c>
      <c r="AC146" s="294">
        <f t="shared" si="59"/>
        <v>0.01</v>
      </c>
      <c r="AD146" s="295">
        <f t="shared" si="67"/>
        <v>0</v>
      </c>
      <c r="AE146" s="296">
        <f t="shared" si="68"/>
        <v>0.01</v>
      </c>
      <c r="AF146" s="357">
        <v>192</v>
      </c>
      <c r="AG146" s="357">
        <v>13</v>
      </c>
      <c r="AH146" s="254">
        <f t="shared" si="69"/>
        <v>1300</v>
      </c>
      <c r="AI146" s="9">
        <f t="shared" si="60"/>
        <v>249600</v>
      </c>
      <c r="AJ146" s="9">
        <v>0</v>
      </c>
      <c r="AK146" s="9">
        <f t="shared" si="70"/>
        <v>0</v>
      </c>
      <c r="AL146" s="9">
        <f t="shared" si="71"/>
        <v>0</v>
      </c>
      <c r="AM146" s="9">
        <f t="shared" si="72"/>
        <v>0</v>
      </c>
      <c r="AN146" s="9">
        <f t="shared" si="73"/>
        <v>249600</v>
      </c>
      <c r="AO146" s="9">
        <f t="shared" si="61"/>
        <v>23675</v>
      </c>
      <c r="AP146" s="9">
        <f t="shared" si="74"/>
        <v>273275</v>
      </c>
      <c r="AQ146" s="9">
        <f t="shared" si="75"/>
        <v>273275</v>
      </c>
      <c r="AR146" s="291">
        <v>33612</v>
      </c>
      <c r="AS146" s="9">
        <f t="shared" si="76"/>
        <v>239663</v>
      </c>
      <c r="AT146" s="297" t="str">
        <f t="shared" si="77"/>
        <v>Yes</v>
      </c>
      <c r="AU146" s="357">
        <v>61595.075799999999</v>
      </c>
      <c r="AV146" s="291">
        <f t="shared" si="62"/>
        <v>25548.075799999999</v>
      </c>
      <c r="AW146" s="291">
        <f t="shared" si="78"/>
        <v>87143.151599999997</v>
      </c>
      <c r="AX146" s="291">
        <f t="shared" si="63"/>
        <v>87143.151599999997</v>
      </c>
      <c r="AY146" s="358">
        <f t="shared" si="79"/>
        <v>25548.075799999999</v>
      </c>
      <c r="AZ146" s="301"/>
      <c r="BA146" s="301"/>
      <c r="BB146" s="302"/>
      <c r="BC146" s="291">
        <f t="shared" si="80"/>
        <v>112691.2274</v>
      </c>
      <c r="BD146" s="298">
        <f t="shared" si="95"/>
        <v>138239.30319999999</v>
      </c>
      <c r="BE146" s="298">
        <f t="shared" si="95"/>
        <v>163787.37899999999</v>
      </c>
      <c r="BF146" s="298">
        <f t="shared" si="95"/>
        <v>189335.45479999998</v>
      </c>
      <c r="BG146" s="298">
        <f t="shared" si="96"/>
        <v>273275</v>
      </c>
      <c r="BH146" s="298">
        <f t="shared" si="96"/>
        <v>273275</v>
      </c>
      <c r="BI146" s="298">
        <f t="shared" si="83"/>
        <v>273275</v>
      </c>
      <c r="BK146" s="298">
        <f t="shared" si="84"/>
        <v>112691.2274</v>
      </c>
      <c r="BL146" s="298">
        <f t="shared" si="85"/>
        <v>138239.30319999999</v>
      </c>
      <c r="BM146" s="298">
        <f t="shared" si="86"/>
        <v>163787.37899999999</v>
      </c>
      <c r="BN146" s="298">
        <f t="shared" si="87"/>
        <v>189335.45479999998</v>
      </c>
      <c r="BO146" s="298">
        <f t="shared" si="88"/>
        <v>273275</v>
      </c>
      <c r="BP146" s="298">
        <f t="shared" si="89"/>
        <v>273275</v>
      </c>
      <c r="BQ146" s="298">
        <f t="shared" si="90"/>
        <v>273275</v>
      </c>
    </row>
    <row r="147" spans="1:69" ht="15" x14ac:dyDescent="0.2">
      <c r="A147" s="10" t="s">
        <v>4</v>
      </c>
      <c r="B147" s="10"/>
      <c r="C147" s="276"/>
      <c r="D147" s="276"/>
      <c r="E147" s="276"/>
      <c r="F147" s="8">
        <v>5</v>
      </c>
      <c r="G147" s="355">
        <v>66</v>
      </c>
      <c r="H147" s="10">
        <v>121</v>
      </c>
      <c r="I147" s="7" t="s">
        <v>133</v>
      </c>
      <c r="J147" s="287"/>
      <c r="K147" s="356">
        <v>592.69000000000005</v>
      </c>
      <c r="L147" s="355"/>
      <c r="M147" s="289"/>
      <c r="N147" s="357">
        <v>134</v>
      </c>
      <c r="O147" s="290">
        <f t="shared" si="52"/>
        <v>0.22608783681182404</v>
      </c>
      <c r="P147" s="290">
        <f t="shared" si="64"/>
        <v>0</v>
      </c>
      <c r="Q147" s="291">
        <f t="shared" si="53"/>
        <v>0</v>
      </c>
      <c r="R147" s="291">
        <f t="shared" si="65"/>
        <v>0</v>
      </c>
      <c r="S147" s="357">
        <v>3</v>
      </c>
      <c r="T147" s="292">
        <f t="shared" si="54"/>
        <v>40.200000000000003</v>
      </c>
      <c r="U147" s="254">
        <f t="shared" si="66"/>
        <v>633.6400000000001</v>
      </c>
      <c r="V147" s="356">
        <v>551143124</v>
      </c>
      <c r="W147" s="357">
        <v>4126</v>
      </c>
      <c r="X147" s="264">
        <f t="shared" si="55"/>
        <v>133578.07</v>
      </c>
      <c r="Y147" s="293">
        <f t="shared" si="56"/>
        <v>0.69381499999999996</v>
      </c>
      <c r="Z147" s="357">
        <v>113000</v>
      </c>
      <c r="AA147" s="293">
        <f t="shared" si="57"/>
        <v>0.93780399999999997</v>
      </c>
      <c r="AB147" s="293">
        <f t="shared" si="58"/>
        <v>0.232988</v>
      </c>
      <c r="AC147" s="294">
        <f t="shared" si="59"/>
        <v>0.232988</v>
      </c>
      <c r="AD147" s="295">
        <f t="shared" si="67"/>
        <v>0</v>
      </c>
      <c r="AE147" s="296">
        <f t="shared" si="68"/>
        <v>0.232988</v>
      </c>
      <c r="AF147" s="357">
        <v>0</v>
      </c>
      <c r="AG147" s="357">
        <v>0</v>
      </c>
      <c r="AH147" s="254">
        <f t="shared" si="69"/>
        <v>0</v>
      </c>
      <c r="AI147" s="9">
        <f t="shared" si="60"/>
        <v>0</v>
      </c>
      <c r="AJ147" s="9">
        <v>0</v>
      </c>
      <c r="AK147" s="9">
        <f t="shared" si="70"/>
        <v>0</v>
      </c>
      <c r="AL147" s="9">
        <f t="shared" si="71"/>
        <v>0</v>
      </c>
      <c r="AM147" s="9">
        <f t="shared" si="72"/>
        <v>0</v>
      </c>
      <c r="AN147" s="9">
        <f t="shared" si="73"/>
        <v>0</v>
      </c>
      <c r="AO147" s="9">
        <f t="shared" si="61"/>
        <v>1701442</v>
      </c>
      <c r="AP147" s="9">
        <f t="shared" si="74"/>
        <v>1701442</v>
      </c>
      <c r="AQ147" s="9">
        <f t="shared" si="75"/>
        <v>1701442</v>
      </c>
      <c r="AR147" s="291">
        <v>3049314</v>
      </c>
      <c r="AS147" s="9">
        <f t="shared" si="76"/>
        <v>1347872</v>
      </c>
      <c r="AT147" s="297" t="str">
        <f t="shared" si="77"/>
        <v>No</v>
      </c>
      <c r="AU147" s="357">
        <v>2525078</v>
      </c>
      <c r="AV147" s="291">
        <f t="shared" si="62"/>
        <v>112277.73759999999</v>
      </c>
      <c r="AW147" s="291">
        <f t="shared" si="78"/>
        <v>2525078</v>
      </c>
      <c r="AX147" s="291">
        <f t="shared" si="63"/>
        <v>2525078</v>
      </c>
      <c r="AY147" s="358">
        <f t="shared" si="79"/>
        <v>0</v>
      </c>
      <c r="AZ147" s="301"/>
      <c r="BA147" s="301"/>
      <c r="BB147" s="302"/>
      <c r="BC147" s="291">
        <f t="shared" si="80"/>
        <v>2412800.2623999999</v>
      </c>
      <c r="BD147" s="298">
        <f t="shared" si="95"/>
        <v>2300522.5247999998</v>
      </c>
      <c r="BE147" s="298">
        <f t="shared" si="95"/>
        <v>2188244.7871999997</v>
      </c>
      <c r="BF147" s="298">
        <f t="shared" si="95"/>
        <v>2075967.0495999996</v>
      </c>
      <c r="BG147" s="298">
        <f t="shared" si="96"/>
        <v>1963689.3119999995</v>
      </c>
      <c r="BH147" s="298">
        <f t="shared" si="96"/>
        <v>1851411.5743999993</v>
      </c>
      <c r="BI147" s="298">
        <f t="shared" si="83"/>
        <v>1701442</v>
      </c>
      <c r="BK147" s="298">
        <f t="shared" si="84"/>
        <v>2412800.2623999999</v>
      </c>
      <c r="BL147" s="298">
        <f t="shared" si="85"/>
        <v>2300522.5247999998</v>
      </c>
      <c r="BM147" s="298">
        <f t="shared" si="86"/>
        <v>2188244.7871999997</v>
      </c>
      <c r="BN147" s="298">
        <f t="shared" si="87"/>
        <v>2075967.0495999996</v>
      </c>
      <c r="BO147" s="298">
        <f t="shared" si="88"/>
        <v>1963689.3119999995</v>
      </c>
      <c r="BP147" s="298">
        <f t="shared" si="89"/>
        <v>1851411.5743999993</v>
      </c>
      <c r="BQ147" s="298">
        <f t="shared" si="90"/>
        <v>1701442</v>
      </c>
    </row>
    <row r="148" spans="1:69" ht="15" x14ac:dyDescent="0.2">
      <c r="A148" s="10" t="s">
        <v>8</v>
      </c>
      <c r="B148" s="10"/>
      <c r="C148" s="276"/>
      <c r="D148" s="276"/>
      <c r="E148" s="276"/>
      <c r="F148" s="8">
        <v>1</v>
      </c>
      <c r="G148" s="355">
        <v>162</v>
      </c>
      <c r="H148" s="10">
        <v>122</v>
      </c>
      <c r="I148" s="7" t="s">
        <v>134</v>
      </c>
      <c r="J148" s="287"/>
      <c r="K148" s="356">
        <v>350.29</v>
      </c>
      <c r="L148" s="355"/>
      <c r="M148" s="289"/>
      <c r="N148" s="357">
        <v>78</v>
      </c>
      <c r="O148" s="290">
        <f t="shared" si="52"/>
        <v>0.22267264266750406</v>
      </c>
      <c r="P148" s="290">
        <f t="shared" si="64"/>
        <v>0</v>
      </c>
      <c r="Q148" s="291">
        <f t="shared" si="53"/>
        <v>0</v>
      </c>
      <c r="R148" s="291">
        <f t="shared" si="65"/>
        <v>0</v>
      </c>
      <c r="S148" s="357">
        <v>8</v>
      </c>
      <c r="T148" s="292">
        <f t="shared" si="54"/>
        <v>23.4</v>
      </c>
      <c r="U148" s="254">
        <f t="shared" si="66"/>
        <v>375.69</v>
      </c>
      <c r="V148" s="356">
        <v>1788111355</v>
      </c>
      <c r="W148" s="357">
        <v>3631</v>
      </c>
      <c r="X148" s="264">
        <f t="shared" si="55"/>
        <v>492457</v>
      </c>
      <c r="Y148" s="293">
        <f t="shared" si="56"/>
        <v>2.5578620000000001</v>
      </c>
      <c r="Z148" s="357">
        <v>83698</v>
      </c>
      <c r="AA148" s="293">
        <f t="shared" si="57"/>
        <v>0.69462199999999996</v>
      </c>
      <c r="AB148" s="293">
        <f t="shared" si="58"/>
        <v>-0.99888999999999994</v>
      </c>
      <c r="AC148" s="294">
        <f t="shared" si="59"/>
        <v>0.01</v>
      </c>
      <c r="AD148" s="295">
        <f t="shared" si="67"/>
        <v>0</v>
      </c>
      <c r="AE148" s="296">
        <f t="shared" si="68"/>
        <v>0.01</v>
      </c>
      <c r="AF148" s="357">
        <v>59</v>
      </c>
      <c r="AG148" s="357">
        <v>4</v>
      </c>
      <c r="AH148" s="254">
        <f t="shared" si="69"/>
        <v>400</v>
      </c>
      <c r="AI148" s="9">
        <f t="shared" si="60"/>
        <v>23600</v>
      </c>
      <c r="AJ148" s="9">
        <v>0</v>
      </c>
      <c r="AK148" s="9">
        <f t="shared" si="70"/>
        <v>0</v>
      </c>
      <c r="AL148" s="9">
        <f t="shared" si="71"/>
        <v>0</v>
      </c>
      <c r="AM148" s="9">
        <f t="shared" si="72"/>
        <v>0</v>
      </c>
      <c r="AN148" s="9">
        <f t="shared" si="73"/>
        <v>23600</v>
      </c>
      <c r="AO148" s="9">
        <f t="shared" si="61"/>
        <v>43298</v>
      </c>
      <c r="AP148" s="9">
        <f t="shared" si="74"/>
        <v>66898</v>
      </c>
      <c r="AQ148" s="9">
        <f t="shared" si="75"/>
        <v>66898</v>
      </c>
      <c r="AR148" s="291">
        <v>10871</v>
      </c>
      <c r="AS148" s="9">
        <f t="shared" si="76"/>
        <v>56027</v>
      </c>
      <c r="AT148" s="297" t="str">
        <f t="shared" si="77"/>
        <v>Yes</v>
      </c>
      <c r="AU148" s="357">
        <v>25502.478200000001</v>
      </c>
      <c r="AV148" s="291">
        <f t="shared" si="62"/>
        <v>5972.4782000000005</v>
      </c>
      <c r="AW148" s="291">
        <f t="shared" si="78"/>
        <v>31474.956400000003</v>
      </c>
      <c r="AX148" s="291">
        <f t="shared" si="63"/>
        <v>31474.956400000003</v>
      </c>
      <c r="AY148" s="358">
        <f t="shared" si="79"/>
        <v>5972.4782000000014</v>
      </c>
      <c r="AZ148" s="301"/>
      <c r="BA148" s="301"/>
      <c r="BB148" s="302"/>
      <c r="BC148" s="291">
        <f t="shared" si="80"/>
        <v>37447.434600000001</v>
      </c>
      <c r="BD148" s="298">
        <f t="shared" si="95"/>
        <v>43419.912799999998</v>
      </c>
      <c r="BE148" s="298">
        <f t="shared" si="95"/>
        <v>49392.390999999996</v>
      </c>
      <c r="BF148" s="298">
        <f t="shared" si="95"/>
        <v>55364.869199999994</v>
      </c>
      <c r="BG148" s="298">
        <f t="shared" si="96"/>
        <v>66898</v>
      </c>
      <c r="BH148" s="298">
        <f t="shared" si="96"/>
        <v>66898</v>
      </c>
      <c r="BI148" s="298">
        <f t="shared" si="83"/>
        <v>66898</v>
      </c>
      <c r="BK148" s="298">
        <f t="shared" si="84"/>
        <v>37447.434600000001</v>
      </c>
      <c r="BL148" s="298">
        <f t="shared" si="85"/>
        <v>43419.912799999998</v>
      </c>
      <c r="BM148" s="298">
        <f t="shared" si="86"/>
        <v>49392.390999999996</v>
      </c>
      <c r="BN148" s="298">
        <f t="shared" si="87"/>
        <v>55364.869199999994</v>
      </c>
      <c r="BO148" s="298">
        <f t="shared" si="88"/>
        <v>66898</v>
      </c>
      <c r="BP148" s="298">
        <f t="shared" si="89"/>
        <v>66898</v>
      </c>
      <c r="BQ148" s="298">
        <f t="shared" si="90"/>
        <v>66898</v>
      </c>
    </row>
    <row r="149" spans="1:69" ht="15" x14ac:dyDescent="0.2">
      <c r="A149" s="10" t="s">
        <v>8</v>
      </c>
      <c r="B149" s="10"/>
      <c r="C149" s="276"/>
      <c r="D149" s="276"/>
      <c r="E149" s="276"/>
      <c r="F149" s="8">
        <v>8</v>
      </c>
      <c r="G149" s="359">
        <v>39</v>
      </c>
      <c r="H149" s="10">
        <v>123</v>
      </c>
      <c r="I149" s="7" t="s">
        <v>135</v>
      </c>
      <c r="J149" s="287"/>
      <c r="K149" s="356">
        <v>168.08</v>
      </c>
      <c r="L149" s="359"/>
      <c r="M149" s="289"/>
      <c r="N149" s="357">
        <v>60</v>
      </c>
      <c r="O149" s="290">
        <f t="shared" si="52"/>
        <v>0.35697287006187528</v>
      </c>
      <c r="P149" s="290">
        <f t="shared" si="64"/>
        <v>0</v>
      </c>
      <c r="Q149" s="291">
        <f t="shared" si="53"/>
        <v>0</v>
      </c>
      <c r="R149" s="291">
        <f t="shared" si="65"/>
        <v>0</v>
      </c>
      <c r="S149" s="357">
        <v>1</v>
      </c>
      <c r="T149" s="292">
        <f t="shared" si="54"/>
        <v>18</v>
      </c>
      <c r="U149" s="254">
        <f t="shared" si="66"/>
        <v>186.33</v>
      </c>
      <c r="V149" s="356">
        <v>166228460.33000001</v>
      </c>
      <c r="W149" s="357">
        <v>1653</v>
      </c>
      <c r="X149" s="264">
        <f t="shared" si="55"/>
        <v>100561.68</v>
      </c>
      <c r="Y149" s="293">
        <f t="shared" si="56"/>
        <v>0.52232599999999996</v>
      </c>
      <c r="Z149" s="357">
        <v>89000</v>
      </c>
      <c r="AA149" s="293">
        <f t="shared" si="57"/>
        <v>0.73862399999999995</v>
      </c>
      <c r="AB149" s="293">
        <f t="shared" si="58"/>
        <v>0.41278500000000001</v>
      </c>
      <c r="AC149" s="294">
        <f t="shared" si="59"/>
        <v>0.41278500000000001</v>
      </c>
      <c r="AD149" s="295">
        <f t="shared" si="67"/>
        <v>0</v>
      </c>
      <c r="AE149" s="296">
        <f t="shared" si="68"/>
        <v>0.41278500000000001</v>
      </c>
      <c r="AF149" s="357">
        <v>81</v>
      </c>
      <c r="AG149" s="357">
        <v>6</v>
      </c>
      <c r="AH149" s="254">
        <f t="shared" si="69"/>
        <v>600</v>
      </c>
      <c r="AI149" s="9">
        <f t="shared" si="60"/>
        <v>48600</v>
      </c>
      <c r="AJ149" s="9">
        <v>0</v>
      </c>
      <c r="AK149" s="9">
        <f t="shared" si="70"/>
        <v>0</v>
      </c>
      <c r="AL149" s="9">
        <f t="shared" si="71"/>
        <v>0</v>
      </c>
      <c r="AM149" s="9">
        <f t="shared" si="72"/>
        <v>0</v>
      </c>
      <c r="AN149" s="9">
        <f t="shared" si="73"/>
        <v>48600</v>
      </c>
      <c r="AO149" s="9">
        <f t="shared" si="61"/>
        <v>886436</v>
      </c>
      <c r="AP149" s="9">
        <f t="shared" si="74"/>
        <v>935036</v>
      </c>
      <c r="AQ149" s="9">
        <f t="shared" si="75"/>
        <v>935036</v>
      </c>
      <c r="AR149" s="291">
        <v>1423001</v>
      </c>
      <c r="AS149" s="9">
        <f t="shared" si="76"/>
        <v>487965</v>
      </c>
      <c r="AT149" s="297" t="str">
        <f t="shared" si="77"/>
        <v>No</v>
      </c>
      <c r="AU149" s="357">
        <v>1274671</v>
      </c>
      <c r="AV149" s="291">
        <f t="shared" si="62"/>
        <v>40647.484499999999</v>
      </c>
      <c r="AW149" s="291">
        <f t="shared" si="78"/>
        <v>1274671</v>
      </c>
      <c r="AX149" s="291">
        <f t="shared" si="63"/>
        <v>1274671</v>
      </c>
      <c r="AY149" s="358">
        <f t="shared" si="79"/>
        <v>0</v>
      </c>
      <c r="AZ149" s="301"/>
      <c r="BA149" s="301"/>
      <c r="BB149" s="302"/>
      <c r="BC149" s="291">
        <f t="shared" si="80"/>
        <v>1234023.5155</v>
      </c>
      <c r="BD149" s="298">
        <f t="shared" si="95"/>
        <v>1193376.031</v>
      </c>
      <c r="BE149" s="298">
        <f t="shared" si="95"/>
        <v>1152728.5464999999</v>
      </c>
      <c r="BF149" s="298">
        <f t="shared" si="95"/>
        <v>1112081.0619999999</v>
      </c>
      <c r="BG149" s="298">
        <f t="shared" si="96"/>
        <v>1071433.5774999999</v>
      </c>
      <c r="BH149" s="298">
        <f t="shared" si="96"/>
        <v>1030786.0929999999</v>
      </c>
      <c r="BI149" s="298">
        <f t="shared" si="83"/>
        <v>935036</v>
      </c>
      <c r="BK149" s="298">
        <f t="shared" si="84"/>
        <v>1234023.5155</v>
      </c>
      <c r="BL149" s="298">
        <f t="shared" si="85"/>
        <v>1193376.031</v>
      </c>
      <c r="BM149" s="298">
        <f t="shared" si="86"/>
        <v>1152728.5464999999</v>
      </c>
      <c r="BN149" s="298">
        <f t="shared" si="87"/>
        <v>1112081.0619999999</v>
      </c>
      <c r="BO149" s="298">
        <f t="shared" si="88"/>
        <v>1071433.5774999999</v>
      </c>
      <c r="BP149" s="298">
        <f t="shared" si="89"/>
        <v>1030786.0929999999</v>
      </c>
      <c r="BQ149" s="298">
        <f t="shared" si="90"/>
        <v>935036</v>
      </c>
    </row>
    <row r="150" spans="1:69" ht="15" x14ac:dyDescent="0.2">
      <c r="A150" s="10" t="s">
        <v>32</v>
      </c>
      <c r="B150" s="10"/>
      <c r="C150" s="276"/>
      <c r="D150" s="276"/>
      <c r="E150" s="276"/>
      <c r="F150" s="8">
        <v>8</v>
      </c>
      <c r="G150" s="359">
        <v>30</v>
      </c>
      <c r="H150" s="10">
        <v>124</v>
      </c>
      <c r="I150" s="7" t="s">
        <v>136</v>
      </c>
      <c r="J150" s="287"/>
      <c r="K150" s="356">
        <v>2185.5700000000002</v>
      </c>
      <c r="L150" s="359"/>
      <c r="M150" s="289"/>
      <c r="N150" s="357">
        <v>869</v>
      </c>
      <c r="O150" s="290">
        <f t="shared" si="52"/>
        <v>0.39760794666837479</v>
      </c>
      <c r="P150" s="290">
        <f t="shared" si="64"/>
        <v>0</v>
      </c>
      <c r="Q150" s="291">
        <f t="shared" si="53"/>
        <v>0</v>
      </c>
      <c r="R150" s="291">
        <f t="shared" si="65"/>
        <v>0</v>
      </c>
      <c r="S150" s="357">
        <v>88</v>
      </c>
      <c r="T150" s="292">
        <f t="shared" si="54"/>
        <v>260.7</v>
      </c>
      <c r="U150" s="254">
        <f t="shared" si="66"/>
        <v>2468.27</v>
      </c>
      <c r="V150" s="356">
        <v>1817138285</v>
      </c>
      <c r="W150" s="357">
        <v>16522</v>
      </c>
      <c r="X150" s="264">
        <f t="shared" si="55"/>
        <v>109982.95</v>
      </c>
      <c r="Y150" s="293">
        <f t="shared" si="56"/>
        <v>0.57125999999999999</v>
      </c>
      <c r="Z150" s="357">
        <v>70941</v>
      </c>
      <c r="AA150" s="293">
        <f t="shared" si="57"/>
        <v>0.58875</v>
      </c>
      <c r="AB150" s="293">
        <f t="shared" si="58"/>
        <v>0.42349300000000001</v>
      </c>
      <c r="AC150" s="294">
        <f t="shared" si="59"/>
        <v>0.42349300000000001</v>
      </c>
      <c r="AD150" s="295">
        <f t="shared" si="67"/>
        <v>0</v>
      </c>
      <c r="AE150" s="296">
        <f t="shared" si="68"/>
        <v>0.42349300000000001</v>
      </c>
      <c r="AF150" s="357">
        <v>0</v>
      </c>
      <c r="AG150" s="357">
        <v>0</v>
      </c>
      <c r="AH150" s="254">
        <f t="shared" si="69"/>
        <v>0</v>
      </c>
      <c r="AI150" s="9">
        <f t="shared" si="60"/>
        <v>0</v>
      </c>
      <c r="AJ150" s="9">
        <v>0</v>
      </c>
      <c r="AK150" s="9">
        <f t="shared" si="70"/>
        <v>0</v>
      </c>
      <c r="AL150" s="9">
        <f t="shared" si="71"/>
        <v>0</v>
      </c>
      <c r="AM150" s="9">
        <f t="shared" si="72"/>
        <v>0</v>
      </c>
      <c r="AN150" s="9">
        <f t="shared" si="73"/>
        <v>0</v>
      </c>
      <c r="AO150" s="9">
        <f t="shared" si="61"/>
        <v>12047026</v>
      </c>
      <c r="AP150" s="9">
        <f t="shared" si="74"/>
        <v>12047026</v>
      </c>
      <c r="AQ150" s="9">
        <f t="shared" si="75"/>
        <v>12047026</v>
      </c>
      <c r="AR150" s="291">
        <v>10040987</v>
      </c>
      <c r="AS150" s="9">
        <f t="shared" si="76"/>
        <v>2006039</v>
      </c>
      <c r="AT150" s="297" t="str">
        <f t="shared" si="77"/>
        <v>Yes</v>
      </c>
      <c r="AU150" s="357">
        <v>10636929.7574</v>
      </c>
      <c r="AV150" s="291">
        <f t="shared" si="62"/>
        <v>213843.7574</v>
      </c>
      <c r="AW150" s="291">
        <f t="shared" si="78"/>
        <v>10850773.514800001</v>
      </c>
      <c r="AX150" s="291">
        <f t="shared" si="63"/>
        <v>10850773.514800001</v>
      </c>
      <c r="AY150" s="358">
        <f t="shared" si="79"/>
        <v>213843.75740000047</v>
      </c>
      <c r="AZ150" s="301"/>
      <c r="BA150" s="301"/>
      <c r="BB150" s="302"/>
      <c r="BC150" s="291">
        <f t="shared" si="80"/>
        <v>11064617.272200001</v>
      </c>
      <c r="BD150" s="298">
        <f t="shared" si="95"/>
        <v>11278461.029600002</v>
      </c>
      <c r="BE150" s="298">
        <f t="shared" si="95"/>
        <v>11492304.787000002</v>
      </c>
      <c r="BF150" s="298">
        <f t="shared" si="95"/>
        <v>11706148.544400003</v>
      </c>
      <c r="BG150" s="298">
        <f t="shared" si="96"/>
        <v>12047026</v>
      </c>
      <c r="BH150" s="298">
        <f t="shared" si="96"/>
        <v>12047026</v>
      </c>
      <c r="BI150" s="298">
        <f t="shared" si="83"/>
        <v>12047026</v>
      </c>
      <c r="BK150" s="298">
        <f t="shared" si="84"/>
        <v>11064617.272200001</v>
      </c>
      <c r="BL150" s="298">
        <f t="shared" si="85"/>
        <v>11278461.029600002</v>
      </c>
      <c r="BM150" s="298">
        <f t="shared" si="86"/>
        <v>11492304.787000002</v>
      </c>
      <c r="BN150" s="298">
        <f t="shared" si="87"/>
        <v>11706148.544400003</v>
      </c>
      <c r="BO150" s="298">
        <f t="shared" si="88"/>
        <v>12047026</v>
      </c>
      <c r="BP150" s="298">
        <f t="shared" si="89"/>
        <v>12047026</v>
      </c>
      <c r="BQ150" s="298">
        <f t="shared" si="90"/>
        <v>12047026</v>
      </c>
    </row>
    <row r="151" spans="1:69" ht="15" x14ac:dyDescent="0.2">
      <c r="A151" s="10" t="s">
        <v>8</v>
      </c>
      <c r="B151" s="10"/>
      <c r="C151" s="276"/>
      <c r="D151" s="276"/>
      <c r="E151" s="276"/>
      <c r="F151" s="8">
        <v>1</v>
      </c>
      <c r="G151" s="355">
        <v>163</v>
      </c>
      <c r="H151" s="10">
        <v>125</v>
      </c>
      <c r="I151" s="7" t="s">
        <v>137</v>
      </c>
      <c r="J151" s="287"/>
      <c r="K151" s="356">
        <v>147.22</v>
      </c>
      <c r="L151" s="355"/>
      <c r="M151" s="289"/>
      <c r="N151" s="357">
        <v>50</v>
      </c>
      <c r="O151" s="290">
        <f t="shared" si="52"/>
        <v>0.33962776796630895</v>
      </c>
      <c r="P151" s="290">
        <f t="shared" si="64"/>
        <v>0</v>
      </c>
      <c r="Q151" s="291">
        <f t="shared" si="53"/>
        <v>0</v>
      </c>
      <c r="R151" s="291">
        <f t="shared" si="65"/>
        <v>0</v>
      </c>
      <c r="S151" s="357">
        <v>6</v>
      </c>
      <c r="T151" s="292">
        <f t="shared" si="54"/>
        <v>15</v>
      </c>
      <c r="U151" s="254">
        <f t="shared" si="66"/>
        <v>163.72</v>
      </c>
      <c r="V151" s="356">
        <v>1023813904.33</v>
      </c>
      <c r="W151" s="357">
        <v>2721</v>
      </c>
      <c r="X151" s="264">
        <f t="shared" si="55"/>
        <v>376263.84</v>
      </c>
      <c r="Y151" s="293">
        <f t="shared" si="56"/>
        <v>1.954345</v>
      </c>
      <c r="Z151" s="357">
        <v>78403</v>
      </c>
      <c r="AA151" s="293">
        <f t="shared" si="57"/>
        <v>0.65067799999999998</v>
      </c>
      <c r="AB151" s="293">
        <f t="shared" si="58"/>
        <v>-0.563245</v>
      </c>
      <c r="AC151" s="294">
        <f t="shared" si="59"/>
        <v>0.01</v>
      </c>
      <c r="AD151" s="295">
        <f t="shared" si="67"/>
        <v>0</v>
      </c>
      <c r="AE151" s="296">
        <f t="shared" si="68"/>
        <v>0.01</v>
      </c>
      <c r="AF151" s="357">
        <v>43</v>
      </c>
      <c r="AG151" s="357">
        <v>4</v>
      </c>
      <c r="AH151" s="254">
        <f t="shared" si="69"/>
        <v>400</v>
      </c>
      <c r="AI151" s="9">
        <f t="shared" si="60"/>
        <v>17200</v>
      </c>
      <c r="AJ151" s="9">
        <v>0</v>
      </c>
      <c r="AK151" s="9">
        <f t="shared" si="70"/>
        <v>0</v>
      </c>
      <c r="AL151" s="9">
        <f t="shared" si="71"/>
        <v>0</v>
      </c>
      <c r="AM151" s="9">
        <f t="shared" si="72"/>
        <v>0</v>
      </c>
      <c r="AN151" s="9">
        <f t="shared" si="73"/>
        <v>17200</v>
      </c>
      <c r="AO151" s="9">
        <f t="shared" si="61"/>
        <v>18869</v>
      </c>
      <c r="AP151" s="9">
        <f t="shared" si="74"/>
        <v>36069</v>
      </c>
      <c r="AQ151" s="9">
        <f t="shared" si="75"/>
        <v>36069</v>
      </c>
      <c r="AR151" s="291">
        <v>9960</v>
      </c>
      <c r="AS151" s="9">
        <f t="shared" si="76"/>
        <v>26109</v>
      </c>
      <c r="AT151" s="297" t="str">
        <f t="shared" si="77"/>
        <v>Yes</v>
      </c>
      <c r="AU151" s="357">
        <v>16220.2194</v>
      </c>
      <c r="AV151" s="291">
        <f t="shared" si="62"/>
        <v>2783.2194</v>
      </c>
      <c r="AW151" s="291">
        <f t="shared" si="78"/>
        <v>19003.4388</v>
      </c>
      <c r="AX151" s="291">
        <f t="shared" si="63"/>
        <v>19003.4388</v>
      </c>
      <c r="AY151" s="358">
        <f t="shared" si="79"/>
        <v>2783.2194</v>
      </c>
      <c r="AZ151" s="301"/>
      <c r="BA151" s="301"/>
      <c r="BB151" s="302"/>
      <c r="BC151" s="291">
        <f t="shared" si="80"/>
        <v>21786.658199999998</v>
      </c>
      <c r="BD151" s="298">
        <f t="shared" si="95"/>
        <v>24569.8776</v>
      </c>
      <c r="BE151" s="298">
        <f t="shared" si="95"/>
        <v>27353.097000000002</v>
      </c>
      <c r="BF151" s="298">
        <f t="shared" si="95"/>
        <v>30136.316400000003</v>
      </c>
      <c r="BG151" s="298">
        <f t="shared" si="96"/>
        <v>36069</v>
      </c>
      <c r="BH151" s="298">
        <f t="shared" si="96"/>
        <v>36069</v>
      </c>
      <c r="BI151" s="298">
        <f t="shared" si="83"/>
        <v>36069</v>
      </c>
      <c r="BK151" s="298">
        <f t="shared" si="84"/>
        <v>21786.658199999998</v>
      </c>
      <c r="BL151" s="298">
        <f t="shared" si="85"/>
        <v>24569.8776</v>
      </c>
      <c r="BM151" s="298">
        <f t="shared" si="86"/>
        <v>27353.097000000002</v>
      </c>
      <c r="BN151" s="298">
        <f t="shared" si="87"/>
        <v>30136.316400000003</v>
      </c>
      <c r="BO151" s="298">
        <f t="shared" si="88"/>
        <v>36069</v>
      </c>
      <c r="BP151" s="298">
        <f t="shared" si="89"/>
        <v>36069</v>
      </c>
      <c r="BQ151" s="298">
        <f t="shared" si="90"/>
        <v>36069</v>
      </c>
    </row>
    <row r="152" spans="1:69" ht="15" x14ac:dyDescent="0.2">
      <c r="A152" s="10" t="s">
        <v>14</v>
      </c>
      <c r="B152" s="10"/>
      <c r="C152" s="276"/>
      <c r="D152" s="276"/>
      <c r="E152" s="276"/>
      <c r="F152" s="8">
        <v>4</v>
      </c>
      <c r="G152" s="355">
        <v>90</v>
      </c>
      <c r="H152" s="10">
        <v>126</v>
      </c>
      <c r="I152" s="7" t="s">
        <v>138</v>
      </c>
      <c r="J152" s="287"/>
      <c r="K152" s="356">
        <v>4571.28</v>
      </c>
      <c r="L152" s="355"/>
      <c r="M152" s="289"/>
      <c r="N152" s="357">
        <v>1443</v>
      </c>
      <c r="O152" s="290">
        <f t="shared" si="52"/>
        <v>0.31566650916154776</v>
      </c>
      <c r="P152" s="290">
        <f t="shared" si="64"/>
        <v>0</v>
      </c>
      <c r="Q152" s="291">
        <f t="shared" si="53"/>
        <v>0</v>
      </c>
      <c r="R152" s="291">
        <f t="shared" si="65"/>
        <v>0</v>
      </c>
      <c r="S152" s="357">
        <v>269</v>
      </c>
      <c r="T152" s="292">
        <f t="shared" si="54"/>
        <v>432.9</v>
      </c>
      <c r="U152" s="254">
        <f t="shared" si="66"/>
        <v>5071.4299999999994</v>
      </c>
      <c r="V152" s="356">
        <v>7135462918</v>
      </c>
      <c r="W152" s="357">
        <v>41155</v>
      </c>
      <c r="X152" s="264">
        <f t="shared" si="55"/>
        <v>173380.22</v>
      </c>
      <c r="Y152" s="293">
        <f t="shared" si="56"/>
        <v>0.90055099999999999</v>
      </c>
      <c r="Z152" s="357">
        <v>94446</v>
      </c>
      <c r="AA152" s="293">
        <f t="shared" si="57"/>
        <v>0.78382200000000002</v>
      </c>
      <c r="AB152" s="293">
        <f t="shared" si="58"/>
        <v>0.134468</v>
      </c>
      <c r="AC152" s="294">
        <f t="shared" si="59"/>
        <v>0.134468</v>
      </c>
      <c r="AD152" s="295">
        <f t="shared" si="67"/>
        <v>0</v>
      </c>
      <c r="AE152" s="296">
        <f t="shared" si="68"/>
        <v>0.134468</v>
      </c>
      <c r="AF152" s="357">
        <v>0</v>
      </c>
      <c r="AG152" s="357">
        <v>0</v>
      </c>
      <c r="AH152" s="254">
        <f t="shared" si="69"/>
        <v>0</v>
      </c>
      <c r="AI152" s="9">
        <f t="shared" si="60"/>
        <v>0</v>
      </c>
      <c r="AJ152" s="9">
        <v>0</v>
      </c>
      <c r="AK152" s="9">
        <f t="shared" si="70"/>
        <v>0</v>
      </c>
      <c r="AL152" s="9">
        <f t="shared" si="71"/>
        <v>0</v>
      </c>
      <c r="AM152" s="9">
        <f t="shared" si="72"/>
        <v>0</v>
      </c>
      <c r="AN152" s="9">
        <f t="shared" si="73"/>
        <v>0</v>
      </c>
      <c r="AO152" s="9">
        <f t="shared" si="61"/>
        <v>7859417</v>
      </c>
      <c r="AP152" s="9">
        <f t="shared" si="74"/>
        <v>7859417</v>
      </c>
      <c r="AQ152" s="9">
        <f t="shared" si="75"/>
        <v>7859417</v>
      </c>
      <c r="AR152" s="291">
        <v>5893771</v>
      </c>
      <c r="AS152" s="9">
        <f t="shared" si="76"/>
        <v>1965646</v>
      </c>
      <c r="AT152" s="297" t="str">
        <f t="shared" si="77"/>
        <v>Yes</v>
      </c>
      <c r="AU152" s="357">
        <v>6851369.8635999998</v>
      </c>
      <c r="AV152" s="291">
        <f t="shared" si="62"/>
        <v>209537.86360000001</v>
      </c>
      <c r="AW152" s="291">
        <f t="shared" si="78"/>
        <v>7060907.7271999996</v>
      </c>
      <c r="AX152" s="291">
        <f t="shared" si="63"/>
        <v>7060907.7271999996</v>
      </c>
      <c r="AY152" s="358">
        <f t="shared" si="79"/>
        <v>209537.86359999981</v>
      </c>
      <c r="AZ152" s="301"/>
      <c r="BA152" s="301"/>
      <c r="BB152" s="302"/>
      <c r="BC152" s="291">
        <f t="shared" si="80"/>
        <v>7270445.5907999994</v>
      </c>
      <c r="BD152" s="298">
        <f t="shared" si="95"/>
        <v>7479983.4543999992</v>
      </c>
      <c r="BE152" s="298">
        <f t="shared" si="95"/>
        <v>7689521.317999999</v>
      </c>
      <c r="BF152" s="298">
        <f t="shared" si="95"/>
        <v>7899059.1815999988</v>
      </c>
      <c r="BG152" s="298">
        <f t="shared" si="96"/>
        <v>7859417</v>
      </c>
      <c r="BH152" s="298">
        <f t="shared" si="96"/>
        <v>7859417</v>
      </c>
      <c r="BI152" s="298">
        <f t="shared" si="83"/>
        <v>7859417</v>
      </c>
      <c r="BK152" s="298">
        <f t="shared" si="84"/>
        <v>7270445.5907999994</v>
      </c>
      <c r="BL152" s="298">
        <f t="shared" si="85"/>
        <v>7479983.4543999992</v>
      </c>
      <c r="BM152" s="298">
        <f t="shared" si="86"/>
        <v>7689521.317999999</v>
      </c>
      <c r="BN152" s="298">
        <f t="shared" si="87"/>
        <v>7899059.1815999988</v>
      </c>
      <c r="BO152" s="298">
        <f t="shared" si="88"/>
        <v>7859417</v>
      </c>
      <c r="BP152" s="298">
        <f t="shared" si="89"/>
        <v>7859417</v>
      </c>
      <c r="BQ152" s="298">
        <f t="shared" si="90"/>
        <v>7859417</v>
      </c>
    </row>
    <row r="153" spans="1:69" ht="15" x14ac:dyDescent="0.2">
      <c r="A153" s="10" t="s">
        <v>4</v>
      </c>
      <c r="B153" s="10"/>
      <c r="C153" s="276"/>
      <c r="D153" s="276"/>
      <c r="E153" s="276"/>
      <c r="F153" s="8">
        <v>2</v>
      </c>
      <c r="G153" s="355">
        <v>156</v>
      </c>
      <c r="H153" s="10">
        <v>127</v>
      </c>
      <c r="I153" s="7" t="s">
        <v>139</v>
      </c>
      <c r="J153" s="287"/>
      <c r="K153" s="356">
        <v>367.86</v>
      </c>
      <c r="L153" s="355"/>
      <c r="M153" s="289"/>
      <c r="N153" s="357">
        <v>24</v>
      </c>
      <c r="O153" s="290">
        <f t="shared" si="52"/>
        <v>6.5242211710976994E-2</v>
      </c>
      <c r="P153" s="290">
        <f t="shared" si="64"/>
        <v>0</v>
      </c>
      <c r="Q153" s="291">
        <f t="shared" si="53"/>
        <v>0</v>
      </c>
      <c r="R153" s="291">
        <f t="shared" si="65"/>
        <v>0</v>
      </c>
      <c r="S153" s="357">
        <v>1</v>
      </c>
      <c r="T153" s="292">
        <f t="shared" si="54"/>
        <v>7.2</v>
      </c>
      <c r="U153" s="254">
        <f t="shared" si="66"/>
        <v>375.31</v>
      </c>
      <c r="V153" s="356">
        <v>1006490231.67</v>
      </c>
      <c r="W153" s="357">
        <v>3641</v>
      </c>
      <c r="X153" s="264">
        <f t="shared" si="55"/>
        <v>276432.36</v>
      </c>
      <c r="Y153" s="293">
        <f t="shared" si="56"/>
        <v>1.4358120000000001</v>
      </c>
      <c r="Z153" s="357">
        <v>113506</v>
      </c>
      <c r="AA153" s="293">
        <f t="shared" si="57"/>
        <v>0.94200300000000003</v>
      </c>
      <c r="AB153" s="293">
        <f t="shared" si="58"/>
        <v>-0.28766900000000001</v>
      </c>
      <c r="AC153" s="294">
        <f t="shared" si="59"/>
        <v>0.01</v>
      </c>
      <c r="AD153" s="295">
        <f t="shared" si="67"/>
        <v>0</v>
      </c>
      <c r="AE153" s="296">
        <f t="shared" si="68"/>
        <v>0.01</v>
      </c>
      <c r="AF153" s="357">
        <v>0</v>
      </c>
      <c r="AG153" s="357">
        <v>0</v>
      </c>
      <c r="AH153" s="254">
        <f t="shared" si="69"/>
        <v>0</v>
      </c>
      <c r="AI153" s="9">
        <f t="shared" si="60"/>
        <v>0</v>
      </c>
      <c r="AJ153" s="9">
        <v>0</v>
      </c>
      <c r="AK153" s="9">
        <f t="shared" si="70"/>
        <v>0</v>
      </c>
      <c r="AL153" s="9">
        <f t="shared" si="71"/>
        <v>0</v>
      </c>
      <c r="AM153" s="9">
        <f t="shared" si="72"/>
        <v>0</v>
      </c>
      <c r="AN153" s="9">
        <f t="shared" si="73"/>
        <v>0</v>
      </c>
      <c r="AO153" s="9">
        <f t="shared" si="61"/>
        <v>43254</v>
      </c>
      <c r="AP153" s="9">
        <f t="shared" si="74"/>
        <v>43254</v>
      </c>
      <c r="AQ153" s="9">
        <f t="shared" si="75"/>
        <v>43254</v>
      </c>
      <c r="AR153" s="291">
        <v>46611</v>
      </c>
      <c r="AS153" s="9">
        <f t="shared" si="76"/>
        <v>3357</v>
      </c>
      <c r="AT153" s="297" t="str">
        <f t="shared" si="77"/>
        <v>No</v>
      </c>
      <c r="AU153" s="357">
        <v>46995</v>
      </c>
      <c r="AV153" s="291">
        <f t="shared" si="62"/>
        <v>279.63810000000001</v>
      </c>
      <c r="AW153" s="291">
        <f t="shared" si="78"/>
        <v>46995</v>
      </c>
      <c r="AX153" s="291">
        <f t="shared" si="63"/>
        <v>46995</v>
      </c>
      <c r="AY153" s="358">
        <f t="shared" si="79"/>
        <v>0</v>
      </c>
      <c r="AZ153" s="301"/>
      <c r="BA153" s="301"/>
      <c r="BB153" s="302"/>
      <c r="BC153" s="291">
        <f t="shared" si="80"/>
        <v>46715.361900000004</v>
      </c>
      <c r="BD153" s="298">
        <f t="shared" si="95"/>
        <v>46435.723800000007</v>
      </c>
      <c r="BE153" s="298">
        <f t="shared" si="95"/>
        <v>46156.085700000011</v>
      </c>
      <c r="BF153" s="298">
        <f t="shared" si="95"/>
        <v>45876.447600000014</v>
      </c>
      <c r="BG153" s="298">
        <f t="shared" si="96"/>
        <v>45596.809500000018</v>
      </c>
      <c r="BH153" s="298">
        <f t="shared" si="96"/>
        <v>45317.171400000021</v>
      </c>
      <c r="BI153" s="298">
        <f t="shared" si="83"/>
        <v>43254</v>
      </c>
      <c r="BK153" s="298">
        <f t="shared" si="84"/>
        <v>46715.361900000004</v>
      </c>
      <c r="BL153" s="298">
        <f t="shared" si="85"/>
        <v>46435.723800000007</v>
      </c>
      <c r="BM153" s="298">
        <f t="shared" si="86"/>
        <v>46156.085700000011</v>
      </c>
      <c r="BN153" s="298">
        <f t="shared" si="87"/>
        <v>45876.447600000014</v>
      </c>
      <c r="BO153" s="298">
        <f t="shared" si="88"/>
        <v>45596.809500000018</v>
      </c>
      <c r="BP153" s="298">
        <f t="shared" si="89"/>
        <v>45317.171400000021</v>
      </c>
      <c r="BQ153" s="298">
        <f t="shared" si="90"/>
        <v>43254</v>
      </c>
    </row>
    <row r="154" spans="1:69" ht="15" x14ac:dyDescent="0.2">
      <c r="A154" s="10" t="s">
        <v>10</v>
      </c>
      <c r="B154" s="10"/>
      <c r="C154" s="276"/>
      <c r="D154" s="276"/>
      <c r="E154" s="276"/>
      <c r="F154" s="8">
        <v>3</v>
      </c>
      <c r="G154" s="355">
        <v>137</v>
      </c>
      <c r="H154" s="10">
        <v>128</v>
      </c>
      <c r="I154" s="7" t="s">
        <v>140</v>
      </c>
      <c r="J154" s="287"/>
      <c r="K154" s="356">
        <v>4021.22</v>
      </c>
      <c r="L154" s="355"/>
      <c r="M154" s="289"/>
      <c r="N154" s="357">
        <v>526</v>
      </c>
      <c r="O154" s="290">
        <f t="shared" si="52"/>
        <v>0.13080607377860451</v>
      </c>
      <c r="P154" s="290">
        <f t="shared" si="64"/>
        <v>0</v>
      </c>
      <c r="Q154" s="291">
        <f t="shared" si="53"/>
        <v>0</v>
      </c>
      <c r="R154" s="291">
        <f t="shared" si="65"/>
        <v>0</v>
      </c>
      <c r="S154" s="357">
        <v>63</v>
      </c>
      <c r="T154" s="292">
        <f t="shared" si="54"/>
        <v>157.80000000000001</v>
      </c>
      <c r="U154" s="254">
        <f t="shared" si="66"/>
        <v>4194.7699999999995</v>
      </c>
      <c r="V154" s="356">
        <v>3607618431.6700001</v>
      </c>
      <c r="W154" s="357">
        <v>24519</v>
      </c>
      <c r="X154" s="264">
        <f t="shared" si="55"/>
        <v>147135.63</v>
      </c>
      <c r="Y154" s="293">
        <f t="shared" si="56"/>
        <v>0.764235</v>
      </c>
      <c r="Z154" s="357">
        <v>119588</v>
      </c>
      <c r="AA154" s="293">
        <f t="shared" si="57"/>
        <v>0.992479</v>
      </c>
      <c r="AB154" s="293">
        <f t="shared" si="58"/>
        <v>0.167292</v>
      </c>
      <c r="AC154" s="294">
        <f t="shared" si="59"/>
        <v>0.167292</v>
      </c>
      <c r="AD154" s="295">
        <f t="shared" si="67"/>
        <v>0</v>
      </c>
      <c r="AE154" s="296">
        <f t="shared" si="68"/>
        <v>0.167292</v>
      </c>
      <c r="AF154" s="357">
        <v>0</v>
      </c>
      <c r="AG154" s="357">
        <v>0</v>
      </c>
      <c r="AH154" s="254">
        <f t="shared" si="69"/>
        <v>0</v>
      </c>
      <c r="AI154" s="9">
        <f t="shared" si="60"/>
        <v>0</v>
      </c>
      <c r="AJ154" s="9">
        <v>0</v>
      </c>
      <c r="AK154" s="9">
        <f t="shared" si="70"/>
        <v>0</v>
      </c>
      <c r="AL154" s="9">
        <f t="shared" si="71"/>
        <v>0</v>
      </c>
      <c r="AM154" s="9">
        <f t="shared" si="72"/>
        <v>0</v>
      </c>
      <c r="AN154" s="9">
        <f t="shared" si="73"/>
        <v>0</v>
      </c>
      <c r="AO154" s="9">
        <f t="shared" si="61"/>
        <v>8087686</v>
      </c>
      <c r="AP154" s="9">
        <f t="shared" si="74"/>
        <v>8087686</v>
      </c>
      <c r="AQ154" s="9">
        <f t="shared" si="75"/>
        <v>8087686</v>
      </c>
      <c r="AR154" s="291">
        <v>6087799</v>
      </c>
      <c r="AS154" s="9">
        <f t="shared" si="76"/>
        <v>1999887</v>
      </c>
      <c r="AT154" s="297" t="str">
        <f t="shared" si="77"/>
        <v>Yes</v>
      </c>
      <c r="AU154" s="357">
        <v>6530197.9541999996</v>
      </c>
      <c r="AV154" s="291">
        <f t="shared" si="62"/>
        <v>213187.95420000001</v>
      </c>
      <c r="AW154" s="291">
        <f t="shared" si="78"/>
        <v>6743385.9083999991</v>
      </c>
      <c r="AX154" s="291">
        <f t="shared" si="63"/>
        <v>6743385.9083999991</v>
      </c>
      <c r="AY154" s="358">
        <f t="shared" si="79"/>
        <v>213187.95419999957</v>
      </c>
      <c r="AZ154" s="301"/>
      <c r="BA154" s="301"/>
      <c r="BB154" s="302"/>
      <c r="BC154" s="291">
        <f t="shared" si="80"/>
        <v>6956573.8625999987</v>
      </c>
      <c r="BD154" s="298">
        <f t="shared" si="95"/>
        <v>7169761.8167999983</v>
      </c>
      <c r="BE154" s="298">
        <f t="shared" si="95"/>
        <v>7382949.7709999979</v>
      </c>
      <c r="BF154" s="298">
        <f t="shared" si="95"/>
        <v>7596137.7251999974</v>
      </c>
      <c r="BG154" s="298">
        <f t="shared" si="96"/>
        <v>8087686</v>
      </c>
      <c r="BH154" s="298">
        <f t="shared" si="96"/>
        <v>8087686</v>
      </c>
      <c r="BI154" s="298">
        <f t="shared" si="83"/>
        <v>8087686</v>
      </c>
      <c r="BK154" s="298">
        <f t="shared" si="84"/>
        <v>6956573.8625999987</v>
      </c>
      <c r="BL154" s="298">
        <f t="shared" si="85"/>
        <v>7169761.8167999983</v>
      </c>
      <c r="BM154" s="298">
        <f t="shared" si="86"/>
        <v>7382949.7709999979</v>
      </c>
      <c r="BN154" s="298">
        <f t="shared" si="87"/>
        <v>7596137.7251999974</v>
      </c>
      <c r="BO154" s="298">
        <f t="shared" si="88"/>
        <v>8087686</v>
      </c>
      <c r="BP154" s="298">
        <f t="shared" si="89"/>
        <v>8087686</v>
      </c>
      <c r="BQ154" s="298">
        <f t="shared" si="90"/>
        <v>8087686</v>
      </c>
    </row>
    <row r="155" spans="1:69" ht="15" x14ac:dyDescent="0.2">
      <c r="A155" s="10" t="s">
        <v>4</v>
      </c>
      <c r="B155" s="10"/>
      <c r="C155" s="276"/>
      <c r="D155" s="276"/>
      <c r="E155" s="276"/>
      <c r="F155" s="8">
        <v>6</v>
      </c>
      <c r="G155" s="355">
        <v>85</v>
      </c>
      <c r="H155" s="10">
        <v>129</v>
      </c>
      <c r="I155" s="7" t="s">
        <v>141</v>
      </c>
      <c r="J155" s="287"/>
      <c r="K155" s="356">
        <v>1309.1300000000001</v>
      </c>
      <c r="L155" s="355"/>
      <c r="M155" s="289"/>
      <c r="N155" s="357">
        <v>61</v>
      </c>
      <c r="O155" s="290">
        <f t="shared" ref="O155:O195" si="97">N155/K155</f>
        <v>4.6595830818940823E-2</v>
      </c>
      <c r="P155" s="290">
        <f t="shared" si="64"/>
        <v>0</v>
      </c>
      <c r="Q155" s="291">
        <f t="shared" ref="Q155:Q195" si="98">P155*K155</f>
        <v>0</v>
      </c>
      <c r="R155" s="291">
        <f t="shared" si="65"/>
        <v>0</v>
      </c>
      <c r="S155" s="357">
        <v>5</v>
      </c>
      <c r="T155" s="292">
        <f t="shared" ref="T155:T195" si="99">ROUND(N155*$T$2,2)</f>
        <v>18.3</v>
      </c>
      <c r="U155" s="254">
        <f t="shared" si="66"/>
        <v>1328.68</v>
      </c>
      <c r="V155" s="356">
        <v>1303644831.6700001</v>
      </c>
      <c r="W155" s="357">
        <v>11137</v>
      </c>
      <c r="X155" s="264">
        <f t="shared" ref="X155:X195" si="100">ROUND(V155/W155,2)</f>
        <v>117055.3</v>
      </c>
      <c r="Y155" s="293">
        <f t="shared" ref="Y155:Y195" si="101">(ROUND(X155/$Y$21,6))</f>
        <v>0.60799499999999995</v>
      </c>
      <c r="Z155" s="357">
        <v>105164</v>
      </c>
      <c r="AA155" s="293">
        <f t="shared" ref="AA155:AA195" si="102">(ROUND(Z155/$AA$21,6))</f>
        <v>0.87277199999999999</v>
      </c>
      <c r="AB155" s="293">
        <f t="shared" ref="AB155:AB195" si="103">ROUND(1-((Y155*$T$4)+(AA155*$T$5)),6)</f>
        <v>0.31257200000000002</v>
      </c>
      <c r="AC155" s="294">
        <f t="shared" ref="AC155:AC195" si="104">IF(C155=1,MAX($T$7,AB155),MAX($T$6,AB155))</f>
        <v>0.31257200000000002</v>
      </c>
      <c r="AD155" s="295">
        <f t="shared" si="67"/>
        <v>0</v>
      </c>
      <c r="AE155" s="296">
        <f t="shared" si="68"/>
        <v>0.31257200000000002</v>
      </c>
      <c r="AF155" s="357">
        <v>0</v>
      </c>
      <c r="AG155" s="357">
        <v>0</v>
      </c>
      <c r="AH155" s="254">
        <f t="shared" si="69"/>
        <v>0</v>
      </c>
      <c r="AI155" s="9">
        <f t="shared" ref="AI155:AI195" si="105">ROUND(AF155*AH155,0)</f>
        <v>0</v>
      </c>
      <c r="AJ155" s="9">
        <v>0</v>
      </c>
      <c r="AK155" s="9">
        <f t="shared" si="70"/>
        <v>0</v>
      </c>
      <c r="AL155" s="9">
        <f t="shared" si="71"/>
        <v>0</v>
      </c>
      <c r="AM155" s="9">
        <f t="shared" si="72"/>
        <v>0</v>
      </c>
      <c r="AN155" s="9">
        <f t="shared" si="73"/>
        <v>0</v>
      </c>
      <c r="AO155" s="9">
        <f t="shared" ref="AO155:AO195" si="106">ROUND(U155*AE155*$AO$21,0)</f>
        <v>4786427</v>
      </c>
      <c r="AP155" s="9">
        <f t="shared" si="74"/>
        <v>4786427</v>
      </c>
      <c r="AQ155" s="9">
        <f t="shared" si="75"/>
        <v>4786427</v>
      </c>
      <c r="AR155" s="291">
        <v>5929453</v>
      </c>
      <c r="AS155" s="9">
        <f t="shared" si="76"/>
        <v>1143026</v>
      </c>
      <c r="AT155" s="297" t="str">
        <f t="shared" si="77"/>
        <v>No</v>
      </c>
      <c r="AU155" s="357">
        <v>5692630</v>
      </c>
      <c r="AV155" s="291">
        <f t="shared" ref="AV155:AV195" si="107">IF(AT155="Yes",+AS155*$L$9,+AS155*$L$10)</f>
        <v>95214.065799999997</v>
      </c>
      <c r="AW155" s="291">
        <f t="shared" si="78"/>
        <v>5692630</v>
      </c>
      <c r="AX155" s="291">
        <f t="shared" ref="AX155:AX195" si="108">IF(C155=1,MAX(AW155,AR155),AW155)</f>
        <v>5692630</v>
      </c>
      <c r="AY155" s="358">
        <f t="shared" si="79"/>
        <v>0</v>
      </c>
      <c r="AZ155" s="301"/>
      <c r="BA155" s="301"/>
      <c r="BB155" s="302"/>
      <c r="BC155" s="291">
        <f t="shared" si="80"/>
        <v>5597415.9342</v>
      </c>
      <c r="BD155" s="298">
        <f t="shared" si="95"/>
        <v>5502201.8684</v>
      </c>
      <c r="BE155" s="298">
        <f t="shared" si="95"/>
        <v>5406987.8026000001</v>
      </c>
      <c r="BF155" s="298">
        <f t="shared" si="95"/>
        <v>5311773.7368000001</v>
      </c>
      <c r="BG155" s="298">
        <f t="shared" si="96"/>
        <v>5216559.6710000001</v>
      </c>
      <c r="BH155" s="298">
        <f t="shared" si="96"/>
        <v>5121345.6052000001</v>
      </c>
      <c r="BI155" s="298">
        <f t="shared" si="83"/>
        <v>4786427</v>
      </c>
      <c r="BK155" s="298">
        <f t="shared" si="84"/>
        <v>5597415.9342</v>
      </c>
      <c r="BL155" s="298">
        <f t="shared" si="85"/>
        <v>5502201.8684</v>
      </c>
      <c r="BM155" s="298">
        <f t="shared" si="86"/>
        <v>5406987.8026000001</v>
      </c>
      <c r="BN155" s="298">
        <f t="shared" si="87"/>
        <v>5311773.7368000001</v>
      </c>
      <c r="BO155" s="298">
        <f t="shared" si="88"/>
        <v>5216559.6710000001</v>
      </c>
      <c r="BP155" s="298">
        <f t="shared" si="89"/>
        <v>5121345.6052000001</v>
      </c>
      <c r="BQ155" s="298">
        <f t="shared" si="90"/>
        <v>4786427</v>
      </c>
    </row>
    <row r="156" spans="1:69" ht="15" x14ac:dyDescent="0.2">
      <c r="A156" s="10" t="s">
        <v>10</v>
      </c>
      <c r="B156" s="10"/>
      <c r="C156" s="276"/>
      <c r="D156" s="276"/>
      <c r="E156" s="276"/>
      <c r="F156" s="8">
        <v>5</v>
      </c>
      <c r="G156" s="355">
        <v>98</v>
      </c>
      <c r="H156" s="10">
        <v>130</v>
      </c>
      <c r="I156" s="7" t="s">
        <v>142</v>
      </c>
      <c r="J156" s="287"/>
      <c r="K156" s="356">
        <v>2344.64</v>
      </c>
      <c r="L156" s="355"/>
      <c r="M156" s="289"/>
      <c r="N156" s="357">
        <v>290</v>
      </c>
      <c r="O156" s="290">
        <f t="shared" si="97"/>
        <v>0.1236863654974751</v>
      </c>
      <c r="P156" s="290">
        <f t="shared" ref="P156:P195" si="109">IF(O156&gt;0.6,+O156-0.6,0)</f>
        <v>0</v>
      </c>
      <c r="Q156" s="291">
        <f t="shared" si="98"/>
        <v>0</v>
      </c>
      <c r="R156" s="291">
        <f t="shared" ref="R156:R195" si="110">Q156*0.15</f>
        <v>0</v>
      </c>
      <c r="S156" s="357">
        <v>20</v>
      </c>
      <c r="T156" s="292">
        <f t="shared" si="99"/>
        <v>87</v>
      </c>
      <c r="U156" s="254">
        <f t="shared" ref="U156:U195" si="111">K156+T156+0.25*S156+0.15*Q156</f>
        <v>2436.64</v>
      </c>
      <c r="V156" s="356">
        <v>3166366217</v>
      </c>
      <c r="W156" s="357">
        <v>19754</v>
      </c>
      <c r="X156" s="264">
        <f t="shared" si="100"/>
        <v>160289.88</v>
      </c>
      <c r="Y156" s="293">
        <f t="shared" si="101"/>
        <v>0.83255900000000005</v>
      </c>
      <c r="Z156" s="357">
        <v>94176</v>
      </c>
      <c r="AA156" s="293">
        <f t="shared" si="102"/>
        <v>0.78158099999999997</v>
      </c>
      <c r="AB156" s="293">
        <f t="shared" si="103"/>
        <v>0.18273400000000001</v>
      </c>
      <c r="AC156" s="294">
        <f t="shared" si="104"/>
        <v>0.18273400000000001</v>
      </c>
      <c r="AD156" s="295">
        <f t="shared" ref="AD156:AD195" si="112">IF(G156&gt;=1,IF(G156&lt;=5,0.06,IF(G156&lt;=10,0.05,IF(G156&lt;=15,0.04,IF(G156&lt;=19,0.03,0)))),0)</f>
        <v>0</v>
      </c>
      <c r="AE156" s="296">
        <f t="shared" ref="AE156:AE195" si="113">+AD156+AC156</f>
        <v>0.18273400000000001</v>
      </c>
      <c r="AF156" s="357">
        <v>2359</v>
      </c>
      <c r="AG156" s="357">
        <v>13</v>
      </c>
      <c r="AH156" s="254">
        <f t="shared" ref="AH156:AH195" si="114">ROUND(AG156*100,2)</f>
        <v>1300</v>
      </c>
      <c r="AI156" s="9">
        <f t="shared" si="105"/>
        <v>3066700</v>
      </c>
      <c r="AJ156" s="9">
        <v>0</v>
      </c>
      <c r="AK156" s="9">
        <f t="shared" ref="AK156:AK195" si="115">IF(AJ156&gt;0,4,0)</f>
        <v>0</v>
      </c>
      <c r="AL156" s="9">
        <f t="shared" ref="AL156:AL195" si="116">ROUND(AK156*100,2)</f>
        <v>0</v>
      </c>
      <c r="AM156" s="9">
        <f t="shared" ref="AM156:AM195" si="117">ROUND(AJ156*AL156,0)</f>
        <v>0</v>
      </c>
      <c r="AN156" s="9">
        <f t="shared" ref="AN156:AN195" si="118">AI156+AM156</f>
        <v>3066700</v>
      </c>
      <c r="AO156" s="9">
        <f t="shared" si="106"/>
        <v>5131587</v>
      </c>
      <c r="AP156" s="9">
        <f t="shared" ref="AP156:AP195" si="119">IF(AO156=0, 0,AN156+AO156)</f>
        <v>8198287</v>
      </c>
      <c r="AQ156" s="9">
        <f t="shared" ref="AQ156:AQ195" si="120">IF(AND(C156=1,AP156&lt;AR156),AR156,AP156)</f>
        <v>8198287</v>
      </c>
      <c r="AR156" s="291">
        <v>3458266</v>
      </c>
      <c r="AS156" s="9">
        <f t="shared" ref="AS156:AS195" si="121">ABS(SUM(AR156,-AP156))</f>
        <v>4740021</v>
      </c>
      <c r="AT156" s="297" t="str">
        <f t="shared" ref="AT156:AT195" si="122">IF(AP156&gt;AR156,"Yes","No")</f>
        <v>Yes</v>
      </c>
      <c r="AU156" s="357">
        <v>4290927.2385999998</v>
      </c>
      <c r="AV156" s="291">
        <f t="shared" si="107"/>
        <v>505286.23859999998</v>
      </c>
      <c r="AW156" s="291">
        <f t="shared" ref="AW156:AW195" si="123">IF(AT156="Yes",+AU156+AV156,+AU156)</f>
        <v>4796213.4771999996</v>
      </c>
      <c r="AX156" s="291">
        <f t="shared" si="108"/>
        <v>4796213.4771999996</v>
      </c>
      <c r="AY156" s="358">
        <f t="shared" ref="AY156:AY195" si="124">AX156-AU156</f>
        <v>505286.23859999981</v>
      </c>
      <c r="AZ156" s="301"/>
      <c r="BA156" s="301"/>
      <c r="BB156" s="302"/>
      <c r="BC156" s="291">
        <f t="shared" ref="BC156:BC195" si="125">IF(AT156="Yes",AX156+AV156,AX156-AV156)</f>
        <v>5301499.7157999994</v>
      </c>
      <c r="BD156" s="298">
        <f t="shared" ref="BD156:BF171" si="126">IF($AT156="Yes",BC156+$AV156,BC156-$AV156)</f>
        <v>5806785.9543999992</v>
      </c>
      <c r="BE156" s="298">
        <f t="shared" si="126"/>
        <v>6312072.192999999</v>
      </c>
      <c r="BF156" s="298">
        <f t="shared" si="126"/>
        <v>6817358.4315999988</v>
      </c>
      <c r="BG156" s="298">
        <f t="shared" ref="BG156:BH171" si="127">IF($AT156="Yes",$AP156,BF156-$AV156)</f>
        <v>8198287</v>
      </c>
      <c r="BH156" s="298">
        <f t="shared" si="127"/>
        <v>8198287</v>
      </c>
      <c r="BI156" s="298">
        <f t="shared" ref="BI156:BI195" si="128">AP156</f>
        <v>8198287</v>
      </c>
      <c r="BK156" s="298">
        <f t="shared" ref="BK156:BK195" si="129">IF(C156=1,MAX(BC156,$AR156),BC156)</f>
        <v>5301499.7157999994</v>
      </c>
      <c r="BL156" s="298">
        <f t="shared" ref="BL156:BL195" si="130">IF($C156=1,MAX(BD156,$AR156),BD156)</f>
        <v>5806785.9543999992</v>
      </c>
      <c r="BM156" s="298">
        <f t="shared" ref="BM156:BM195" si="131">IF($C156=1,MAX(BE156,$AR156),BE156)</f>
        <v>6312072.192999999</v>
      </c>
      <c r="BN156" s="298">
        <f t="shared" ref="BN156:BN195" si="132">IF($C156=1,MAX(BF156,$AR156),BF156)</f>
        <v>6817358.4315999988</v>
      </c>
      <c r="BO156" s="298">
        <f t="shared" ref="BO156:BO195" si="133">IF($C156=1,MAX(BG156,$AR156),BG156)</f>
        <v>8198287</v>
      </c>
      <c r="BP156" s="298">
        <f t="shared" ref="BP156:BP195" si="134">IF($C156=1,MAX(BH156,$AR156),BH156)</f>
        <v>8198287</v>
      </c>
      <c r="BQ156" s="298">
        <f t="shared" ref="BQ156:BQ195" si="135">AQ156</f>
        <v>8198287</v>
      </c>
    </row>
    <row r="157" spans="1:69" ht="15" x14ac:dyDescent="0.2">
      <c r="A157" s="10" t="s">
        <v>14</v>
      </c>
      <c r="B157" s="10"/>
      <c r="C157" s="276"/>
      <c r="D157" s="276"/>
      <c r="E157" s="276"/>
      <c r="F157" s="8">
        <v>6</v>
      </c>
      <c r="G157" s="355">
        <v>83</v>
      </c>
      <c r="H157" s="10">
        <v>131</v>
      </c>
      <c r="I157" s="7" t="s">
        <v>143</v>
      </c>
      <c r="J157" s="287"/>
      <c r="K157" s="356">
        <v>6124.37</v>
      </c>
      <c r="L157" s="355"/>
      <c r="M157" s="289"/>
      <c r="N157" s="357">
        <v>1415</v>
      </c>
      <c r="O157" s="290">
        <f t="shared" si="97"/>
        <v>0.23104417270674371</v>
      </c>
      <c r="P157" s="290">
        <f t="shared" si="109"/>
        <v>0</v>
      </c>
      <c r="Q157" s="291">
        <f t="shared" si="98"/>
        <v>0</v>
      </c>
      <c r="R157" s="291">
        <f t="shared" si="110"/>
        <v>0</v>
      </c>
      <c r="S157" s="357">
        <v>139</v>
      </c>
      <c r="T157" s="292">
        <f t="shared" si="99"/>
        <v>424.5</v>
      </c>
      <c r="U157" s="254">
        <f t="shared" si="111"/>
        <v>6583.62</v>
      </c>
      <c r="V157" s="356">
        <v>6066041105</v>
      </c>
      <c r="W157" s="357">
        <v>43763</v>
      </c>
      <c r="X157" s="264">
        <f t="shared" si="100"/>
        <v>138611.18</v>
      </c>
      <c r="Y157" s="293">
        <f t="shared" si="101"/>
        <v>0.71995799999999999</v>
      </c>
      <c r="Z157" s="357">
        <v>92220</v>
      </c>
      <c r="AA157" s="293">
        <f t="shared" si="102"/>
        <v>0.76534800000000003</v>
      </c>
      <c r="AB157" s="293">
        <f t="shared" si="103"/>
        <v>0.26642500000000002</v>
      </c>
      <c r="AC157" s="294">
        <f t="shared" si="104"/>
        <v>0.26642500000000002</v>
      </c>
      <c r="AD157" s="295">
        <f t="shared" si="112"/>
        <v>0</v>
      </c>
      <c r="AE157" s="296">
        <f t="shared" si="113"/>
        <v>0.26642500000000002</v>
      </c>
      <c r="AF157" s="357">
        <v>0</v>
      </c>
      <c r="AG157" s="357">
        <v>0</v>
      </c>
      <c r="AH157" s="254">
        <f t="shared" si="114"/>
        <v>0</v>
      </c>
      <c r="AI157" s="9">
        <f t="shared" si="105"/>
        <v>0</v>
      </c>
      <c r="AJ157" s="9">
        <v>0</v>
      </c>
      <c r="AK157" s="9">
        <f t="shared" si="115"/>
        <v>0</v>
      </c>
      <c r="AL157" s="9">
        <f t="shared" si="116"/>
        <v>0</v>
      </c>
      <c r="AM157" s="9">
        <f t="shared" si="117"/>
        <v>0</v>
      </c>
      <c r="AN157" s="9">
        <f t="shared" si="118"/>
        <v>0</v>
      </c>
      <c r="AO157" s="9">
        <f t="shared" si="106"/>
        <v>20215322</v>
      </c>
      <c r="AP157" s="9">
        <f t="shared" si="119"/>
        <v>20215322</v>
      </c>
      <c r="AQ157" s="9">
        <f t="shared" si="120"/>
        <v>20215322</v>
      </c>
      <c r="AR157" s="291">
        <v>20268059</v>
      </c>
      <c r="AS157" s="9">
        <f t="shared" si="121"/>
        <v>52737</v>
      </c>
      <c r="AT157" s="297" t="str">
        <f t="shared" si="122"/>
        <v>No</v>
      </c>
      <c r="AU157" s="357">
        <v>20466417</v>
      </c>
      <c r="AV157" s="291">
        <f t="shared" si="107"/>
        <v>4392.9921000000004</v>
      </c>
      <c r="AW157" s="291">
        <f t="shared" si="123"/>
        <v>20466417</v>
      </c>
      <c r="AX157" s="291">
        <f t="shared" si="108"/>
        <v>20466417</v>
      </c>
      <c r="AY157" s="358">
        <f t="shared" si="124"/>
        <v>0</v>
      </c>
      <c r="AZ157" s="301"/>
      <c r="BA157" s="301"/>
      <c r="BB157" s="302"/>
      <c r="BC157" s="291">
        <f t="shared" si="125"/>
        <v>20462024.0079</v>
      </c>
      <c r="BD157" s="298">
        <f t="shared" si="126"/>
        <v>20457631.015799999</v>
      </c>
      <c r="BE157" s="298">
        <f t="shared" si="126"/>
        <v>20453238.023699999</v>
      </c>
      <c r="BF157" s="298">
        <f t="shared" si="126"/>
        <v>20448845.031599998</v>
      </c>
      <c r="BG157" s="298">
        <f t="shared" si="127"/>
        <v>20444452.039499998</v>
      </c>
      <c r="BH157" s="298">
        <f t="shared" si="127"/>
        <v>20440059.047399998</v>
      </c>
      <c r="BI157" s="298">
        <f t="shared" si="128"/>
        <v>20215322</v>
      </c>
      <c r="BK157" s="298">
        <f t="shared" si="129"/>
        <v>20462024.0079</v>
      </c>
      <c r="BL157" s="298">
        <f t="shared" si="130"/>
        <v>20457631.015799999</v>
      </c>
      <c r="BM157" s="298">
        <f t="shared" si="131"/>
        <v>20453238.023699999</v>
      </c>
      <c r="BN157" s="298">
        <f t="shared" si="132"/>
        <v>20448845.031599998</v>
      </c>
      <c r="BO157" s="298">
        <f t="shared" si="133"/>
        <v>20444452.039499998</v>
      </c>
      <c r="BP157" s="298">
        <f t="shared" si="134"/>
        <v>20440059.047399998</v>
      </c>
      <c r="BQ157" s="298">
        <f t="shared" si="135"/>
        <v>20215322</v>
      </c>
    </row>
    <row r="158" spans="1:69" ht="15" x14ac:dyDescent="0.2">
      <c r="A158" s="10" t="s">
        <v>10</v>
      </c>
      <c r="B158" s="10"/>
      <c r="C158" s="276"/>
      <c r="D158" s="276"/>
      <c r="E158" s="276"/>
      <c r="F158" s="8">
        <v>5</v>
      </c>
      <c r="G158" s="355">
        <v>78</v>
      </c>
      <c r="H158" s="10">
        <v>132</v>
      </c>
      <c r="I158" s="7" t="s">
        <v>144</v>
      </c>
      <c r="J158" s="287"/>
      <c r="K158" s="356">
        <v>4678.49</v>
      </c>
      <c r="L158" s="355"/>
      <c r="M158" s="289"/>
      <c r="N158" s="357">
        <v>757</v>
      </c>
      <c r="O158" s="290">
        <f t="shared" si="97"/>
        <v>0.16180434285421152</v>
      </c>
      <c r="P158" s="290">
        <f t="shared" si="109"/>
        <v>0</v>
      </c>
      <c r="Q158" s="291">
        <f t="shared" si="98"/>
        <v>0</v>
      </c>
      <c r="R158" s="291">
        <f t="shared" si="110"/>
        <v>0</v>
      </c>
      <c r="S158" s="357">
        <v>329</v>
      </c>
      <c r="T158" s="292">
        <f t="shared" si="99"/>
        <v>227.1</v>
      </c>
      <c r="U158" s="254">
        <f t="shared" si="111"/>
        <v>4987.84</v>
      </c>
      <c r="V158" s="356">
        <v>4036297127.6700001</v>
      </c>
      <c r="W158" s="357">
        <v>25823</v>
      </c>
      <c r="X158" s="264">
        <f t="shared" si="100"/>
        <v>156306.28</v>
      </c>
      <c r="Y158" s="293">
        <f t="shared" si="101"/>
        <v>0.81186800000000003</v>
      </c>
      <c r="Z158" s="357">
        <v>107088</v>
      </c>
      <c r="AA158" s="293">
        <f t="shared" si="102"/>
        <v>0.88873999999999997</v>
      </c>
      <c r="AB158" s="293">
        <f t="shared" si="103"/>
        <v>0.16506999999999999</v>
      </c>
      <c r="AC158" s="294">
        <f t="shared" si="104"/>
        <v>0.16506999999999999</v>
      </c>
      <c r="AD158" s="295">
        <f t="shared" si="112"/>
        <v>0</v>
      </c>
      <c r="AE158" s="296">
        <f t="shared" si="113"/>
        <v>0.16506999999999999</v>
      </c>
      <c r="AF158" s="357">
        <v>0</v>
      </c>
      <c r="AG158" s="357">
        <v>0</v>
      </c>
      <c r="AH158" s="254">
        <f t="shared" si="114"/>
        <v>0</v>
      </c>
      <c r="AI158" s="9">
        <f t="shared" si="105"/>
        <v>0</v>
      </c>
      <c r="AJ158" s="9">
        <v>0</v>
      </c>
      <c r="AK158" s="9">
        <f t="shared" si="115"/>
        <v>0</v>
      </c>
      <c r="AL158" s="9">
        <f t="shared" si="116"/>
        <v>0</v>
      </c>
      <c r="AM158" s="9">
        <f t="shared" si="117"/>
        <v>0</v>
      </c>
      <c r="AN158" s="9">
        <f t="shared" si="118"/>
        <v>0</v>
      </c>
      <c r="AO158" s="9">
        <f t="shared" si="106"/>
        <v>9489025</v>
      </c>
      <c r="AP158" s="9">
        <f t="shared" si="119"/>
        <v>9489025</v>
      </c>
      <c r="AQ158" s="9">
        <f t="shared" si="120"/>
        <v>9489025</v>
      </c>
      <c r="AR158" s="291">
        <v>12826469</v>
      </c>
      <c r="AS158" s="9">
        <f t="shared" si="121"/>
        <v>3337444</v>
      </c>
      <c r="AT158" s="297" t="str">
        <f t="shared" si="122"/>
        <v>No</v>
      </c>
      <c r="AU158" s="357">
        <v>11408078</v>
      </c>
      <c r="AV158" s="291">
        <f t="shared" si="107"/>
        <v>278009.08519999997</v>
      </c>
      <c r="AW158" s="291">
        <f t="shared" si="123"/>
        <v>11408078</v>
      </c>
      <c r="AX158" s="291">
        <f t="shared" si="108"/>
        <v>11408078</v>
      </c>
      <c r="AY158" s="358">
        <f t="shared" si="124"/>
        <v>0</v>
      </c>
      <c r="AZ158" s="301"/>
      <c r="BA158" s="301"/>
      <c r="BB158" s="302"/>
      <c r="BC158" s="291">
        <f t="shared" si="125"/>
        <v>11130068.914799999</v>
      </c>
      <c r="BD158" s="298">
        <f t="shared" si="126"/>
        <v>10852059.829599999</v>
      </c>
      <c r="BE158" s="298">
        <f t="shared" si="126"/>
        <v>10574050.744399998</v>
      </c>
      <c r="BF158" s="298">
        <f t="shared" si="126"/>
        <v>10296041.659199998</v>
      </c>
      <c r="BG158" s="298">
        <f t="shared" si="127"/>
        <v>10018032.573999997</v>
      </c>
      <c r="BH158" s="298">
        <f t="shared" si="127"/>
        <v>9740023.4887999967</v>
      </c>
      <c r="BI158" s="298">
        <f t="shared" si="128"/>
        <v>9489025</v>
      </c>
      <c r="BK158" s="298">
        <f t="shared" si="129"/>
        <v>11130068.914799999</v>
      </c>
      <c r="BL158" s="298">
        <f t="shared" si="130"/>
        <v>10852059.829599999</v>
      </c>
      <c r="BM158" s="298">
        <f t="shared" si="131"/>
        <v>10574050.744399998</v>
      </c>
      <c r="BN158" s="298">
        <f t="shared" si="132"/>
        <v>10296041.659199998</v>
      </c>
      <c r="BO158" s="298">
        <f t="shared" si="133"/>
        <v>10018032.573999997</v>
      </c>
      <c r="BP158" s="298">
        <f t="shared" si="134"/>
        <v>9740023.4887999967</v>
      </c>
      <c r="BQ158" s="298">
        <f t="shared" si="135"/>
        <v>9489025</v>
      </c>
    </row>
    <row r="159" spans="1:69" ht="15" x14ac:dyDescent="0.2">
      <c r="A159" s="10" t="s">
        <v>32</v>
      </c>
      <c r="B159" s="10"/>
      <c r="C159" s="276"/>
      <c r="D159" s="276"/>
      <c r="E159" s="276"/>
      <c r="F159" s="8">
        <v>9</v>
      </c>
      <c r="G159" s="359">
        <v>15</v>
      </c>
      <c r="H159" s="10">
        <v>133</v>
      </c>
      <c r="I159" s="7" t="s">
        <v>145</v>
      </c>
      <c r="J159" s="287"/>
      <c r="K159" s="356">
        <v>348</v>
      </c>
      <c r="L159" s="359"/>
      <c r="M159" s="289"/>
      <c r="N159" s="357">
        <v>207</v>
      </c>
      <c r="O159" s="290">
        <f t="shared" si="97"/>
        <v>0.59482758620689657</v>
      </c>
      <c r="P159" s="290">
        <f t="shared" si="109"/>
        <v>0</v>
      </c>
      <c r="Q159" s="291">
        <f t="shared" si="98"/>
        <v>0</v>
      </c>
      <c r="R159" s="291">
        <f t="shared" si="110"/>
        <v>0</v>
      </c>
      <c r="S159" s="357">
        <v>11</v>
      </c>
      <c r="T159" s="292">
        <f t="shared" si="99"/>
        <v>62.1</v>
      </c>
      <c r="U159" s="254">
        <f t="shared" si="111"/>
        <v>412.85</v>
      </c>
      <c r="V159" s="356">
        <v>257741030.66999999</v>
      </c>
      <c r="W159" s="357">
        <v>2929</v>
      </c>
      <c r="X159" s="264">
        <f t="shared" si="100"/>
        <v>87996.25</v>
      </c>
      <c r="Y159" s="293">
        <f t="shared" si="101"/>
        <v>0.45706000000000002</v>
      </c>
      <c r="Z159" s="357">
        <v>65688</v>
      </c>
      <c r="AA159" s="293">
        <f t="shared" si="102"/>
        <v>0.54515499999999995</v>
      </c>
      <c r="AB159" s="293">
        <f t="shared" si="103"/>
        <v>0.51651199999999997</v>
      </c>
      <c r="AC159" s="294">
        <f t="shared" si="104"/>
        <v>0.51651199999999997</v>
      </c>
      <c r="AD159" s="295">
        <f t="shared" si="112"/>
        <v>0.04</v>
      </c>
      <c r="AE159" s="296">
        <f t="shared" si="113"/>
        <v>0.55651200000000001</v>
      </c>
      <c r="AF159" s="357">
        <v>0</v>
      </c>
      <c r="AG159" s="357">
        <v>0</v>
      </c>
      <c r="AH159" s="254">
        <f t="shared" si="114"/>
        <v>0</v>
      </c>
      <c r="AI159" s="9">
        <f t="shared" si="105"/>
        <v>0</v>
      </c>
      <c r="AJ159" s="9">
        <v>79</v>
      </c>
      <c r="AK159" s="9">
        <f t="shared" si="115"/>
        <v>4</v>
      </c>
      <c r="AL159" s="9">
        <f t="shared" si="116"/>
        <v>400</v>
      </c>
      <c r="AM159" s="9">
        <f t="shared" si="117"/>
        <v>31600</v>
      </c>
      <c r="AN159" s="9">
        <f t="shared" si="118"/>
        <v>31600</v>
      </c>
      <c r="AO159" s="9">
        <f t="shared" si="106"/>
        <v>2647938</v>
      </c>
      <c r="AP159" s="9">
        <f t="shared" si="119"/>
        <v>2679538</v>
      </c>
      <c r="AQ159" s="9">
        <f t="shared" si="120"/>
        <v>2679538</v>
      </c>
      <c r="AR159" s="291">
        <v>2612273</v>
      </c>
      <c r="AS159" s="9">
        <f t="shared" si="121"/>
        <v>67265</v>
      </c>
      <c r="AT159" s="297" t="str">
        <f t="shared" si="122"/>
        <v>Yes</v>
      </c>
      <c r="AU159" s="357">
        <v>2675264.449</v>
      </c>
      <c r="AV159" s="291">
        <f t="shared" si="107"/>
        <v>7170.4489999999996</v>
      </c>
      <c r="AW159" s="291">
        <f t="shared" si="123"/>
        <v>2682434.898</v>
      </c>
      <c r="AX159" s="291">
        <f t="shared" si="108"/>
        <v>2682434.898</v>
      </c>
      <c r="AY159" s="358">
        <f t="shared" si="124"/>
        <v>7170.4490000000224</v>
      </c>
      <c r="AZ159" s="301"/>
      <c r="BA159" s="301"/>
      <c r="BB159" s="302"/>
      <c r="BC159" s="291">
        <f t="shared" si="125"/>
        <v>2689605.3470000001</v>
      </c>
      <c r="BD159" s="298">
        <f t="shared" si="126"/>
        <v>2696775.7960000001</v>
      </c>
      <c r="BE159" s="298">
        <f t="shared" si="126"/>
        <v>2703946.2450000001</v>
      </c>
      <c r="BF159" s="298">
        <f t="shared" si="126"/>
        <v>2711116.6940000001</v>
      </c>
      <c r="BG159" s="298">
        <f t="shared" si="127"/>
        <v>2679538</v>
      </c>
      <c r="BH159" s="298">
        <f t="shared" si="127"/>
        <v>2679538</v>
      </c>
      <c r="BI159" s="298">
        <f t="shared" si="128"/>
        <v>2679538</v>
      </c>
      <c r="BK159" s="298">
        <f t="shared" si="129"/>
        <v>2689605.3470000001</v>
      </c>
      <c r="BL159" s="298">
        <f t="shared" si="130"/>
        <v>2696775.7960000001</v>
      </c>
      <c r="BM159" s="298">
        <f t="shared" si="131"/>
        <v>2703946.2450000001</v>
      </c>
      <c r="BN159" s="298">
        <f t="shared" si="132"/>
        <v>2711116.6940000001</v>
      </c>
      <c r="BO159" s="298">
        <f t="shared" si="133"/>
        <v>2679538</v>
      </c>
      <c r="BP159" s="298">
        <f t="shared" si="134"/>
        <v>2679538</v>
      </c>
      <c r="BQ159" s="298">
        <f t="shared" si="135"/>
        <v>2679538</v>
      </c>
    </row>
    <row r="160" spans="1:69" ht="15" x14ac:dyDescent="0.2">
      <c r="A160" s="10" t="s">
        <v>32</v>
      </c>
      <c r="B160" s="10"/>
      <c r="C160" s="276"/>
      <c r="D160" s="276"/>
      <c r="E160" s="276"/>
      <c r="F160" s="8">
        <v>9</v>
      </c>
      <c r="G160" s="359">
        <v>42</v>
      </c>
      <c r="H160" s="10">
        <v>134</v>
      </c>
      <c r="I160" s="7" t="s">
        <v>146</v>
      </c>
      <c r="J160" s="287"/>
      <c r="K160" s="356">
        <v>1365.61</v>
      </c>
      <c r="L160" s="359"/>
      <c r="M160" s="289"/>
      <c r="N160" s="357">
        <v>563</v>
      </c>
      <c r="O160" s="290">
        <f t="shared" si="97"/>
        <v>0.41226997459010994</v>
      </c>
      <c r="P160" s="290">
        <f t="shared" si="109"/>
        <v>0</v>
      </c>
      <c r="Q160" s="291">
        <f t="shared" si="98"/>
        <v>0</v>
      </c>
      <c r="R160" s="291">
        <f t="shared" si="110"/>
        <v>0</v>
      </c>
      <c r="S160" s="357">
        <v>6</v>
      </c>
      <c r="T160" s="292">
        <f t="shared" si="99"/>
        <v>168.9</v>
      </c>
      <c r="U160" s="254">
        <f t="shared" si="111"/>
        <v>1536.01</v>
      </c>
      <c r="V160" s="356">
        <v>1165297456.6700001</v>
      </c>
      <c r="W160" s="357">
        <v>11890</v>
      </c>
      <c r="X160" s="264">
        <f t="shared" si="100"/>
        <v>98006.51</v>
      </c>
      <c r="Y160" s="293">
        <f t="shared" si="101"/>
        <v>0.50905400000000001</v>
      </c>
      <c r="Z160" s="357">
        <v>72806</v>
      </c>
      <c r="AA160" s="293">
        <f t="shared" si="102"/>
        <v>0.60422799999999999</v>
      </c>
      <c r="AB160" s="293">
        <f t="shared" si="103"/>
        <v>0.46239400000000003</v>
      </c>
      <c r="AC160" s="294">
        <f t="shared" si="104"/>
        <v>0.46239400000000003</v>
      </c>
      <c r="AD160" s="295">
        <f t="shared" si="112"/>
        <v>0</v>
      </c>
      <c r="AE160" s="296">
        <f t="shared" si="113"/>
        <v>0.46239400000000003</v>
      </c>
      <c r="AF160" s="357">
        <v>0</v>
      </c>
      <c r="AG160" s="357">
        <v>0</v>
      </c>
      <c r="AH160" s="254">
        <f t="shared" si="114"/>
        <v>0</v>
      </c>
      <c r="AI160" s="9">
        <f t="shared" si="105"/>
        <v>0</v>
      </c>
      <c r="AJ160" s="9">
        <v>0</v>
      </c>
      <c r="AK160" s="9">
        <f t="shared" si="115"/>
        <v>0</v>
      </c>
      <c r="AL160" s="9">
        <f t="shared" si="116"/>
        <v>0</v>
      </c>
      <c r="AM160" s="9">
        <f t="shared" si="117"/>
        <v>0</v>
      </c>
      <c r="AN160" s="9">
        <f t="shared" si="118"/>
        <v>0</v>
      </c>
      <c r="AO160" s="9">
        <f t="shared" si="106"/>
        <v>8185537</v>
      </c>
      <c r="AP160" s="9">
        <f t="shared" si="119"/>
        <v>8185537</v>
      </c>
      <c r="AQ160" s="9">
        <f t="shared" si="120"/>
        <v>8185537</v>
      </c>
      <c r="AR160" s="291">
        <v>9790490</v>
      </c>
      <c r="AS160" s="9">
        <f t="shared" si="121"/>
        <v>1604953</v>
      </c>
      <c r="AT160" s="297" t="str">
        <f t="shared" si="122"/>
        <v>No</v>
      </c>
      <c r="AU160" s="357">
        <v>9551487</v>
      </c>
      <c r="AV160" s="291">
        <f t="shared" si="107"/>
        <v>133692.58489999999</v>
      </c>
      <c r="AW160" s="291">
        <f t="shared" si="123"/>
        <v>9551487</v>
      </c>
      <c r="AX160" s="291">
        <f t="shared" si="108"/>
        <v>9551487</v>
      </c>
      <c r="AY160" s="358">
        <f t="shared" si="124"/>
        <v>0</v>
      </c>
      <c r="AZ160" s="301"/>
      <c r="BA160" s="301"/>
      <c r="BB160" s="302"/>
      <c r="BC160" s="291">
        <f t="shared" si="125"/>
        <v>9417794.4151000008</v>
      </c>
      <c r="BD160" s="298">
        <f t="shared" si="126"/>
        <v>9284101.8302000016</v>
      </c>
      <c r="BE160" s="298">
        <f t="shared" si="126"/>
        <v>9150409.2453000024</v>
      </c>
      <c r="BF160" s="298">
        <f t="shared" si="126"/>
        <v>9016716.6604000032</v>
      </c>
      <c r="BG160" s="298">
        <f t="shared" si="127"/>
        <v>8883024.075500004</v>
      </c>
      <c r="BH160" s="298">
        <f t="shared" si="127"/>
        <v>8749331.4906000048</v>
      </c>
      <c r="BI160" s="298">
        <f t="shared" si="128"/>
        <v>8185537</v>
      </c>
      <c r="BK160" s="298">
        <f t="shared" si="129"/>
        <v>9417794.4151000008</v>
      </c>
      <c r="BL160" s="298">
        <f t="shared" si="130"/>
        <v>9284101.8302000016</v>
      </c>
      <c r="BM160" s="298">
        <f t="shared" si="131"/>
        <v>9150409.2453000024</v>
      </c>
      <c r="BN160" s="298">
        <f t="shared" si="132"/>
        <v>9016716.6604000032</v>
      </c>
      <c r="BO160" s="298">
        <f t="shared" si="133"/>
        <v>8883024.075500004</v>
      </c>
      <c r="BP160" s="298">
        <f t="shared" si="134"/>
        <v>8749331.4906000048</v>
      </c>
      <c r="BQ160" s="298">
        <f t="shared" si="135"/>
        <v>8185537</v>
      </c>
    </row>
    <row r="161" spans="1:69" ht="15" x14ac:dyDescent="0.2">
      <c r="A161" s="10" t="s">
        <v>6</v>
      </c>
      <c r="B161" s="10">
        <v>1</v>
      </c>
      <c r="C161" s="276">
        <v>1</v>
      </c>
      <c r="D161" s="276">
        <v>1</v>
      </c>
      <c r="E161" s="276"/>
      <c r="F161" s="8">
        <v>2</v>
      </c>
      <c r="G161" s="355">
        <v>117</v>
      </c>
      <c r="H161" s="10">
        <v>135</v>
      </c>
      <c r="I161" s="7" t="s">
        <v>147</v>
      </c>
      <c r="J161" s="287"/>
      <c r="K161" s="356">
        <v>15732.61</v>
      </c>
      <c r="L161" s="355"/>
      <c r="M161" s="289"/>
      <c r="N161" s="357">
        <v>9272</v>
      </c>
      <c r="O161" s="290">
        <f t="shared" si="97"/>
        <v>0.58934912897478542</v>
      </c>
      <c r="P161" s="290">
        <f t="shared" si="109"/>
        <v>0</v>
      </c>
      <c r="Q161" s="291">
        <f t="shared" si="98"/>
        <v>0</v>
      </c>
      <c r="R161" s="291">
        <f t="shared" si="110"/>
        <v>0</v>
      </c>
      <c r="S161" s="357">
        <v>2168</v>
      </c>
      <c r="T161" s="292">
        <f t="shared" si="99"/>
        <v>2781.6</v>
      </c>
      <c r="U161" s="254">
        <f t="shared" si="111"/>
        <v>19056.21</v>
      </c>
      <c r="V161" s="356">
        <v>32280069005.330002</v>
      </c>
      <c r="W161" s="357">
        <v>129026</v>
      </c>
      <c r="X161" s="264">
        <f t="shared" si="100"/>
        <v>250182.67</v>
      </c>
      <c r="Y161" s="293">
        <f t="shared" si="101"/>
        <v>1.299469</v>
      </c>
      <c r="Z161" s="357">
        <v>89309</v>
      </c>
      <c r="AA161" s="293">
        <f t="shared" si="102"/>
        <v>0.74118899999999999</v>
      </c>
      <c r="AB161" s="293">
        <f t="shared" si="103"/>
        <v>-0.13198499999999999</v>
      </c>
      <c r="AC161" s="294">
        <f t="shared" si="104"/>
        <v>0.1</v>
      </c>
      <c r="AD161" s="295">
        <f t="shared" si="112"/>
        <v>0</v>
      </c>
      <c r="AE161" s="296">
        <f t="shared" si="113"/>
        <v>0.1</v>
      </c>
      <c r="AF161" s="357">
        <v>0</v>
      </c>
      <c r="AG161" s="357">
        <v>0</v>
      </c>
      <c r="AH161" s="254">
        <f t="shared" si="114"/>
        <v>0</v>
      </c>
      <c r="AI161" s="9">
        <f t="shared" si="105"/>
        <v>0</v>
      </c>
      <c r="AJ161" s="9">
        <v>0</v>
      </c>
      <c r="AK161" s="9">
        <f t="shared" si="115"/>
        <v>0</v>
      </c>
      <c r="AL161" s="9">
        <f t="shared" si="116"/>
        <v>0</v>
      </c>
      <c r="AM161" s="9">
        <f t="shared" si="117"/>
        <v>0</v>
      </c>
      <c r="AN161" s="9">
        <f t="shared" si="118"/>
        <v>0</v>
      </c>
      <c r="AO161" s="9">
        <f t="shared" si="106"/>
        <v>21962282</v>
      </c>
      <c r="AP161" s="9">
        <f t="shared" si="119"/>
        <v>21962282</v>
      </c>
      <c r="AQ161" s="9">
        <f t="shared" si="120"/>
        <v>21962282</v>
      </c>
      <c r="AR161" s="291">
        <v>10803759</v>
      </c>
      <c r="AS161" s="9">
        <f t="shared" si="121"/>
        <v>11158523</v>
      </c>
      <c r="AT161" s="297" t="str">
        <f t="shared" si="122"/>
        <v>Yes</v>
      </c>
      <c r="AU161" s="357">
        <v>14780083.5518</v>
      </c>
      <c r="AV161" s="291">
        <f t="shared" si="107"/>
        <v>1189498.5518</v>
      </c>
      <c r="AW161" s="291">
        <f t="shared" si="123"/>
        <v>15969582.103599999</v>
      </c>
      <c r="AX161" s="291">
        <f t="shared" si="108"/>
        <v>15969582.103599999</v>
      </c>
      <c r="AY161" s="358">
        <f t="shared" si="124"/>
        <v>1189498.5517999995</v>
      </c>
      <c r="AZ161" s="301"/>
      <c r="BA161" s="301"/>
      <c r="BB161" s="302"/>
      <c r="BC161" s="291">
        <f t="shared" si="125"/>
        <v>17159080.655400001</v>
      </c>
      <c r="BD161" s="298">
        <f t="shared" si="126"/>
        <v>18348579.207200002</v>
      </c>
      <c r="BE161" s="298">
        <f t="shared" si="126"/>
        <v>19538077.759000003</v>
      </c>
      <c r="BF161" s="298">
        <f t="shared" si="126"/>
        <v>20727576.310800005</v>
      </c>
      <c r="BG161" s="298">
        <f t="shared" si="127"/>
        <v>21962282</v>
      </c>
      <c r="BH161" s="298">
        <f t="shared" si="127"/>
        <v>21962282</v>
      </c>
      <c r="BI161" s="298">
        <f t="shared" si="128"/>
        <v>21962282</v>
      </c>
      <c r="BK161" s="298">
        <f t="shared" si="129"/>
        <v>17159080.655400001</v>
      </c>
      <c r="BL161" s="298">
        <f t="shared" si="130"/>
        <v>18348579.207200002</v>
      </c>
      <c r="BM161" s="298">
        <f t="shared" si="131"/>
        <v>19538077.759000003</v>
      </c>
      <c r="BN161" s="298">
        <f t="shared" si="132"/>
        <v>20727576.310800005</v>
      </c>
      <c r="BO161" s="298">
        <f t="shared" si="133"/>
        <v>21962282</v>
      </c>
      <c r="BP161" s="298">
        <f t="shared" si="134"/>
        <v>21962282</v>
      </c>
      <c r="BQ161" s="298">
        <f t="shared" si="135"/>
        <v>21962282</v>
      </c>
    </row>
    <row r="162" spans="1:69" ht="15" x14ac:dyDescent="0.2">
      <c r="A162" s="10" t="s">
        <v>32</v>
      </c>
      <c r="B162" s="10"/>
      <c r="C162" s="276"/>
      <c r="D162" s="276"/>
      <c r="E162" s="276"/>
      <c r="F162" s="8">
        <v>9</v>
      </c>
      <c r="G162" s="359">
        <v>27</v>
      </c>
      <c r="H162" s="10">
        <v>136</v>
      </c>
      <c r="I162" s="7" t="s">
        <v>148</v>
      </c>
      <c r="J162" s="287"/>
      <c r="K162" s="356">
        <v>428.64</v>
      </c>
      <c r="L162" s="359"/>
      <c r="M162" s="289"/>
      <c r="N162" s="357">
        <v>147</v>
      </c>
      <c r="O162" s="290">
        <f t="shared" si="97"/>
        <v>0.34294512877939531</v>
      </c>
      <c r="P162" s="290">
        <f t="shared" si="109"/>
        <v>0</v>
      </c>
      <c r="Q162" s="291">
        <f t="shared" si="98"/>
        <v>0</v>
      </c>
      <c r="R162" s="291">
        <f t="shared" si="110"/>
        <v>0</v>
      </c>
      <c r="S162" s="357">
        <v>0</v>
      </c>
      <c r="T162" s="292">
        <f t="shared" si="99"/>
        <v>44.1</v>
      </c>
      <c r="U162" s="254">
        <f t="shared" si="111"/>
        <v>472.74</v>
      </c>
      <c r="V162" s="356">
        <v>355883350.32999998</v>
      </c>
      <c r="W162" s="357">
        <v>3762</v>
      </c>
      <c r="X162" s="264">
        <f t="shared" si="100"/>
        <v>94599.51</v>
      </c>
      <c r="Y162" s="293">
        <f t="shared" si="101"/>
        <v>0.49135800000000002</v>
      </c>
      <c r="Z162" s="357">
        <v>77985</v>
      </c>
      <c r="AA162" s="293">
        <f t="shared" si="102"/>
        <v>0.64720900000000003</v>
      </c>
      <c r="AB162" s="293">
        <f t="shared" si="103"/>
        <v>0.46188699999999999</v>
      </c>
      <c r="AC162" s="294">
        <f t="shared" si="104"/>
        <v>0.46188699999999999</v>
      </c>
      <c r="AD162" s="295">
        <f t="shared" si="112"/>
        <v>0</v>
      </c>
      <c r="AE162" s="296">
        <f t="shared" si="113"/>
        <v>0.46188699999999999</v>
      </c>
      <c r="AF162" s="357">
        <v>0</v>
      </c>
      <c r="AG162" s="357">
        <v>0</v>
      </c>
      <c r="AH162" s="254">
        <f t="shared" si="114"/>
        <v>0</v>
      </c>
      <c r="AI162" s="9">
        <f t="shared" si="105"/>
        <v>0</v>
      </c>
      <c r="AJ162" s="9">
        <v>0</v>
      </c>
      <c r="AK162" s="9">
        <f t="shared" si="115"/>
        <v>0</v>
      </c>
      <c r="AL162" s="9">
        <f t="shared" si="116"/>
        <v>0</v>
      </c>
      <c r="AM162" s="9">
        <f t="shared" si="117"/>
        <v>0</v>
      </c>
      <c r="AN162" s="9">
        <f t="shared" si="118"/>
        <v>0</v>
      </c>
      <c r="AO162" s="9">
        <f t="shared" si="106"/>
        <v>2516512</v>
      </c>
      <c r="AP162" s="9">
        <f t="shared" si="119"/>
        <v>2516512</v>
      </c>
      <c r="AQ162" s="9">
        <f t="shared" si="120"/>
        <v>2516512</v>
      </c>
      <c r="AR162" s="291">
        <v>3196216</v>
      </c>
      <c r="AS162" s="9">
        <f t="shared" si="121"/>
        <v>679704</v>
      </c>
      <c r="AT162" s="297" t="str">
        <f t="shared" si="122"/>
        <v>No</v>
      </c>
      <c r="AU162" s="357">
        <v>3174585</v>
      </c>
      <c r="AV162" s="291">
        <f t="shared" si="107"/>
        <v>56619.343200000003</v>
      </c>
      <c r="AW162" s="291">
        <f t="shared" si="123"/>
        <v>3174585</v>
      </c>
      <c r="AX162" s="291">
        <f t="shared" si="108"/>
        <v>3174585</v>
      </c>
      <c r="AY162" s="358">
        <f t="shared" si="124"/>
        <v>0</v>
      </c>
      <c r="AZ162" s="301"/>
      <c r="BA162" s="301"/>
      <c r="BB162" s="302"/>
      <c r="BC162" s="291">
        <f t="shared" si="125"/>
        <v>3117965.6568</v>
      </c>
      <c r="BD162" s="298">
        <f t="shared" si="126"/>
        <v>3061346.3136</v>
      </c>
      <c r="BE162" s="298">
        <f t="shared" si="126"/>
        <v>3004726.9704</v>
      </c>
      <c r="BF162" s="298">
        <f t="shared" si="126"/>
        <v>2948107.6272</v>
      </c>
      <c r="BG162" s="298">
        <f t="shared" si="127"/>
        <v>2891488.284</v>
      </c>
      <c r="BH162" s="298">
        <f t="shared" si="127"/>
        <v>2834868.9408</v>
      </c>
      <c r="BI162" s="298">
        <f t="shared" si="128"/>
        <v>2516512</v>
      </c>
      <c r="BK162" s="298">
        <f t="shared" si="129"/>
        <v>3117965.6568</v>
      </c>
      <c r="BL162" s="298">
        <f t="shared" si="130"/>
        <v>3061346.3136</v>
      </c>
      <c r="BM162" s="298">
        <f t="shared" si="131"/>
        <v>3004726.9704</v>
      </c>
      <c r="BN162" s="298">
        <f t="shared" si="132"/>
        <v>2948107.6272</v>
      </c>
      <c r="BO162" s="298">
        <f t="shared" si="133"/>
        <v>2891488.284</v>
      </c>
      <c r="BP162" s="298">
        <f t="shared" si="134"/>
        <v>2834868.9408</v>
      </c>
      <c r="BQ162" s="298">
        <f t="shared" si="135"/>
        <v>2516512</v>
      </c>
    </row>
    <row r="163" spans="1:69" ht="15" x14ac:dyDescent="0.2">
      <c r="A163" s="10" t="s">
        <v>14</v>
      </c>
      <c r="B163" s="10"/>
      <c r="C163" s="276"/>
      <c r="D163" s="276"/>
      <c r="E163" s="276"/>
      <c r="F163" s="8">
        <v>3</v>
      </c>
      <c r="G163" s="355">
        <v>125</v>
      </c>
      <c r="H163" s="10">
        <v>137</v>
      </c>
      <c r="I163" s="7" t="s">
        <v>149</v>
      </c>
      <c r="J163" s="287"/>
      <c r="K163" s="356">
        <v>1956.72</v>
      </c>
      <c r="L163" s="355"/>
      <c r="M163" s="289"/>
      <c r="N163" s="357">
        <v>541</v>
      </c>
      <c r="O163" s="290">
        <f t="shared" si="97"/>
        <v>0.27648309415756983</v>
      </c>
      <c r="P163" s="290">
        <f t="shared" si="109"/>
        <v>0</v>
      </c>
      <c r="Q163" s="291">
        <f t="shared" si="98"/>
        <v>0</v>
      </c>
      <c r="R163" s="291">
        <f t="shared" si="110"/>
        <v>0</v>
      </c>
      <c r="S163" s="357">
        <v>10</v>
      </c>
      <c r="T163" s="292">
        <f t="shared" si="99"/>
        <v>162.30000000000001</v>
      </c>
      <c r="U163" s="254">
        <f t="shared" si="111"/>
        <v>2121.52</v>
      </c>
      <c r="V163" s="356">
        <v>4041442120.3299999</v>
      </c>
      <c r="W163" s="357">
        <v>18436</v>
      </c>
      <c r="X163" s="264">
        <f t="shared" si="100"/>
        <v>219214.7</v>
      </c>
      <c r="Y163" s="293">
        <f t="shared" si="101"/>
        <v>1.138619</v>
      </c>
      <c r="Z163" s="357">
        <v>79250</v>
      </c>
      <c r="AA163" s="293">
        <f t="shared" si="102"/>
        <v>0.65770799999999996</v>
      </c>
      <c r="AB163" s="293">
        <f t="shared" si="103"/>
        <v>5.6540000000000002E-3</v>
      </c>
      <c r="AC163" s="294">
        <f t="shared" si="104"/>
        <v>0.01</v>
      </c>
      <c r="AD163" s="295">
        <f t="shared" si="112"/>
        <v>0</v>
      </c>
      <c r="AE163" s="296">
        <f t="shared" si="113"/>
        <v>0.01</v>
      </c>
      <c r="AF163" s="357">
        <v>0</v>
      </c>
      <c r="AG163" s="357">
        <v>0</v>
      </c>
      <c r="AH163" s="254">
        <f t="shared" si="114"/>
        <v>0</v>
      </c>
      <c r="AI163" s="9">
        <f t="shared" si="105"/>
        <v>0</v>
      </c>
      <c r="AJ163" s="9">
        <v>0</v>
      </c>
      <c r="AK163" s="9">
        <f t="shared" si="115"/>
        <v>0</v>
      </c>
      <c r="AL163" s="9">
        <f t="shared" si="116"/>
        <v>0</v>
      </c>
      <c r="AM163" s="9">
        <f t="shared" si="117"/>
        <v>0</v>
      </c>
      <c r="AN163" s="9">
        <f t="shared" si="118"/>
        <v>0</v>
      </c>
      <c r="AO163" s="9">
        <f t="shared" si="106"/>
        <v>244505</v>
      </c>
      <c r="AP163" s="9">
        <f t="shared" si="119"/>
        <v>244505</v>
      </c>
      <c r="AQ163" s="9">
        <f t="shared" si="120"/>
        <v>244505</v>
      </c>
      <c r="AR163" s="291">
        <v>1649159</v>
      </c>
      <c r="AS163" s="9">
        <f t="shared" si="121"/>
        <v>1404654</v>
      </c>
      <c r="AT163" s="297" t="str">
        <f t="shared" si="122"/>
        <v>No</v>
      </c>
      <c r="AU163" s="357">
        <v>1073011</v>
      </c>
      <c r="AV163" s="291">
        <f t="shared" si="107"/>
        <v>117007.67819999999</v>
      </c>
      <c r="AW163" s="291">
        <f t="shared" si="123"/>
        <v>1073011</v>
      </c>
      <c r="AX163" s="291">
        <f t="shared" si="108"/>
        <v>1073011</v>
      </c>
      <c r="AY163" s="358">
        <f t="shared" si="124"/>
        <v>0</v>
      </c>
      <c r="AZ163" s="301"/>
      <c r="BA163" s="301"/>
      <c r="BB163" s="302"/>
      <c r="BC163" s="291">
        <f t="shared" si="125"/>
        <v>956003.32180000003</v>
      </c>
      <c r="BD163" s="298">
        <f t="shared" si="126"/>
        <v>838995.64360000007</v>
      </c>
      <c r="BE163" s="298">
        <f t="shared" si="126"/>
        <v>721987.9654000001</v>
      </c>
      <c r="BF163" s="298">
        <f t="shared" si="126"/>
        <v>604980.28720000014</v>
      </c>
      <c r="BG163" s="298">
        <f t="shared" si="127"/>
        <v>487972.60900000017</v>
      </c>
      <c r="BH163" s="298">
        <f t="shared" si="127"/>
        <v>370964.93080000021</v>
      </c>
      <c r="BI163" s="298">
        <f t="shared" si="128"/>
        <v>244505</v>
      </c>
      <c r="BK163" s="298">
        <f t="shared" si="129"/>
        <v>956003.32180000003</v>
      </c>
      <c r="BL163" s="298">
        <f t="shared" si="130"/>
        <v>838995.64360000007</v>
      </c>
      <c r="BM163" s="298">
        <f t="shared" si="131"/>
        <v>721987.9654000001</v>
      </c>
      <c r="BN163" s="298">
        <f t="shared" si="132"/>
        <v>604980.28720000014</v>
      </c>
      <c r="BO163" s="298">
        <f t="shared" si="133"/>
        <v>487972.60900000017</v>
      </c>
      <c r="BP163" s="298">
        <f t="shared" si="134"/>
        <v>370964.93080000021</v>
      </c>
      <c r="BQ163" s="298">
        <f t="shared" si="135"/>
        <v>244505</v>
      </c>
    </row>
    <row r="164" spans="1:69" ht="15" x14ac:dyDescent="0.2">
      <c r="A164" s="10" t="s">
        <v>19</v>
      </c>
      <c r="B164" s="10"/>
      <c r="C164" s="276"/>
      <c r="D164" s="276"/>
      <c r="E164" s="276"/>
      <c r="F164" s="8">
        <v>8</v>
      </c>
      <c r="G164" s="359">
        <v>24</v>
      </c>
      <c r="H164" s="10">
        <v>138</v>
      </c>
      <c r="I164" s="7" t="s">
        <v>150</v>
      </c>
      <c r="J164" s="287"/>
      <c r="K164" s="356">
        <v>6957.09</v>
      </c>
      <c r="L164" s="359"/>
      <c r="M164" s="289"/>
      <c r="N164" s="357">
        <v>3203</v>
      </c>
      <c r="O164" s="290">
        <f t="shared" si="97"/>
        <v>0.46039364159440227</v>
      </c>
      <c r="P164" s="290">
        <f t="shared" si="109"/>
        <v>0</v>
      </c>
      <c r="Q164" s="291">
        <f t="shared" si="98"/>
        <v>0</v>
      </c>
      <c r="R164" s="291">
        <f t="shared" si="110"/>
        <v>0</v>
      </c>
      <c r="S164" s="357">
        <v>447</v>
      </c>
      <c r="T164" s="292">
        <f t="shared" si="99"/>
        <v>960.9</v>
      </c>
      <c r="U164" s="254">
        <f t="shared" si="111"/>
        <v>8029.74</v>
      </c>
      <c r="V164" s="356">
        <v>6825288860.6700001</v>
      </c>
      <c r="W164" s="357">
        <v>52279</v>
      </c>
      <c r="X164" s="264">
        <f t="shared" si="100"/>
        <v>130555.08</v>
      </c>
      <c r="Y164" s="293">
        <f t="shared" si="101"/>
        <v>0.67811399999999999</v>
      </c>
      <c r="Z164" s="357">
        <v>75845</v>
      </c>
      <c r="AA164" s="293">
        <f t="shared" si="102"/>
        <v>0.62944900000000004</v>
      </c>
      <c r="AB164" s="293">
        <f t="shared" si="103"/>
        <v>0.33648600000000001</v>
      </c>
      <c r="AC164" s="294">
        <f t="shared" si="104"/>
        <v>0.33648600000000001</v>
      </c>
      <c r="AD164" s="295">
        <f t="shared" si="112"/>
        <v>0</v>
      </c>
      <c r="AE164" s="296">
        <f t="shared" si="113"/>
        <v>0.33648600000000001</v>
      </c>
      <c r="AF164" s="357">
        <v>0</v>
      </c>
      <c r="AG164" s="357">
        <v>0</v>
      </c>
      <c r="AH164" s="254">
        <f t="shared" si="114"/>
        <v>0</v>
      </c>
      <c r="AI164" s="9">
        <f t="shared" si="105"/>
        <v>0</v>
      </c>
      <c r="AJ164" s="9">
        <v>0</v>
      </c>
      <c r="AK164" s="9">
        <f t="shared" si="115"/>
        <v>0</v>
      </c>
      <c r="AL164" s="9">
        <f t="shared" si="116"/>
        <v>0</v>
      </c>
      <c r="AM164" s="9">
        <f t="shared" si="117"/>
        <v>0</v>
      </c>
      <c r="AN164" s="9">
        <f t="shared" si="118"/>
        <v>0</v>
      </c>
      <c r="AO164" s="9">
        <f t="shared" si="106"/>
        <v>31139341</v>
      </c>
      <c r="AP164" s="9">
        <f t="shared" si="119"/>
        <v>31139341</v>
      </c>
      <c r="AQ164" s="9">
        <f t="shared" si="120"/>
        <v>31139341</v>
      </c>
      <c r="AR164" s="291">
        <v>21461782</v>
      </c>
      <c r="AS164" s="9">
        <f t="shared" si="121"/>
        <v>9677559</v>
      </c>
      <c r="AT164" s="297" t="str">
        <f t="shared" si="122"/>
        <v>Yes</v>
      </c>
      <c r="AU164" s="357">
        <v>25147964.7894</v>
      </c>
      <c r="AV164" s="291">
        <f t="shared" si="107"/>
        <v>1031627.7894</v>
      </c>
      <c r="AW164" s="291">
        <f t="shared" si="123"/>
        <v>26179592.5788</v>
      </c>
      <c r="AX164" s="291">
        <f t="shared" si="108"/>
        <v>26179592.5788</v>
      </c>
      <c r="AY164" s="358">
        <f t="shared" si="124"/>
        <v>1031627.7894000001</v>
      </c>
      <c r="AZ164" s="301"/>
      <c r="BA164" s="301"/>
      <c r="BB164" s="302"/>
      <c r="BC164" s="291">
        <f t="shared" si="125"/>
        <v>27211220.3682</v>
      </c>
      <c r="BD164" s="298">
        <f t="shared" si="126"/>
        <v>28242848.157600001</v>
      </c>
      <c r="BE164" s="298">
        <f t="shared" si="126"/>
        <v>29274475.947000001</v>
      </c>
      <c r="BF164" s="298">
        <f t="shared" si="126"/>
        <v>30306103.736400001</v>
      </c>
      <c r="BG164" s="298">
        <f t="shared" si="127"/>
        <v>31139341</v>
      </c>
      <c r="BH164" s="298">
        <f t="shared" si="127"/>
        <v>31139341</v>
      </c>
      <c r="BI164" s="298">
        <f t="shared" si="128"/>
        <v>31139341</v>
      </c>
      <c r="BK164" s="298">
        <f t="shared" si="129"/>
        <v>27211220.3682</v>
      </c>
      <c r="BL164" s="298">
        <f t="shared" si="130"/>
        <v>28242848.157600001</v>
      </c>
      <c r="BM164" s="298">
        <f t="shared" si="131"/>
        <v>29274475.947000001</v>
      </c>
      <c r="BN164" s="298">
        <f t="shared" si="132"/>
        <v>30306103.736400001</v>
      </c>
      <c r="BO164" s="298">
        <f t="shared" si="133"/>
        <v>31139341</v>
      </c>
      <c r="BP164" s="298">
        <f t="shared" si="134"/>
        <v>31139341</v>
      </c>
      <c r="BQ164" s="298">
        <f t="shared" si="135"/>
        <v>31139341</v>
      </c>
    </row>
    <row r="165" spans="1:69" ht="15" x14ac:dyDescent="0.2">
      <c r="A165" s="10" t="s">
        <v>4</v>
      </c>
      <c r="B165" s="10"/>
      <c r="C165" s="276"/>
      <c r="D165" s="276"/>
      <c r="E165" s="276"/>
      <c r="F165" s="8">
        <v>5</v>
      </c>
      <c r="G165" s="355">
        <v>99</v>
      </c>
      <c r="H165" s="10">
        <v>139</v>
      </c>
      <c r="I165" s="7" t="s">
        <v>151</v>
      </c>
      <c r="J165" s="287"/>
      <c r="K165" s="356">
        <v>1991.04</v>
      </c>
      <c r="L165" s="355"/>
      <c r="M165" s="289"/>
      <c r="N165" s="357">
        <v>309</v>
      </c>
      <c r="O165" s="290">
        <f t="shared" si="97"/>
        <v>0.15519527483124398</v>
      </c>
      <c r="P165" s="290">
        <f t="shared" si="109"/>
        <v>0</v>
      </c>
      <c r="Q165" s="291">
        <f t="shared" si="98"/>
        <v>0</v>
      </c>
      <c r="R165" s="291">
        <f t="shared" si="110"/>
        <v>0</v>
      </c>
      <c r="S165" s="357">
        <v>44</v>
      </c>
      <c r="T165" s="292">
        <f t="shared" si="99"/>
        <v>92.7</v>
      </c>
      <c r="U165" s="254">
        <f t="shared" si="111"/>
        <v>2094.7399999999998</v>
      </c>
      <c r="V165" s="356">
        <v>2084652065.3299999</v>
      </c>
      <c r="W165" s="357">
        <v>15662</v>
      </c>
      <c r="X165" s="264">
        <f t="shared" si="100"/>
        <v>133102.54999999999</v>
      </c>
      <c r="Y165" s="293">
        <f t="shared" si="101"/>
        <v>0.69134600000000002</v>
      </c>
      <c r="Z165" s="357">
        <v>111573</v>
      </c>
      <c r="AA165" s="293">
        <f t="shared" si="102"/>
        <v>0.92596100000000003</v>
      </c>
      <c r="AB165" s="293">
        <f t="shared" si="103"/>
        <v>0.23827000000000001</v>
      </c>
      <c r="AC165" s="294">
        <f t="shared" si="104"/>
        <v>0.23827000000000001</v>
      </c>
      <c r="AD165" s="295">
        <f t="shared" si="112"/>
        <v>0</v>
      </c>
      <c r="AE165" s="296">
        <f t="shared" si="113"/>
        <v>0.23827000000000001</v>
      </c>
      <c r="AF165" s="357">
        <v>0</v>
      </c>
      <c r="AG165" s="357">
        <v>0</v>
      </c>
      <c r="AH165" s="254">
        <f t="shared" si="114"/>
        <v>0</v>
      </c>
      <c r="AI165" s="9">
        <f t="shared" si="105"/>
        <v>0</v>
      </c>
      <c r="AJ165" s="9">
        <v>0</v>
      </c>
      <c r="AK165" s="9">
        <f t="shared" si="115"/>
        <v>0</v>
      </c>
      <c r="AL165" s="9">
        <f t="shared" si="116"/>
        <v>0</v>
      </c>
      <c r="AM165" s="9">
        <f t="shared" si="117"/>
        <v>0</v>
      </c>
      <c r="AN165" s="9">
        <f t="shared" si="118"/>
        <v>0</v>
      </c>
      <c r="AO165" s="9">
        <f t="shared" si="106"/>
        <v>5752285</v>
      </c>
      <c r="AP165" s="9">
        <f t="shared" si="119"/>
        <v>5752285</v>
      </c>
      <c r="AQ165" s="9">
        <f t="shared" si="120"/>
        <v>5752285</v>
      </c>
      <c r="AR165" s="291">
        <v>6221145</v>
      </c>
      <c r="AS165" s="9">
        <f t="shared" si="121"/>
        <v>468860</v>
      </c>
      <c r="AT165" s="297" t="str">
        <f t="shared" si="122"/>
        <v>No</v>
      </c>
      <c r="AU165" s="357">
        <v>6148151</v>
      </c>
      <c r="AV165" s="291">
        <f t="shared" si="107"/>
        <v>39056.038</v>
      </c>
      <c r="AW165" s="291">
        <f t="shared" si="123"/>
        <v>6148151</v>
      </c>
      <c r="AX165" s="291">
        <f t="shared" si="108"/>
        <v>6148151</v>
      </c>
      <c r="AY165" s="358">
        <f t="shared" si="124"/>
        <v>0</v>
      </c>
      <c r="AZ165" s="301"/>
      <c r="BA165" s="301"/>
      <c r="BB165" s="302"/>
      <c r="BC165" s="291">
        <f t="shared" si="125"/>
        <v>6109094.9620000003</v>
      </c>
      <c r="BD165" s="298">
        <f t="shared" si="126"/>
        <v>6070038.9240000006</v>
      </c>
      <c r="BE165" s="298">
        <f t="shared" si="126"/>
        <v>6030982.8860000009</v>
      </c>
      <c r="BF165" s="298">
        <f t="shared" si="126"/>
        <v>5991926.8480000012</v>
      </c>
      <c r="BG165" s="298">
        <f t="shared" si="127"/>
        <v>5952870.8100000015</v>
      </c>
      <c r="BH165" s="298">
        <f t="shared" si="127"/>
        <v>5913814.7720000017</v>
      </c>
      <c r="BI165" s="298">
        <f t="shared" si="128"/>
        <v>5752285</v>
      </c>
      <c r="BK165" s="298">
        <f t="shared" si="129"/>
        <v>6109094.9620000003</v>
      </c>
      <c r="BL165" s="298">
        <f t="shared" si="130"/>
        <v>6070038.9240000006</v>
      </c>
      <c r="BM165" s="298">
        <f t="shared" si="131"/>
        <v>6030982.8860000009</v>
      </c>
      <c r="BN165" s="298">
        <f t="shared" si="132"/>
        <v>5991926.8480000012</v>
      </c>
      <c r="BO165" s="298">
        <f t="shared" si="133"/>
        <v>5952870.8100000015</v>
      </c>
      <c r="BP165" s="298">
        <f t="shared" si="134"/>
        <v>5913814.7720000017</v>
      </c>
      <c r="BQ165" s="298">
        <f t="shared" si="135"/>
        <v>5752285</v>
      </c>
    </row>
    <row r="166" spans="1:69" ht="15" x14ac:dyDescent="0.2">
      <c r="A166" s="10" t="s">
        <v>8</v>
      </c>
      <c r="B166" s="10"/>
      <c r="C166" s="276"/>
      <c r="D166" s="276"/>
      <c r="E166" s="276"/>
      <c r="F166" s="8">
        <v>9</v>
      </c>
      <c r="G166" s="360">
        <v>43</v>
      </c>
      <c r="H166" s="10">
        <v>140</v>
      </c>
      <c r="I166" s="7" t="s">
        <v>152</v>
      </c>
      <c r="J166" s="287"/>
      <c r="K166" s="356">
        <v>945.86</v>
      </c>
      <c r="L166" s="360"/>
      <c r="M166" s="289"/>
      <c r="N166" s="357">
        <v>318</v>
      </c>
      <c r="O166" s="290">
        <f t="shared" si="97"/>
        <v>0.33620197492229292</v>
      </c>
      <c r="P166" s="290">
        <f t="shared" si="109"/>
        <v>0</v>
      </c>
      <c r="Q166" s="291">
        <f t="shared" si="98"/>
        <v>0</v>
      </c>
      <c r="R166" s="291">
        <f t="shared" si="110"/>
        <v>0</v>
      </c>
      <c r="S166" s="357">
        <v>14</v>
      </c>
      <c r="T166" s="292">
        <f t="shared" si="99"/>
        <v>95.4</v>
      </c>
      <c r="U166" s="254">
        <f t="shared" si="111"/>
        <v>1044.76</v>
      </c>
      <c r="V166" s="356">
        <v>804263908</v>
      </c>
      <c r="W166" s="357">
        <v>7623</v>
      </c>
      <c r="X166" s="264">
        <f t="shared" si="100"/>
        <v>105504.91</v>
      </c>
      <c r="Y166" s="293">
        <f t="shared" si="101"/>
        <v>0.54800099999999996</v>
      </c>
      <c r="Z166" s="357">
        <v>67862</v>
      </c>
      <c r="AA166" s="293">
        <f t="shared" si="102"/>
        <v>0.56319699999999995</v>
      </c>
      <c r="AB166" s="293">
        <f t="shared" si="103"/>
        <v>0.44744</v>
      </c>
      <c r="AC166" s="294">
        <f t="shared" si="104"/>
        <v>0.44744</v>
      </c>
      <c r="AD166" s="295">
        <f t="shared" si="112"/>
        <v>0</v>
      </c>
      <c r="AE166" s="296">
        <f t="shared" si="113"/>
        <v>0.44744</v>
      </c>
      <c r="AF166" s="357">
        <v>0</v>
      </c>
      <c r="AG166" s="357">
        <v>0</v>
      </c>
      <c r="AH166" s="254">
        <f t="shared" si="114"/>
        <v>0</v>
      </c>
      <c r="AI166" s="9">
        <f t="shared" si="105"/>
        <v>0</v>
      </c>
      <c r="AJ166" s="9">
        <v>0</v>
      </c>
      <c r="AK166" s="9">
        <f t="shared" si="115"/>
        <v>0</v>
      </c>
      <c r="AL166" s="9">
        <f t="shared" si="116"/>
        <v>0</v>
      </c>
      <c r="AM166" s="9">
        <f t="shared" si="117"/>
        <v>0</v>
      </c>
      <c r="AN166" s="9">
        <f t="shared" si="118"/>
        <v>0</v>
      </c>
      <c r="AO166" s="9">
        <f t="shared" si="106"/>
        <v>5387562</v>
      </c>
      <c r="AP166" s="9">
        <f t="shared" si="119"/>
        <v>5387562</v>
      </c>
      <c r="AQ166" s="9">
        <f t="shared" si="120"/>
        <v>5387562</v>
      </c>
      <c r="AR166" s="291">
        <v>5624815</v>
      </c>
      <c r="AS166" s="9">
        <f t="shared" si="121"/>
        <v>237253</v>
      </c>
      <c r="AT166" s="297" t="str">
        <f t="shared" si="122"/>
        <v>No</v>
      </c>
      <c r="AU166" s="357">
        <v>5481226</v>
      </c>
      <c r="AV166" s="291">
        <f t="shared" si="107"/>
        <v>19763.174899999998</v>
      </c>
      <c r="AW166" s="291">
        <f t="shared" si="123"/>
        <v>5481226</v>
      </c>
      <c r="AX166" s="291">
        <f t="shared" si="108"/>
        <v>5481226</v>
      </c>
      <c r="AY166" s="358">
        <f t="shared" si="124"/>
        <v>0</v>
      </c>
      <c r="AZ166" s="301"/>
      <c r="BA166" s="301"/>
      <c r="BB166" s="302"/>
      <c r="BC166" s="291">
        <f t="shared" si="125"/>
        <v>5461462.8251</v>
      </c>
      <c r="BD166" s="298">
        <f t="shared" si="126"/>
        <v>5441699.6502</v>
      </c>
      <c r="BE166" s="298">
        <f t="shared" si="126"/>
        <v>5421936.4753</v>
      </c>
      <c r="BF166" s="298">
        <f t="shared" si="126"/>
        <v>5402173.3004000001</v>
      </c>
      <c r="BG166" s="298">
        <f t="shared" si="127"/>
        <v>5382410.1255000001</v>
      </c>
      <c r="BH166" s="298">
        <f t="shared" si="127"/>
        <v>5362646.9506000001</v>
      </c>
      <c r="BI166" s="298">
        <f t="shared" si="128"/>
        <v>5387562</v>
      </c>
      <c r="BK166" s="298">
        <f t="shared" si="129"/>
        <v>5461462.8251</v>
      </c>
      <c r="BL166" s="298">
        <f t="shared" si="130"/>
        <v>5441699.6502</v>
      </c>
      <c r="BM166" s="298">
        <f t="shared" si="131"/>
        <v>5421936.4753</v>
      </c>
      <c r="BN166" s="298">
        <f t="shared" si="132"/>
        <v>5402173.3004000001</v>
      </c>
      <c r="BO166" s="298">
        <f t="shared" si="133"/>
        <v>5382410.1255000001</v>
      </c>
      <c r="BP166" s="298">
        <f t="shared" si="134"/>
        <v>5362646.9506000001</v>
      </c>
      <c r="BQ166" s="298">
        <f t="shared" si="135"/>
        <v>5387562</v>
      </c>
    </row>
    <row r="167" spans="1:69" ht="15" x14ac:dyDescent="0.2">
      <c r="A167" s="10" t="s">
        <v>32</v>
      </c>
      <c r="B167" s="10"/>
      <c r="C167" s="276">
        <v>1</v>
      </c>
      <c r="D167" s="276"/>
      <c r="E167" s="276"/>
      <c r="F167" s="8">
        <v>9</v>
      </c>
      <c r="G167" s="355">
        <v>55</v>
      </c>
      <c r="H167" s="10">
        <v>141</v>
      </c>
      <c r="I167" s="7" t="s">
        <v>153</v>
      </c>
      <c r="J167" s="287"/>
      <c r="K167" s="356">
        <v>988.77</v>
      </c>
      <c r="L167" s="355"/>
      <c r="M167" s="289"/>
      <c r="N167" s="357">
        <v>469</v>
      </c>
      <c r="O167" s="290">
        <f t="shared" si="97"/>
        <v>0.47432668871426115</v>
      </c>
      <c r="P167" s="290">
        <f t="shared" si="109"/>
        <v>0</v>
      </c>
      <c r="Q167" s="291">
        <f t="shared" si="98"/>
        <v>0</v>
      </c>
      <c r="R167" s="291">
        <f t="shared" si="110"/>
        <v>0</v>
      </c>
      <c r="S167" s="357">
        <v>1</v>
      </c>
      <c r="T167" s="292">
        <f t="shared" si="99"/>
        <v>140.69999999999999</v>
      </c>
      <c r="U167" s="254">
        <f t="shared" si="111"/>
        <v>1129.72</v>
      </c>
      <c r="V167" s="356">
        <v>1024599748.67</v>
      </c>
      <c r="W167" s="357">
        <v>9343</v>
      </c>
      <c r="X167" s="264">
        <f t="shared" si="100"/>
        <v>109664.96000000001</v>
      </c>
      <c r="Y167" s="293">
        <f t="shared" si="101"/>
        <v>0.56960900000000003</v>
      </c>
      <c r="Z167" s="357">
        <v>80941</v>
      </c>
      <c r="AA167" s="293">
        <f t="shared" si="102"/>
        <v>0.67174199999999995</v>
      </c>
      <c r="AB167" s="293">
        <f t="shared" si="103"/>
        <v>0.39975100000000002</v>
      </c>
      <c r="AC167" s="294">
        <f t="shared" si="104"/>
        <v>0.39975100000000002</v>
      </c>
      <c r="AD167" s="295">
        <f t="shared" si="112"/>
        <v>0</v>
      </c>
      <c r="AE167" s="296">
        <f t="shared" si="113"/>
        <v>0.39975100000000002</v>
      </c>
      <c r="AF167" s="357">
        <v>0</v>
      </c>
      <c r="AG167" s="357">
        <v>0</v>
      </c>
      <c r="AH167" s="254">
        <f t="shared" si="114"/>
        <v>0</v>
      </c>
      <c r="AI167" s="9">
        <f t="shared" si="105"/>
        <v>0</v>
      </c>
      <c r="AJ167" s="9">
        <v>0</v>
      </c>
      <c r="AK167" s="9">
        <f t="shared" si="115"/>
        <v>0</v>
      </c>
      <c r="AL167" s="9">
        <f t="shared" si="116"/>
        <v>0</v>
      </c>
      <c r="AM167" s="9">
        <f t="shared" si="117"/>
        <v>0</v>
      </c>
      <c r="AN167" s="9">
        <f t="shared" si="118"/>
        <v>0</v>
      </c>
      <c r="AO167" s="9">
        <f t="shared" si="106"/>
        <v>5204767</v>
      </c>
      <c r="AP167" s="9">
        <f t="shared" si="119"/>
        <v>5204767</v>
      </c>
      <c r="AQ167" s="9">
        <f t="shared" si="120"/>
        <v>7534704</v>
      </c>
      <c r="AR167" s="291">
        <v>7534704</v>
      </c>
      <c r="AS167" s="9">
        <f t="shared" si="121"/>
        <v>2329937</v>
      </c>
      <c r="AT167" s="297" t="str">
        <f t="shared" si="122"/>
        <v>No</v>
      </c>
      <c r="AU167" s="357">
        <v>7534704</v>
      </c>
      <c r="AV167" s="291">
        <f t="shared" si="107"/>
        <v>194083.75209999998</v>
      </c>
      <c r="AW167" s="291">
        <f t="shared" si="123"/>
        <v>7534704</v>
      </c>
      <c r="AX167" s="291">
        <f t="shared" si="108"/>
        <v>7534704</v>
      </c>
      <c r="AY167" s="358">
        <f t="shared" si="124"/>
        <v>0</v>
      </c>
      <c r="AZ167" s="301"/>
      <c r="BA167" s="301"/>
      <c r="BB167" s="302"/>
      <c r="BC167" s="291">
        <f t="shared" si="125"/>
        <v>7340620.2478999998</v>
      </c>
      <c r="BD167" s="298">
        <f t="shared" si="126"/>
        <v>7146536.4957999997</v>
      </c>
      <c r="BE167" s="298">
        <f t="shared" si="126"/>
        <v>6952452.7436999995</v>
      </c>
      <c r="BF167" s="298">
        <f t="shared" si="126"/>
        <v>6758368.9915999994</v>
      </c>
      <c r="BG167" s="298">
        <f t="shared" si="127"/>
        <v>6564285.2394999992</v>
      </c>
      <c r="BH167" s="298">
        <f t="shared" si="127"/>
        <v>6370201.4873999991</v>
      </c>
      <c r="BI167" s="298">
        <f t="shared" si="128"/>
        <v>5204767</v>
      </c>
      <c r="BK167" s="298">
        <f t="shared" si="129"/>
        <v>7534704</v>
      </c>
      <c r="BL167" s="298">
        <f t="shared" si="130"/>
        <v>7534704</v>
      </c>
      <c r="BM167" s="298">
        <f t="shared" si="131"/>
        <v>7534704</v>
      </c>
      <c r="BN167" s="298">
        <f t="shared" si="132"/>
        <v>7534704</v>
      </c>
      <c r="BO167" s="298">
        <f t="shared" si="133"/>
        <v>7534704</v>
      </c>
      <c r="BP167" s="298">
        <f t="shared" si="134"/>
        <v>7534704</v>
      </c>
      <c r="BQ167" s="298">
        <f t="shared" si="135"/>
        <v>7534704</v>
      </c>
    </row>
    <row r="168" spans="1:69" ht="15" x14ac:dyDescent="0.2">
      <c r="A168" s="10" t="s">
        <v>4</v>
      </c>
      <c r="B168" s="10"/>
      <c r="C168" s="276"/>
      <c r="D168" s="276"/>
      <c r="E168" s="276"/>
      <c r="F168" s="8">
        <v>5</v>
      </c>
      <c r="G168" s="355">
        <v>108</v>
      </c>
      <c r="H168" s="10">
        <v>142</v>
      </c>
      <c r="I168" s="7" t="s">
        <v>154</v>
      </c>
      <c r="J168" s="287"/>
      <c r="K168" s="356">
        <v>2325.67</v>
      </c>
      <c r="L168" s="355"/>
      <c r="M168" s="289"/>
      <c r="N168" s="357">
        <v>310</v>
      </c>
      <c r="O168" s="290">
        <f t="shared" si="97"/>
        <v>0.13329492146349223</v>
      </c>
      <c r="P168" s="290">
        <f t="shared" si="109"/>
        <v>0</v>
      </c>
      <c r="Q168" s="291">
        <f t="shared" si="98"/>
        <v>0</v>
      </c>
      <c r="R168" s="291">
        <f t="shared" si="110"/>
        <v>0</v>
      </c>
      <c r="S168" s="357">
        <v>17</v>
      </c>
      <c r="T168" s="292">
        <f t="shared" si="99"/>
        <v>93</v>
      </c>
      <c r="U168" s="254">
        <f t="shared" si="111"/>
        <v>2422.92</v>
      </c>
      <c r="V168" s="356">
        <v>1883111152.3299999</v>
      </c>
      <c r="W168" s="357">
        <v>14766</v>
      </c>
      <c r="X168" s="264">
        <f t="shared" si="100"/>
        <v>127530.21</v>
      </c>
      <c r="Y168" s="293">
        <f t="shared" si="101"/>
        <v>0.66240200000000005</v>
      </c>
      <c r="Z168" s="357">
        <v>115718</v>
      </c>
      <c r="AA168" s="293">
        <f t="shared" si="102"/>
        <v>0.96036100000000002</v>
      </c>
      <c r="AB168" s="293">
        <f t="shared" si="103"/>
        <v>0.24820999999999999</v>
      </c>
      <c r="AC168" s="294">
        <f t="shared" si="104"/>
        <v>0.24820999999999999</v>
      </c>
      <c r="AD168" s="295">
        <f t="shared" si="112"/>
        <v>0</v>
      </c>
      <c r="AE168" s="296">
        <f t="shared" si="113"/>
        <v>0.24820999999999999</v>
      </c>
      <c r="AF168" s="357">
        <v>0</v>
      </c>
      <c r="AG168" s="357">
        <v>0</v>
      </c>
      <c r="AH168" s="254">
        <f t="shared" si="114"/>
        <v>0</v>
      </c>
      <c r="AI168" s="9">
        <f t="shared" si="105"/>
        <v>0</v>
      </c>
      <c r="AJ168" s="9">
        <v>0</v>
      </c>
      <c r="AK168" s="9">
        <f t="shared" si="115"/>
        <v>0</v>
      </c>
      <c r="AL168" s="9">
        <f t="shared" si="116"/>
        <v>0</v>
      </c>
      <c r="AM168" s="9">
        <f t="shared" si="117"/>
        <v>0</v>
      </c>
      <c r="AN168" s="9">
        <f t="shared" si="118"/>
        <v>0</v>
      </c>
      <c r="AO168" s="9">
        <f t="shared" si="106"/>
        <v>6931054</v>
      </c>
      <c r="AP168" s="9">
        <f t="shared" si="119"/>
        <v>6931054</v>
      </c>
      <c r="AQ168" s="9">
        <f t="shared" si="120"/>
        <v>6931054</v>
      </c>
      <c r="AR168" s="291">
        <v>10699177</v>
      </c>
      <c r="AS168" s="9">
        <f t="shared" si="121"/>
        <v>3768123</v>
      </c>
      <c r="AT168" s="297" t="str">
        <f t="shared" si="122"/>
        <v>No</v>
      </c>
      <c r="AU168" s="357">
        <v>9105528</v>
      </c>
      <c r="AV168" s="291">
        <f t="shared" si="107"/>
        <v>313884.6459</v>
      </c>
      <c r="AW168" s="291">
        <f t="shared" si="123"/>
        <v>9105528</v>
      </c>
      <c r="AX168" s="291">
        <f t="shared" si="108"/>
        <v>9105528</v>
      </c>
      <c r="AY168" s="358">
        <f t="shared" si="124"/>
        <v>0</v>
      </c>
      <c r="AZ168" s="301"/>
      <c r="BA168" s="301"/>
      <c r="BB168" s="302"/>
      <c r="BC168" s="291">
        <f t="shared" si="125"/>
        <v>8791643.3541000001</v>
      </c>
      <c r="BD168" s="298">
        <f t="shared" si="126"/>
        <v>8477758.7082000002</v>
      </c>
      <c r="BE168" s="298">
        <f t="shared" si="126"/>
        <v>8163874.0623000003</v>
      </c>
      <c r="BF168" s="298">
        <f t="shared" si="126"/>
        <v>7849989.4164000005</v>
      </c>
      <c r="BG168" s="298">
        <f t="shared" si="127"/>
        <v>7536104.7705000006</v>
      </c>
      <c r="BH168" s="298">
        <f t="shared" si="127"/>
        <v>7222220.1246000007</v>
      </c>
      <c r="BI168" s="298">
        <f t="shared" si="128"/>
        <v>6931054</v>
      </c>
      <c r="BK168" s="298">
        <f t="shared" si="129"/>
        <v>8791643.3541000001</v>
      </c>
      <c r="BL168" s="298">
        <f t="shared" si="130"/>
        <v>8477758.7082000002</v>
      </c>
      <c r="BM168" s="298">
        <f t="shared" si="131"/>
        <v>8163874.0623000003</v>
      </c>
      <c r="BN168" s="298">
        <f t="shared" si="132"/>
        <v>7849989.4164000005</v>
      </c>
      <c r="BO168" s="298">
        <f t="shared" si="133"/>
        <v>7536104.7705000006</v>
      </c>
      <c r="BP168" s="298">
        <f t="shared" si="134"/>
        <v>7222220.1246000007</v>
      </c>
      <c r="BQ168" s="298">
        <f t="shared" si="135"/>
        <v>6931054</v>
      </c>
    </row>
    <row r="169" spans="1:69" ht="15" x14ac:dyDescent="0.2">
      <c r="A169" s="10" t="s">
        <v>19</v>
      </c>
      <c r="B169" s="10"/>
      <c r="C169" s="276">
        <v>1</v>
      </c>
      <c r="D169" s="276"/>
      <c r="E169" s="276"/>
      <c r="F169" s="8">
        <v>10</v>
      </c>
      <c r="G169" s="359">
        <v>16</v>
      </c>
      <c r="H169" s="10">
        <v>143</v>
      </c>
      <c r="I169" s="7" t="s">
        <v>155</v>
      </c>
      <c r="J169" s="287"/>
      <c r="K169" s="356">
        <v>4025.42</v>
      </c>
      <c r="L169" s="359"/>
      <c r="M169" s="289"/>
      <c r="N169" s="357">
        <v>2677</v>
      </c>
      <c r="O169" s="290">
        <f t="shared" si="97"/>
        <v>0.66502377391675893</v>
      </c>
      <c r="P169" s="290">
        <f t="shared" si="109"/>
        <v>6.5023773916758953E-2</v>
      </c>
      <c r="Q169" s="291">
        <f t="shared" si="98"/>
        <v>261.74799999999982</v>
      </c>
      <c r="R169" s="291">
        <f t="shared" si="110"/>
        <v>39.262199999999972</v>
      </c>
      <c r="S169" s="357">
        <v>391</v>
      </c>
      <c r="T169" s="292">
        <f t="shared" si="99"/>
        <v>803.1</v>
      </c>
      <c r="U169" s="254">
        <f t="shared" si="111"/>
        <v>4965.5322000000006</v>
      </c>
      <c r="V169" s="356">
        <v>2838568528</v>
      </c>
      <c r="W169" s="357">
        <v>34737</v>
      </c>
      <c r="X169" s="264">
        <f t="shared" si="100"/>
        <v>81716</v>
      </c>
      <c r="Y169" s="293">
        <f t="shared" si="101"/>
        <v>0.42443999999999998</v>
      </c>
      <c r="Z169" s="357">
        <v>63576</v>
      </c>
      <c r="AA169" s="293">
        <f t="shared" si="102"/>
        <v>0.52762699999999996</v>
      </c>
      <c r="AB169" s="293">
        <f t="shared" si="103"/>
        <v>0.54460399999999998</v>
      </c>
      <c r="AC169" s="294">
        <f t="shared" si="104"/>
        <v>0.54460399999999998</v>
      </c>
      <c r="AD169" s="295">
        <f t="shared" si="112"/>
        <v>0.03</v>
      </c>
      <c r="AE169" s="296">
        <f t="shared" si="113"/>
        <v>0.574604</v>
      </c>
      <c r="AF169" s="357">
        <v>0</v>
      </c>
      <c r="AG169" s="357">
        <v>0</v>
      </c>
      <c r="AH169" s="254">
        <f t="shared" si="114"/>
        <v>0</v>
      </c>
      <c r="AI169" s="9">
        <f t="shared" si="105"/>
        <v>0</v>
      </c>
      <c r="AJ169" s="9">
        <v>0</v>
      </c>
      <c r="AK169" s="9">
        <f t="shared" si="115"/>
        <v>0</v>
      </c>
      <c r="AL169" s="9">
        <f t="shared" si="116"/>
        <v>0</v>
      </c>
      <c r="AM169" s="9">
        <f t="shared" si="117"/>
        <v>0</v>
      </c>
      <c r="AN169" s="9">
        <f t="shared" si="118"/>
        <v>0</v>
      </c>
      <c r="AO169" s="9">
        <f t="shared" si="106"/>
        <v>32883299</v>
      </c>
      <c r="AP169" s="9">
        <f t="shared" si="119"/>
        <v>32883299</v>
      </c>
      <c r="AQ169" s="9">
        <f t="shared" si="120"/>
        <v>32883299</v>
      </c>
      <c r="AR169" s="291">
        <v>24482865</v>
      </c>
      <c r="AS169" s="9">
        <f t="shared" si="121"/>
        <v>8400434</v>
      </c>
      <c r="AT169" s="297" t="str">
        <f t="shared" si="122"/>
        <v>Yes</v>
      </c>
      <c r="AU169" s="357">
        <v>27853656.264400002</v>
      </c>
      <c r="AV169" s="291">
        <f t="shared" si="107"/>
        <v>895486.26439999999</v>
      </c>
      <c r="AW169" s="291">
        <f t="shared" si="123"/>
        <v>28749142.528800003</v>
      </c>
      <c r="AX169" s="291">
        <f t="shared" si="108"/>
        <v>28749142.528800003</v>
      </c>
      <c r="AY169" s="358">
        <f t="shared" si="124"/>
        <v>895486.26440000162</v>
      </c>
      <c r="AZ169" s="301"/>
      <c r="BA169" s="301"/>
      <c r="BB169" s="302"/>
      <c r="BC169" s="291">
        <f t="shared" si="125"/>
        <v>29644628.793200005</v>
      </c>
      <c r="BD169" s="298">
        <f t="shared" si="126"/>
        <v>30540115.057600006</v>
      </c>
      <c r="BE169" s="298">
        <f t="shared" si="126"/>
        <v>31435601.322000008</v>
      </c>
      <c r="BF169" s="298">
        <f t="shared" si="126"/>
        <v>32331087.58640001</v>
      </c>
      <c r="BG169" s="298">
        <f t="shared" si="127"/>
        <v>32883299</v>
      </c>
      <c r="BH169" s="298">
        <f t="shared" si="127"/>
        <v>32883299</v>
      </c>
      <c r="BI169" s="298">
        <f t="shared" si="128"/>
        <v>32883299</v>
      </c>
      <c r="BK169" s="298">
        <f t="shared" si="129"/>
        <v>29644628.793200005</v>
      </c>
      <c r="BL169" s="298">
        <f t="shared" si="130"/>
        <v>30540115.057600006</v>
      </c>
      <c r="BM169" s="298">
        <f t="shared" si="131"/>
        <v>31435601.322000008</v>
      </c>
      <c r="BN169" s="298">
        <f t="shared" si="132"/>
        <v>32331087.58640001</v>
      </c>
      <c r="BO169" s="298">
        <f t="shared" si="133"/>
        <v>32883299</v>
      </c>
      <c r="BP169" s="298">
        <f t="shared" si="134"/>
        <v>32883299</v>
      </c>
      <c r="BQ169" s="298">
        <f t="shared" si="135"/>
        <v>32883299</v>
      </c>
    </row>
    <row r="170" spans="1:69" ht="15" x14ac:dyDescent="0.2">
      <c r="A170" s="10" t="s">
        <v>10</v>
      </c>
      <c r="B170" s="10"/>
      <c r="C170" s="276"/>
      <c r="D170" s="276"/>
      <c r="E170" s="276"/>
      <c r="F170" s="8">
        <v>3</v>
      </c>
      <c r="G170" s="355">
        <v>103</v>
      </c>
      <c r="H170" s="10">
        <v>144</v>
      </c>
      <c r="I170" s="7" t="s">
        <v>156</v>
      </c>
      <c r="J170" s="287"/>
      <c r="K170" s="356">
        <v>6574.91</v>
      </c>
      <c r="L170" s="355"/>
      <c r="M170" s="289"/>
      <c r="N170" s="357">
        <v>1182</v>
      </c>
      <c r="O170" s="290">
        <f t="shared" si="97"/>
        <v>0.1797743239070953</v>
      </c>
      <c r="P170" s="290">
        <f t="shared" si="109"/>
        <v>0</v>
      </c>
      <c r="Q170" s="291">
        <f t="shared" si="98"/>
        <v>0</v>
      </c>
      <c r="R170" s="291">
        <f t="shared" si="110"/>
        <v>0</v>
      </c>
      <c r="S170" s="357">
        <v>278</v>
      </c>
      <c r="T170" s="292">
        <f t="shared" si="99"/>
        <v>354.6</v>
      </c>
      <c r="U170" s="254">
        <f t="shared" si="111"/>
        <v>6999.01</v>
      </c>
      <c r="V170" s="356">
        <v>6977094664.6700001</v>
      </c>
      <c r="W170" s="357">
        <v>36174</v>
      </c>
      <c r="X170" s="264">
        <f t="shared" si="100"/>
        <v>192875.95</v>
      </c>
      <c r="Y170" s="293">
        <f t="shared" si="101"/>
        <v>1.001814</v>
      </c>
      <c r="Z170" s="357">
        <v>118707</v>
      </c>
      <c r="AA170" s="293">
        <f t="shared" si="102"/>
        <v>0.98516700000000001</v>
      </c>
      <c r="AB170" s="293">
        <f t="shared" si="103"/>
        <v>3.1800000000000001E-3</v>
      </c>
      <c r="AC170" s="294">
        <f t="shared" si="104"/>
        <v>0.01</v>
      </c>
      <c r="AD170" s="295">
        <f t="shared" si="112"/>
        <v>0</v>
      </c>
      <c r="AE170" s="296">
        <f t="shared" si="113"/>
        <v>0.01</v>
      </c>
      <c r="AF170" s="357">
        <v>0</v>
      </c>
      <c r="AG170" s="357">
        <v>0</v>
      </c>
      <c r="AH170" s="254">
        <f t="shared" si="114"/>
        <v>0</v>
      </c>
      <c r="AI170" s="9">
        <f t="shared" si="105"/>
        <v>0</v>
      </c>
      <c r="AJ170" s="9">
        <v>0</v>
      </c>
      <c r="AK170" s="9">
        <f t="shared" si="115"/>
        <v>0</v>
      </c>
      <c r="AL170" s="9">
        <f t="shared" si="116"/>
        <v>0</v>
      </c>
      <c r="AM170" s="9">
        <f t="shared" si="117"/>
        <v>0</v>
      </c>
      <c r="AN170" s="9">
        <f t="shared" si="118"/>
        <v>0</v>
      </c>
      <c r="AO170" s="9">
        <f t="shared" si="106"/>
        <v>806636</v>
      </c>
      <c r="AP170" s="9">
        <f t="shared" si="119"/>
        <v>806636</v>
      </c>
      <c r="AQ170" s="9">
        <f t="shared" si="120"/>
        <v>806636</v>
      </c>
      <c r="AR170" s="291">
        <v>3418401</v>
      </c>
      <c r="AS170" s="9">
        <f t="shared" si="121"/>
        <v>2611765</v>
      </c>
      <c r="AT170" s="297" t="str">
        <f t="shared" si="122"/>
        <v>No</v>
      </c>
      <c r="AU170" s="357">
        <v>2323541</v>
      </c>
      <c r="AV170" s="291">
        <f t="shared" si="107"/>
        <v>217560.0245</v>
      </c>
      <c r="AW170" s="291">
        <f t="shared" si="123"/>
        <v>2323541</v>
      </c>
      <c r="AX170" s="291">
        <f t="shared" si="108"/>
        <v>2323541</v>
      </c>
      <c r="AY170" s="358">
        <f t="shared" si="124"/>
        <v>0</v>
      </c>
      <c r="AZ170" s="301"/>
      <c r="BA170" s="301"/>
      <c r="BB170" s="302"/>
      <c r="BC170" s="291">
        <f t="shared" si="125"/>
        <v>2105980.9755000002</v>
      </c>
      <c r="BD170" s="298">
        <f t="shared" si="126"/>
        <v>1888420.9510000001</v>
      </c>
      <c r="BE170" s="298">
        <f t="shared" si="126"/>
        <v>1670860.9265000001</v>
      </c>
      <c r="BF170" s="298">
        <f t="shared" si="126"/>
        <v>1453300.902</v>
      </c>
      <c r="BG170" s="298">
        <f t="shared" si="127"/>
        <v>1235740.8774999999</v>
      </c>
      <c r="BH170" s="298">
        <f t="shared" si="127"/>
        <v>1018180.8529999999</v>
      </c>
      <c r="BI170" s="298">
        <f t="shared" si="128"/>
        <v>806636</v>
      </c>
      <c r="BK170" s="298">
        <f t="shared" si="129"/>
        <v>2105980.9755000002</v>
      </c>
      <c r="BL170" s="298">
        <f t="shared" si="130"/>
        <v>1888420.9510000001</v>
      </c>
      <c r="BM170" s="298">
        <f t="shared" si="131"/>
        <v>1670860.9265000001</v>
      </c>
      <c r="BN170" s="298">
        <f t="shared" si="132"/>
        <v>1453300.902</v>
      </c>
      <c r="BO170" s="298">
        <f t="shared" si="133"/>
        <v>1235740.8774999999</v>
      </c>
      <c r="BP170" s="298">
        <f t="shared" si="134"/>
        <v>1018180.8529999999</v>
      </c>
      <c r="BQ170" s="298">
        <f t="shared" si="135"/>
        <v>806636</v>
      </c>
    </row>
    <row r="171" spans="1:69" ht="15" x14ac:dyDescent="0.2">
      <c r="A171" s="10" t="s">
        <v>8</v>
      </c>
      <c r="B171" s="10"/>
      <c r="C171" s="276"/>
      <c r="D171" s="276"/>
      <c r="E171" s="276"/>
      <c r="F171" s="8">
        <v>4</v>
      </c>
      <c r="G171" s="355">
        <v>115</v>
      </c>
      <c r="H171" s="10">
        <v>145</v>
      </c>
      <c r="I171" s="7" t="s">
        <v>157</v>
      </c>
      <c r="J171" s="287"/>
      <c r="K171" s="356">
        <v>79.930000000000007</v>
      </c>
      <c r="L171" s="355"/>
      <c r="M171" s="289"/>
      <c r="N171" s="357">
        <v>6</v>
      </c>
      <c r="O171" s="290">
        <f t="shared" si="97"/>
        <v>7.5065682472163137E-2</v>
      </c>
      <c r="P171" s="290">
        <f t="shared" si="109"/>
        <v>0</v>
      </c>
      <c r="Q171" s="291">
        <f t="shared" si="98"/>
        <v>0</v>
      </c>
      <c r="R171" s="291">
        <f t="shared" si="110"/>
        <v>0</v>
      </c>
      <c r="S171" s="357">
        <v>0</v>
      </c>
      <c r="T171" s="292">
        <f t="shared" si="99"/>
        <v>1.8</v>
      </c>
      <c r="U171" s="254">
        <f t="shared" si="111"/>
        <v>81.73</v>
      </c>
      <c r="V171" s="356">
        <v>132622186</v>
      </c>
      <c r="W171" s="357">
        <v>873</v>
      </c>
      <c r="X171" s="264">
        <f t="shared" si="100"/>
        <v>151915.45000000001</v>
      </c>
      <c r="Y171" s="293">
        <f t="shared" si="101"/>
        <v>0.78906100000000001</v>
      </c>
      <c r="Z171" s="357">
        <v>90714</v>
      </c>
      <c r="AA171" s="293">
        <f t="shared" si="102"/>
        <v>0.75284899999999999</v>
      </c>
      <c r="AB171" s="293">
        <f t="shared" si="103"/>
        <v>0.221803</v>
      </c>
      <c r="AC171" s="294">
        <f t="shared" si="104"/>
        <v>0.221803</v>
      </c>
      <c r="AD171" s="295">
        <f t="shared" si="112"/>
        <v>0</v>
      </c>
      <c r="AE171" s="296">
        <f t="shared" si="113"/>
        <v>0.221803</v>
      </c>
      <c r="AF171" s="357">
        <v>0</v>
      </c>
      <c r="AG171" s="357">
        <v>0</v>
      </c>
      <c r="AH171" s="254">
        <f t="shared" si="114"/>
        <v>0</v>
      </c>
      <c r="AI171" s="9">
        <f t="shared" si="105"/>
        <v>0</v>
      </c>
      <c r="AJ171" s="9">
        <v>34</v>
      </c>
      <c r="AK171" s="9">
        <f t="shared" si="115"/>
        <v>4</v>
      </c>
      <c r="AL171" s="9">
        <f t="shared" si="116"/>
        <v>400</v>
      </c>
      <c r="AM171" s="9">
        <f t="shared" si="117"/>
        <v>13600</v>
      </c>
      <c r="AN171" s="9">
        <f t="shared" si="118"/>
        <v>13600</v>
      </c>
      <c r="AO171" s="9">
        <f t="shared" si="106"/>
        <v>208925</v>
      </c>
      <c r="AP171" s="9">
        <f t="shared" si="119"/>
        <v>222525</v>
      </c>
      <c r="AQ171" s="9">
        <f t="shared" si="120"/>
        <v>222525</v>
      </c>
      <c r="AR171" s="291">
        <v>237166</v>
      </c>
      <c r="AS171" s="9">
        <f t="shared" si="121"/>
        <v>14641</v>
      </c>
      <c r="AT171" s="297" t="str">
        <f t="shared" si="122"/>
        <v>No</v>
      </c>
      <c r="AU171" s="357">
        <v>211728</v>
      </c>
      <c r="AV171" s="291">
        <f t="shared" si="107"/>
        <v>1219.5953</v>
      </c>
      <c r="AW171" s="291">
        <f t="shared" si="123"/>
        <v>211728</v>
      </c>
      <c r="AX171" s="291">
        <f t="shared" si="108"/>
        <v>211728</v>
      </c>
      <c r="AY171" s="358">
        <f t="shared" si="124"/>
        <v>0</v>
      </c>
      <c r="AZ171" s="301"/>
      <c r="BA171" s="301"/>
      <c r="BB171" s="302"/>
      <c r="BC171" s="291">
        <f t="shared" si="125"/>
        <v>210508.40470000001</v>
      </c>
      <c r="BD171" s="298">
        <f t="shared" si="126"/>
        <v>209288.80940000003</v>
      </c>
      <c r="BE171" s="298">
        <f t="shared" si="126"/>
        <v>208069.21410000004</v>
      </c>
      <c r="BF171" s="298">
        <f t="shared" si="126"/>
        <v>206849.61880000005</v>
      </c>
      <c r="BG171" s="298">
        <f t="shared" si="127"/>
        <v>205630.02350000007</v>
      </c>
      <c r="BH171" s="298">
        <f t="shared" si="127"/>
        <v>204410.42820000008</v>
      </c>
      <c r="BI171" s="298">
        <f t="shared" si="128"/>
        <v>222525</v>
      </c>
      <c r="BK171" s="298">
        <f t="shared" si="129"/>
        <v>210508.40470000001</v>
      </c>
      <c r="BL171" s="298">
        <f t="shared" si="130"/>
        <v>209288.80940000003</v>
      </c>
      <c r="BM171" s="298">
        <f t="shared" si="131"/>
        <v>208069.21410000004</v>
      </c>
      <c r="BN171" s="298">
        <f t="shared" si="132"/>
        <v>206849.61880000005</v>
      </c>
      <c r="BO171" s="298">
        <f t="shared" si="133"/>
        <v>205630.02350000007</v>
      </c>
      <c r="BP171" s="298">
        <f t="shared" si="134"/>
        <v>204410.42820000008</v>
      </c>
      <c r="BQ171" s="298">
        <f t="shared" si="135"/>
        <v>222525</v>
      </c>
    </row>
    <row r="172" spans="1:69" ht="15" x14ac:dyDescent="0.2">
      <c r="A172" s="10" t="s">
        <v>19</v>
      </c>
      <c r="B172" s="10"/>
      <c r="C172" s="276">
        <v>1</v>
      </c>
      <c r="D172" s="276">
        <v>1</v>
      </c>
      <c r="E172" s="276"/>
      <c r="F172" s="8">
        <v>9</v>
      </c>
      <c r="G172" s="359">
        <v>19</v>
      </c>
      <c r="H172" s="10">
        <v>146</v>
      </c>
      <c r="I172" s="7" t="s">
        <v>158</v>
      </c>
      <c r="J172" s="287"/>
      <c r="K172" s="356">
        <v>3254.16</v>
      </c>
      <c r="L172" s="359"/>
      <c r="M172" s="289"/>
      <c r="N172" s="357">
        <v>1797</v>
      </c>
      <c r="O172" s="290">
        <f t="shared" si="97"/>
        <v>0.55221624013570325</v>
      </c>
      <c r="P172" s="290">
        <f t="shared" si="109"/>
        <v>0</v>
      </c>
      <c r="Q172" s="291">
        <f t="shared" si="98"/>
        <v>0</v>
      </c>
      <c r="R172" s="291">
        <f t="shared" si="110"/>
        <v>0</v>
      </c>
      <c r="S172" s="357">
        <v>126</v>
      </c>
      <c r="T172" s="292">
        <f t="shared" si="99"/>
        <v>539.1</v>
      </c>
      <c r="U172" s="254">
        <f t="shared" si="111"/>
        <v>3824.7599999999998</v>
      </c>
      <c r="V172" s="356">
        <v>2787214755.3299999</v>
      </c>
      <c r="W172" s="357">
        <v>29157</v>
      </c>
      <c r="X172" s="264">
        <f t="shared" si="100"/>
        <v>95593.33</v>
      </c>
      <c r="Y172" s="293">
        <f t="shared" si="101"/>
        <v>0.49652000000000002</v>
      </c>
      <c r="Z172" s="357">
        <v>62566</v>
      </c>
      <c r="AA172" s="293">
        <f t="shared" si="102"/>
        <v>0.51924499999999996</v>
      </c>
      <c r="AB172" s="293">
        <f t="shared" si="103"/>
        <v>0.49666300000000002</v>
      </c>
      <c r="AC172" s="294">
        <f t="shared" si="104"/>
        <v>0.49666300000000002</v>
      </c>
      <c r="AD172" s="295">
        <f t="shared" si="112"/>
        <v>0.03</v>
      </c>
      <c r="AE172" s="296">
        <f t="shared" si="113"/>
        <v>0.52666299999999999</v>
      </c>
      <c r="AF172" s="357">
        <v>0</v>
      </c>
      <c r="AG172" s="357">
        <v>0</v>
      </c>
      <c r="AH172" s="254">
        <f t="shared" si="114"/>
        <v>0</v>
      </c>
      <c r="AI172" s="9">
        <f t="shared" si="105"/>
        <v>0</v>
      </c>
      <c r="AJ172" s="9">
        <v>0</v>
      </c>
      <c r="AK172" s="9">
        <f t="shared" si="115"/>
        <v>0</v>
      </c>
      <c r="AL172" s="9">
        <f t="shared" si="116"/>
        <v>0</v>
      </c>
      <c r="AM172" s="9">
        <f t="shared" si="117"/>
        <v>0</v>
      </c>
      <c r="AN172" s="9">
        <f t="shared" si="118"/>
        <v>0</v>
      </c>
      <c r="AO172" s="9">
        <f t="shared" si="106"/>
        <v>23215494</v>
      </c>
      <c r="AP172" s="9">
        <f t="shared" si="119"/>
        <v>23215494</v>
      </c>
      <c r="AQ172" s="9">
        <f t="shared" si="120"/>
        <v>23215494</v>
      </c>
      <c r="AR172" s="291">
        <v>19250233</v>
      </c>
      <c r="AS172" s="9">
        <f t="shared" si="121"/>
        <v>3965261</v>
      </c>
      <c r="AT172" s="297" t="str">
        <f t="shared" si="122"/>
        <v>Yes</v>
      </c>
      <c r="AU172" s="357">
        <v>20592785.8226</v>
      </c>
      <c r="AV172" s="291">
        <f t="shared" si="107"/>
        <v>422696.82260000001</v>
      </c>
      <c r="AW172" s="291">
        <f t="shared" si="123"/>
        <v>21015482.645199999</v>
      </c>
      <c r="AX172" s="291">
        <f t="shared" si="108"/>
        <v>21015482.645199999</v>
      </c>
      <c r="AY172" s="358">
        <f t="shared" si="124"/>
        <v>422696.82259999961</v>
      </c>
      <c r="AZ172" s="301"/>
      <c r="BA172" s="301"/>
      <c r="BB172" s="302"/>
      <c r="BC172" s="291">
        <f t="shared" si="125"/>
        <v>21438179.467799999</v>
      </c>
      <c r="BD172" s="298">
        <f t="shared" ref="BD172:BF187" si="136">IF($AT172="Yes",BC172+$AV172,BC172-$AV172)</f>
        <v>21860876.290399998</v>
      </c>
      <c r="BE172" s="298">
        <f t="shared" si="136"/>
        <v>22283573.112999998</v>
      </c>
      <c r="BF172" s="298">
        <f t="shared" si="136"/>
        <v>22706269.935599998</v>
      </c>
      <c r="BG172" s="298">
        <f t="shared" ref="BG172:BH187" si="137">IF($AT172="Yes",$AP172,BF172-$AV172)</f>
        <v>23215494</v>
      </c>
      <c r="BH172" s="298">
        <f t="shared" si="137"/>
        <v>23215494</v>
      </c>
      <c r="BI172" s="298">
        <f t="shared" si="128"/>
        <v>23215494</v>
      </c>
      <c r="BK172" s="298">
        <f t="shared" si="129"/>
        <v>21438179.467799999</v>
      </c>
      <c r="BL172" s="298">
        <f t="shared" si="130"/>
        <v>21860876.290399998</v>
      </c>
      <c r="BM172" s="298">
        <f t="shared" si="131"/>
        <v>22283573.112999998</v>
      </c>
      <c r="BN172" s="298">
        <f t="shared" si="132"/>
        <v>22706269.935599998</v>
      </c>
      <c r="BO172" s="298">
        <f t="shared" si="133"/>
        <v>23215494</v>
      </c>
      <c r="BP172" s="298">
        <f t="shared" si="134"/>
        <v>23215494</v>
      </c>
      <c r="BQ172" s="298">
        <f t="shared" si="135"/>
        <v>23215494</v>
      </c>
    </row>
    <row r="173" spans="1:69" ht="15" x14ac:dyDescent="0.2">
      <c r="A173" s="10" t="s">
        <v>32</v>
      </c>
      <c r="B173" s="10"/>
      <c r="C173" s="276"/>
      <c r="D173" s="276"/>
      <c r="E173" s="276"/>
      <c r="F173" s="8">
        <v>8</v>
      </c>
      <c r="G173" s="359">
        <v>35</v>
      </c>
      <c r="H173" s="10">
        <v>147</v>
      </c>
      <c r="I173" s="7" t="s">
        <v>159</v>
      </c>
      <c r="J173" s="287"/>
      <c r="K173" s="356">
        <v>317.20999999999998</v>
      </c>
      <c r="L173" s="359"/>
      <c r="M173" s="289"/>
      <c r="N173" s="357">
        <v>85</v>
      </c>
      <c r="O173" s="290">
        <f t="shared" si="97"/>
        <v>0.26796128747517417</v>
      </c>
      <c r="P173" s="290">
        <f t="shared" si="109"/>
        <v>0</v>
      </c>
      <c r="Q173" s="291">
        <f t="shared" si="98"/>
        <v>0</v>
      </c>
      <c r="R173" s="291">
        <f t="shared" si="110"/>
        <v>0</v>
      </c>
      <c r="S173" s="357">
        <v>0</v>
      </c>
      <c r="T173" s="292">
        <f t="shared" si="99"/>
        <v>25.5</v>
      </c>
      <c r="U173" s="254">
        <f t="shared" si="111"/>
        <v>342.71</v>
      </c>
      <c r="V173" s="356">
        <v>313503038.32999998</v>
      </c>
      <c r="W173" s="357">
        <v>2559</v>
      </c>
      <c r="X173" s="264">
        <f t="shared" si="100"/>
        <v>122509.98</v>
      </c>
      <c r="Y173" s="293">
        <f t="shared" si="101"/>
        <v>0.63632699999999998</v>
      </c>
      <c r="Z173" s="357">
        <v>75673</v>
      </c>
      <c r="AA173" s="293">
        <f t="shared" si="102"/>
        <v>0.62802199999999997</v>
      </c>
      <c r="AB173" s="293">
        <f t="shared" si="103"/>
        <v>0.36616500000000002</v>
      </c>
      <c r="AC173" s="294">
        <f t="shared" si="104"/>
        <v>0.36616500000000002</v>
      </c>
      <c r="AD173" s="295">
        <f t="shared" si="112"/>
        <v>0</v>
      </c>
      <c r="AE173" s="296">
        <f t="shared" si="113"/>
        <v>0.36616500000000002</v>
      </c>
      <c r="AF173" s="357">
        <v>0</v>
      </c>
      <c r="AG173" s="357">
        <v>0</v>
      </c>
      <c r="AH173" s="254">
        <f t="shared" si="114"/>
        <v>0</v>
      </c>
      <c r="AI173" s="9">
        <f t="shared" si="105"/>
        <v>0</v>
      </c>
      <c r="AJ173" s="9">
        <v>52</v>
      </c>
      <c r="AK173" s="9">
        <f t="shared" si="115"/>
        <v>4</v>
      </c>
      <c r="AL173" s="9">
        <f t="shared" si="116"/>
        <v>400</v>
      </c>
      <c r="AM173" s="9">
        <f t="shared" si="117"/>
        <v>20800</v>
      </c>
      <c r="AN173" s="9">
        <f t="shared" si="118"/>
        <v>20800</v>
      </c>
      <c r="AO173" s="9">
        <f t="shared" si="106"/>
        <v>1446254</v>
      </c>
      <c r="AP173" s="9">
        <f t="shared" si="119"/>
        <v>1467054</v>
      </c>
      <c r="AQ173" s="9">
        <f t="shared" si="120"/>
        <v>1467054</v>
      </c>
      <c r="AR173" s="291">
        <v>2502621</v>
      </c>
      <c r="AS173" s="9">
        <f t="shared" si="121"/>
        <v>1035567</v>
      </c>
      <c r="AT173" s="297" t="str">
        <f t="shared" si="122"/>
        <v>No</v>
      </c>
      <c r="AU173" s="357">
        <v>2117243</v>
      </c>
      <c r="AV173" s="291">
        <f t="shared" si="107"/>
        <v>86262.731100000005</v>
      </c>
      <c r="AW173" s="291">
        <f t="shared" si="123"/>
        <v>2117243</v>
      </c>
      <c r="AX173" s="291">
        <f t="shared" si="108"/>
        <v>2117243</v>
      </c>
      <c r="AY173" s="358">
        <f t="shared" si="124"/>
        <v>0</v>
      </c>
      <c r="AZ173" s="301"/>
      <c r="BA173" s="301"/>
      <c r="BB173" s="302"/>
      <c r="BC173" s="291">
        <f t="shared" si="125"/>
        <v>2030980.2689</v>
      </c>
      <c r="BD173" s="298">
        <f t="shared" si="136"/>
        <v>1944717.5378</v>
      </c>
      <c r="BE173" s="298">
        <f t="shared" si="136"/>
        <v>1858454.8067000001</v>
      </c>
      <c r="BF173" s="298">
        <f t="shared" si="136"/>
        <v>1772192.0756000001</v>
      </c>
      <c r="BG173" s="298">
        <f t="shared" si="137"/>
        <v>1685929.3445000001</v>
      </c>
      <c r="BH173" s="298">
        <f t="shared" si="137"/>
        <v>1599666.6134000001</v>
      </c>
      <c r="BI173" s="298">
        <f t="shared" si="128"/>
        <v>1467054</v>
      </c>
      <c r="BK173" s="298">
        <f t="shared" si="129"/>
        <v>2030980.2689</v>
      </c>
      <c r="BL173" s="298">
        <f t="shared" si="130"/>
        <v>1944717.5378</v>
      </c>
      <c r="BM173" s="298">
        <f t="shared" si="131"/>
        <v>1858454.8067000001</v>
      </c>
      <c r="BN173" s="298">
        <f t="shared" si="132"/>
        <v>1772192.0756000001</v>
      </c>
      <c r="BO173" s="298">
        <f t="shared" si="133"/>
        <v>1685929.3445000001</v>
      </c>
      <c r="BP173" s="298">
        <f t="shared" si="134"/>
        <v>1599666.6134000001</v>
      </c>
      <c r="BQ173" s="298">
        <f t="shared" si="135"/>
        <v>1467054</v>
      </c>
    </row>
    <row r="174" spans="1:69" ht="15" x14ac:dyDescent="0.2">
      <c r="A174" s="10" t="s">
        <v>14</v>
      </c>
      <c r="B174" s="10"/>
      <c r="C174" s="276"/>
      <c r="D174" s="276"/>
      <c r="E174" s="276"/>
      <c r="F174" s="8">
        <v>6</v>
      </c>
      <c r="G174" s="355">
        <v>86</v>
      </c>
      <c r="H174" s="10">
        <v>148</v>
      </c>
      <c r="I174" s="7" t="s">
        <v>160</v>
      </c>
      <c r="J174" s="287"/>
      <c r="K174" s="356">
        <v>5424.67</v>
      </c>
      <c r="L174" s="355"/>
      <c r="M174" s="289"/>
      <c r="N174" s="357">
        <v>1773</v>
      </c>
      <c r="O174" s="290">
        <f t="shared" si="97"/>
        <v>0.32684015801882876</v>
      </c>
      <c r="P174" s="290">
        <f t="shared" si="109"/>
        <v>0</v>
      </c>
      <c r="Q174" s="291">
        <f t="shared" si="98"/>
        <v>0</v>
      </c>
      <c r="R174" s="291">
        <f t="shared" si="110"/>
        <v>0</v>
      </c>
      <c r="S174" s="357">
        <v>326</v>
      </c>
      <c r="T174" s="292">
        <f t="shared" si="99"/>
        <v>531.9</v>
      </c>
      <c r="U174" s="254">
        <f t="shared" si="111"/>
        <v>6038.07</v>
      </c>
      <c r="V174" s="356">
        <v>6344589339</v>
      </c>
      <c r="W174" s="357">
        <v>44771</v>
      </c>
      <c r="X174" s="264">
        <f t="shared" si="100"/>
        <v>141712.03</v>
      </c>
      <c r="Y174" s="293">
        <f t="shared" si="101"/>
        <v>0.73606400000000005</v>
      </c>
      <c r="Z174" s="357">
        <v>79420</v>
      </c>
      <c r="AA174" s="293">
        <f t="shared" si="102"/>
        <v>0.65911900000000001</v>
      </c>
      <c r="AB174" s="293">
        <f t="shared" si="103"/>
        <v>0.28702</v>
      </c>
      <c r="AC174" s="294">
        <f t="shared" si="104"/>
        <v>0.28702</v>
      </c>
      <c r="AD174" s="295">
        <f t="shared" si="112"/>
        <v>0</v>
      </c>
      <c r="AE174" s="296">
        <f t="shared" si="113"/>
        <v>0.28702</v>
      </c>
      <c r="AF174" s="357">
        <v>0</v>
      </c>
      <c r="AG174" s="357">
        <v>0</v>
      </c>
      <c r="AH174" s="254">
        <f t="shared" si="114"/>
        <v>0</v>
      </c>
      <c r="AI174" s="9">
        <f t="shared" si="105"/>
        <v>0</v>
      </c>
      <c r="AJ174" s="9">
        <v>0</v>
      </c>
      <c r="AK174" s="9">
        <f t="shared" si="115"/>
        <v>0</v>
      </c>
      <c r="AL174" s="9">
        <f t="shared" si="116"/>
        <v>0</v>
      </c>
      <c r="AM174" s="9">
        <f t="shared" si="117"/>
        <v>0</v>
      </c>
      <c r="AN174" s="9">
        <f t="shared" si="118"/>
        <v>0</v>
      </c>
      <c r="AO174" s="9">
        <f t="shared" si="106"/>
        <v>19973365</v>
      </c>
      <c r="AP174" s="9">
        <f t="shared" si="119"/>
        <v>19973365</v>
      </c>
      <c r="AQ174" s="9">
        <f t="shared" si="120"/>
        <v>19973365</v>
      </c>
      <c r="AR174" s="291">
        <v>21301522</v>
      </c>
      <c r="AS174" s="9">
        <f t="shared" si="121"/>
        <v>1328157</v>
      </c>
      <c r="AT174" s="297" t="str">
        <f t="shared" si="122"/>
        <v>No</v>
      </c>
      <c r="AU174" s="357">
        <v>20855570</v>
      </c>
      <c r="AV174" s="291">
        <f t="shared" si="107"/>
        <v>110635.47809999999</v>
      </c>
      <c r="AW174" s="291">
        <f t="shared" si="123"/>
        <v>20855570</v>
      </c>
      <c r="AX174" s="291">
        <f t="shared" si="108"/>
        <v>20855570</v>
      </c>
      <c r="AY174" s="358">
        <f t="shared" si="124"/>
        <v>0</v>
      </c>
      <c r="AZ174" s="301"/>
      <c r="BA174" s="301"/>
      <c r="BB174" s="302"/>
      <c r="BC174" s="291">
        <f t="shared" si="125"/>
        <v>20744934.521899998</v>
      </c>
      <c r="BD174" s="298">
        <f t="shared" si="136"/>
        <v>20634299.043799996</v>
      </c>
      <c r="BE174" s="298">
        <f t="shared" si="136"/>
        <v>20523663.565699995</v>
      </c>
      <c r="BF174" s="298">
        <f t="shared" si="136"/>
        <v>20413028.087599993</v>
      </c>
      <c r="BG174" s="298">
        <f t="shared" si="137"/>
        <v>20302392.609499991</v>
      </c>
      <c r="BH174" s="298">
        <f t="shared" si="137"/>
        <v>20191757.131399989</v>
      </c>
      <c r="BI174" s="298">
        <f t="shared" si="128"/>
        <v>19973365</v>
      </c>
      <c r="BK174" s="298">
        <f t="shared" si="129"/>
        <v>20744934.521899998</v>
      </c>
      <c r="BL174" s="298">
        <f t="shared" si="130"/>
        <v>20634299.043799996</v>
      </c>
      <c r="BM174" s="298">
        <f t="shared" si="131"/>
        <v>20523663.565699995</v>
      </c>
      <c r="BN174" s="298">
        <f t="shared" si="132"/>
        <v>20413028.087599993</v>
      </c>
      <c r="BO174" s="298">
        <f t="shared" si="133"/>
        <v>20302392.609499991</v>
      </c>
      <c r="BP174" s="298">
        <f t="shared" si="134"/>
        <v>20191757.131399989</v>
      </c>
      <c r="BQ174" s="298">
        <f t="shared" si="135"/>
        <v>19973365</v>
      </c>
    </row>
    <row r="175" spans="1:69" ht="15" x14ac:dyDescent="0.2">
      <c r="A175" s="10" t="s">
        <v>8</v>
      </c>
      <c r="B175" s="10"/>
      <c r="C175" s="276"/>
      <c r="D175" s="276"/>
      <c r="E175" s="276"/>
      <c r="F175" s="8">
        <v>1</v>
      </c>
      <c r="G175" s="355">
        <v>157</v>
      </c>
      <c r="H175" s="10">
        <v>149</v>
      </c>
      <c r="I175" s="7" t="s">
        <v>161</v>
      </c>
      <c r="J175" s="287"/>
      <c r="K175" s="356">
        <v>119.38</v>
      </c>
      <c r="L175" s="355"/>
      <c r="M175" s="289"/>
      <c r="N175" s="357">
        <v>27</v>
      </c>
      <c r="O175" s="290">
        <f t="shared" si="97"/>
        <v>0.22616853744345788</v>
      </c>
      <c r="P175" s="290">
        <f t="shared" si="109"/>
        <v>0</v>
      </c>
      <c r="Q175" s="291">
        <f t="shared" si="98"/>
        <v>0</v>
      </c>
      <c r="R175" s="291">
        <f t="shared" si="110"/>
        <v>0</v>
      </c>
      <c r="S175" s="357">
        <v>0</v>
      </c>
      <c r="T175" s="292">
        <f t="shared" si="99"/>
        <v>8.1</v>
      </c>
      <c r="U175" s="254">
        <f t="shared" si="111"/>
        <v>127.47999999999999</v>
      </c>
      <c r="V175" s="356">
        <v>557946419</v>
      </c>
      <c r="W175" s="357">
        <v>1432</v>
      </c>
      <c r="X175" s="264">
        <f t="shared" si="100"/>
        <v>389627.39</v>
      </c>
      <c r="Y175" s="293">
        <f t="shared" si="101"/>
        <v>2.0237569999999998</v>
      </c>
      <c r="Z175" s="357">
        <v>107813</v>
      </c>
      <c r="AA175" s="293">
        <f t="shared" si="102"/>
        <v>0.894756</v>
      </c>
      <c r="AB175" s="293">
        <f t="shared" si="103"/>
        <v>-0.68505700000000003</v>
      </c>
      <c r="AC175" s="294">
        <f t="shared" si="104"/>
        <v>0.01</v>
      </c>
      <c r="AD175" s="295">
        <f t="shared" si="112"/>
        <v>0</v>
      </c>
      <c r="AE175" s="296">
        <f t="shared" si="113"/>
        <v>0.01</v>
      </c>
      <c r="AF175" s="357">
        <v>121</v>
      </c>
      <c r="AG175" s="357">
        <v>13</v>
      </c>
      <c r="AH175" s="254">
        <f t="shared" si="114"/>
        <v>1300</v>
      </c>
      <c r="AI175" s="9">
        <f t="shared" si="105"/>
        <v>157300</v>
      </c>
      <c r="AJ175" s="9">
        <v>0</v>
      </c>
      <c r="AK175" s="9">
        <f t="shared" si="115"/>
        <v>0</v>
      </c>
      <c r="AL175" s="9">
        <f t="shared" si="116"/>
        <v>0</v>
      </c>
      <c r="AM175" s="9">
        <f t="shared" si="117"/>
        <v>0</v>
      </c>
      <c r="AN175" s="9">
        <f t="shared" si="118"/>
        <v>157300</v>
      </c>
      <c r="AO175" s="9">
        <f t="shared" si="106"/>
        <v>14692</v>
      </c>
      <c r="AP175" s="9">
        <f t="shared" si="119"/>
        <v>171992</v>
      </c>
      <c r="AQ175" s="9">
        <f t="shared" si="120"/>
        <v>171992</v>
      </c>
      <c r="AR175" s="291">
        <v>33205</v>
      </c>
      <c r="AS175" s="9">
        <f t="shared" si="121"/>
        <v>138787</v>
      </c>
      <c r="AT175" s="297" t="str">
        <f t="shared" si="122"/>
        <v>Yes</v>
      </c>
      <c r="AU175" s="357">
        <v>46909.694199999998</v>
      </c>
      <c r="AV175" s="291">
        <f t="shared" si="107"/>
        <v>14794.6942</v>
      </c>
      <c r="AW175" s="291">
        <f t="shared" si="123"/>
        <v>61704.388399999996</v>
      </c>
      <c r="AX175" s="291">
        <f t="shared" si="108"/>
        <v>61704.388399999996</v>
      </c>
      <c r="AY175" s="358">
        <f t="shared" si="124"/>
        <v>14794.694199999998</v>
      </c>
      <c r="AZ175" s="301"/>
      <c r="BA175" s="301"/>
      <c r="BB175" s="302"/>
      <c r="BC175" s="291">
        <f t="shared" si="125"/>
        <v>76499.082599999994</v>
      </c>
      <c r="BD175" s="298">
        <f t="shared" si="136"/>
        <v>91293.776799999992</v>
      </c>
      <c r="BE175" s="298">
        <f t="shared" si="136"/>
        <v>106088.47099999999</v>
      </c>
      <c r="BF175" s="298">
        <f t="shared" si="136"/>
        <v>120883.16519999999</v>
      </c>
      <c r="BG175" s="298">
        <f t="shared" si="137"/>
        <v>171992</v>
      </c>
      <c r="BH175" s="298">
        <f t="shared" si="137"/>
        <v>171992</v>
      </c>
      <c r="BI175" s="298">
        <f t="shared" si="128"/>
        <v>171992</v>
      </c>
      <c r="BK175" s="298">
        <f t="shared" si="129"/>
        <v>76499.082599999994</v>
      </c>
      <c r="BL175" s="298">
        <f t="shared" si="130"/>
        <v>91293.776799999992</v>
      </c>
      <c r="BM175" s="298">
        <f t="shared" si="131"/>
        <v>106088.47099999999</v>
      </c>
      <c r="BN175" s="298">
        <f t="shared" si="132"/>
        <v>120883.16519999999</v>
      </c>
      <c r="BO175" s="298">
        <f t="shared" si="133"/>
        <v>171992</v>
      </c>
      <c r="BP175" s="298">
        <f t="shared" si="134"/>
        <v>171992</v>
      </c>
      <c r="BQ175" s="298">
        <f t="shared" si="135"/>
        <v>171992</v>
      </c>
    </row>
    <row r="176" spans="1:69" ht="15" x14ac:dyDescent="0.2">
      <c r="A176" s="10" t="s">
        <v>4</v>
      </c>
      <c r="B176" s="10"/>
      <c r="C176" s="276"/>
      <c r="D176" s="276"/>
      <c r="E176" s="276"/>
      <c r="F176" s="8">
        <v>1</v>
      </c>
      <c r="G176" s="355">
        <v>164</v>
      </c>
      <c r="H176" s="10">
        <v>150</v>
      </c>
      <c r="I176" s="7" t="s">
        <v>162</v>
      </c>
      <c r="J176" s="287"/>
      <c r="K176" s="356">
        <v>257</v>
      </c>
      <c r="L176" s="355"/>
      <c r="M176" s="289"/>
      <c r="N176" s="357">
        <v>75</v>
      </c>
      <c r="O176" s="290">
        <f t="shared" si="97"/>
        <v>0.29182879377431908</v>
      </c>
      <c r="P176" s="290">
        <f t="shared" si="109"/>
        <v>0</v>
      </c>
      <c r="Q176" s="291">
        <f t="shared" si="98"/>
        <v>0</v>
      </c>
      <c r="R176" s="291">
        <f t="shared" si="110"/>
        <v>0</v>
      </c>
      <c r="S176" s="357">
        <v>3</v>
      </c>
      <c r="T176" s="292">
        <f t="shared" si="99"/>
        <v>22.5</v>
      </c>
      <c r="U176" s="254">
        <f t="shared" si="111"/>
        <v>280.25</v>
      </c>
      <c r="V176" s="356">
        <v>1671128539.6700001</v>
      </c>
      <c r="W176" s="357">
        <v>3472</v>
      </c>
      <c r="X176" s="264">
        <f t="shared" si="100"/>
        <v>481315.82</v>
      </c>
      <c r="Y176" s="293">
        <f t="shared" si="101"/>
        <v>2.499994</v>
      </c>
      <c r="Z176" s="357">
        <v>97604</v>
      </c>
      <c r="AA176" s="293">
        <f t="shared" si="102"/>
        <v>0.81003000000000003</v>
      </c>
      <c r="AB176" s="293">
        <f t="shared" si="103"/>
        <v>-0.99300500000000003</v>
      </c>
      <c r="AC176" s="294">
        <f t="shared" si="104"/>
        <v>0.01</v>
      </c>
      <c r="AD176" s="295">
        <f t="shared" si="112"/>
        <v>0</v>
      </c>
      <c r="AE176" s="296">
        <f t="shared" si="113"/>
        <v>0.01</v>
      </c>
      <c r="AF176" s="357">
        <v>257</v>
      </c>
      <c r="AG176" s="357">
        <v>13</v>
      </c>
      <c r="AH176" s="254">
        <f t="shared" si="114"/>
        <v>1300</v>
      </c>
      <c r="AI176" s="9">
        <f t="shared" si="105"/>
        <v>334100</v>
      </c>
      <c r="AJ176" s="9">
        <v>0</v>
      </c>
      <c r="AK176" s="9">
        <f t="shared" si="115"/>
        <v>0</v>
      </c>
      <c r="AL176" s="9">
        <f t="shared" si="116"/>
        <v>0</v>
      </c>
      <c r="AM176" s="9">
        <f t="shared" si="117"/>
        <v>0</v>
      </c>
      <c r="AN176" s="9">
        <f t="shared" si="118"/>
        <v>334100</v>
      </c>
      <c r="AO176" s="9">
        <f t="shared" si="106"/>
        <v>32299</v>
      </c>
      <c r="AP176" s="9">
        <f t="shared" si="119"/>
        <v>366399</v>
      </c>
      <c r="AQ176" s="9">
        <f t="shared" si="120"/>
        <v>366399</v>
      </c>
      <c r="AR176" s="291">
        <v>50646</v>
      </c>
      <c r="AS176" s="9">
        <f t="shared" si="121"/>
        <v>315753</v>
      </c>
      <c r="AT176" s="297" t="str">
        <f t="shared" si="122"/>
        <v>Yes</v>
      </c>
      <c r="AU176" s="357">
        <v>86666.269800000009</v>
      </c>
      <c r="AV176" s="291">
        <f t="shared" si="107"/>
        <v>33659.269800000002</v>
      </c>
      <c r="AW176" s="291">
        <f t="shared" si="123"/>
        <v>120325.53960000002</v>
      </c>
      <c r="AX176" s="291">
        <f t="shared" si="108"/>
        <v>120325.53960000002</v>
      </c>
      <c r="AY176" s="358">
        <f t="shared" si="124"/>
        <v>33659.269800000009</v>
      </c>
      <c r="AZ176" s="301"/>
      <c r="BA176" s="301"/>
      <c r="BB176" s="302"/>
      <c r="BC176" s="291">
        <f t="shared" si="125"/>
        <v>153984.80940000003</v>
      </c>
      <c r="BD176" s="298">
        <f t="shared" si="136"/>
        <v>187644.07920000004</v>
      </c>
      <c r="BE176" s="298">
        <f t="shared" si="136"/>
        <v>221303.34900000005</v>
      </c>
      <c r="BF176" s="298">
        <f t="shared" si="136"/>
        <v>254962.61880000005</v>
      </c>
      <c r="BG176" s="298">
        <f t="shared" si="137"/>
        <v>366399</v>
      </c>
      <c r="BH176" s="298">
        <f t="shared" si="137"/>
        <v>366399</v>
      </c>
      <c r="BI176" s="298">
        <f t="shared" si="128"/>
        <v>366399</v>
      </c>
      <c r="BK176" s="298">
        <f t="shared" si="129"/>
        <v>153984.80940000003</v>
      </c>
      <c r="BL176" s="298">
        <f t="shared" si="130"/>
        <v>187644.07920000004</v>
      </c>
      <c r="BM176" s="298">
        <f t="shared" si="131"/>
        <v>221303.34900000005</v>
      </c>
      <c r="BN176" s="298">
        <f t="shared" si="132"/>
        <v>254962.61880000005</v>
      </c>
      <c r="BO176" s="298">
        <f t="shared" si="133"/>
        <v>366399</v>
      </c>
      <c r="BP176" s="298">
        <f t="shared" si="134"/>
        <v>366399</v>
      </c>
      <c r="BQ176" s="298">
        <f t="shared" si="135"/>
        <v>366399</v>
      </c>
    </row>
    <row r="177" spans="1:69" ht="15" x14ac:dyDescent="0.2">
      <c r="A177" s="10" t="s">
        <v>24</v>
      </c>
      <c r="B177" s="10">
        <v>1</v>
      </c>
      <c r="C177" s="276">
        <v>1</v>
      </c>
      <c r="D177" s="276">
        <v>0</v>
      </c>
      <c r="E177" s="276">
        <v>1</v>
      </c>
      <c r="F177" s="8">
        <v>10</v>
      </c>
      <c r="G177" s="359">
        <v>2</v>
      </c>
      <c r="H177" s="10">
        <v>151</v>
      </c>
      <c r="I177" s="7" t="s">
        <v>163</v>
      </c>
      <c r="J177" s="287"/>
      <c r="K177" s="356">
        <v>17985.490000000002</v>
      </c>
      <c r="L177" s="359"/>
      <c r="M177" s="289"/>
      <c r="N177" s="357">
        <v>14003</v>
      </c>
      <c r="O177" s="290">
        <f t="shared" si="97"/>
        <v>0.77857206003283752</v>
      </c>
      <c r="P177" s="290">
        <f t="shared" si="109"/>
        <v>0.17857206003283754</v>
      </c>
      <c r="Q177" s="291">
        <f t="shared" si="98"/>
        <v>3211.7059999999997</v>
      </c>
      <c r="R177" s="291">
        <f t="shared" si="110"/>
        <v>481.75589999999994</v>
      </c>
      <c r="S177" s="357">
        <v>2952</v>
      </c>
      <c r="T177" s="292">
        <f t="shared" si="99"/>
        <v>4200.8999999999996</v>
      </c>
      <c r="U177" s="254">
        <f t="shared" si="111"/>
        <v>23406.1459</v>
      </c>
      <c r="V177" s="356">
        <v>6368507559.3299999</v>
      </c>
      <c r="W177" s="357">
        <v>108672</v>
      </c>
      <c r="X177" s="264">
        <f t="shared" si="100"/>
        <v>58603.02</v>
      </c>
      <c r="Y177" s="293">
        <f t="shared" si="101"/>
        <v>0.30438900000000002</v>
      </c>
      <c r="Z177" s="357">
        <v>41617</v>
      </c>
      <c r="AA177" s="293">
        <f t="shared" si="102"/>
        <v>0.34538600000000003</v>
      </c>
      <c r="AB177" s="293">
        <f t="shared" si="103"/>
        <v>0.68331200000000003</v>
      </c>
      <c r="AC177" s="294">
        <f t="shared" si="104"/>
        <v>0.68331200000000003</v>
      </c>
      <c r="AD177" s="295">
        <f t="shared" si="112"/>
        <v>0.06</v>
      </c>
      <c r="AE177" s="296">
        <f t="shared" si="113"/>
        <v>0.74331199999999997</v>
      </c>
      <c r="AF177" s="357">
        <v>0</v>
      </c>
      <c r="AG177" s="357">
        <v>0</v>
      </c>
      <c r="AH177" s="254">
        <f t="shared" si="114"/>
        <v>0</v>
      </c>
      <c r="AI177" s="9">
        <f t="shared" si="105"/>
        <v>0</v>
      </c>
      <c r="AJ177" s="9">
        <v>0</v>
      </c>
      <c r="AK177" s="9">
        <f t="shared" si="115"/>
        <v>0</v>
      </c>
      <c r="AL177" s="9">
        <f t="shared" si="116"/>
        <v>0</v>
      </c>
      <c r="AM177" s="9">
        <f t="shared" si="117"/>
        <v>0</v>
      </c>
      <c r="AN177" s="9">
        <f t="shared" si="118"/>
        <v>0</v>
      </c>
      <c r="AO177" s="9">
        <f t="shared" si="106"/>
        <v>200512747</v>
      </c>
      <c r="AP177" s="9">
        <f t="shared" si="119"/>
        <v>200512747</v>
      </c>
      <c r="AQ177" s="9">
        <f t="shared" si="120"/>
        <v>200512747</v>
      </c>
      <c r="AR177" s="291">
        <v>133606066</v>
      </c>
      <c r="AS177" s="9">
        <f t="shared" si="121"/>
        <v>66906681</v>
      </c>
      <c r="AT177" s="297" t="str">
        <f t="shared" si="122"/>
        <v>Yes</v>
      </c>
      <c r="AU177" s="357">
        <v>157222793.19459999</v>
      </c>
      <c r="AV177" s="291">
        <f t="shared" si="107"/>
        <v>7132252.1946</v>
      </c>
      <c r="AW177" s="291">
        <f t="shared" si="123"/>
        <v>164355045.38919997</v>
      </c>
      <c r="AX177" s="291">
        <f t="shared" si="108"/>
        <v>164355045.38919997</v>
      </c>
      <c r="AY177" s="358">
        <f t="shared" si="124"/>
        <v>7132252.1945999861</v>
      </c>
      <c r="AZ177" s="301"/>
      <c r="BA177" s="301"/>
      <c r="BB177" s="302"/>
      <c r="BC177" s="291">
        <f t="shared" si="125"/>
        <v>171487297.58379996</v>
      </c>
      <c r="BD177" s="298">
        <f t="shared" si="136"/>
        <v>178619549.77839994</v>
      </c>
      <c r="BE177" s="298">
        <f t="shared" si="136"/>
        <v>185751801.97299993</v>
      </c>
      <c r="BF177" s="298">
        <f t="shared" si="136"/>
        <v>192884054.16759992</v>
      </c>
      <c r="BG177" s="298">
        <f t="shared" si="137"/>
        <v>200512747</v>
      </c>
      <c r="BH177" s="298">
        <f t="shared" si="137"/>
        <v>200512747</v>
      </c>
      <c r="BI177" s="298">
        <f t="shared" si="128"/>
        <v>200512747</v>
      </c>
      <c r="BK177" s="298">
        <f t="shared" si="129"/>
        <v>171487297.58379996</v>
      </c>
      <c r="BL177" s="298">
        <f t="shared" si="130"/>
        <v>178619549.77839994</v>
      </c>
      <c r="BM177" s="298">
        <f t="shared" si="131"/>
        <v>185751801.97299993</v>
      </c>
      <c r="BN177" s="298">
        <f t="shared" si="132"/>
        <v>192884054.16759992</v>
      </c>
      <c r="BO177" s="298">
        <f t="shared" si="133"/>
        <v>200512747</v>
      </c>
      <c r="BP177" s="298">
        <f t="shared" si="134"/>
        <v>200512747</v>
      </c>
      <c r="BQ177" s="298">
        <f t="shared" si="135"/>
        <v>200512747</v>
      </c>
    </row>
    <row r="178" spans="1:69" ht="15" x14ac:dyDescent="0.2">
      <c r="A178" s="10" t="s">
        <v>14</v>
      </c>
      <c r="B178" s="10"/>
      <c r="C178" s="276"/>
      <c r="D178" s="276"/>
      <c r="E178" s="276"/>
      <c r="F178" s="8">
        <v>2</v>
      </c>
      <c r="G178" s="355">
        <v>68</v>
      </c>
      <c r="H178" s="10">
        <v>152</v>
      </c>
      <c r="I178" s="7" t="s">
        <v>164</v>
      </c>
      <c r="J178" s="287"/>
      <c r="K178" s="356">
        <v>2539.96</v>
      </c>
      <c r="L178" s="355"/>
      <c r="M178" s="289"/>
      <c r="N178" s="357">
        <v>727</v>
      </c>
      <c r="O178" s="290">
        <f t="shared" si="97"/>
        <v>0.28622497992094365</v>
      </c>
      <c r="P178" s="290">
        <f t="shared" si="109"/>
        <v>0</v>
      </c>
      <c r="Q178" s="291">
        <f t="shared" si="98"/>
        <v>0</v>
      </c>
      <c r="R178" s="291">
        <f t="shared" si="110"/>
        <v>0</v>
      </c>
      <c r="S178" s="357">
        <v>70</v>
      </c>
      <c r="T178" s="292">
        <f t="shared" si="99"/>
        <v>218.1</v>
      </c>
      <c r="U178" s="254">
        <f t="shared" si="111"/>
        <v>2775.56</v>
      </c>
      <c r="V178" s="356">
        <v>4950874514.3299999</v>
      </c>
      <c r="W178" s="357">
        <v>19052</v>
      </c>
      <c r="X178" s="264">
        <f t="shared" si="100"/>
        <v>259861.14</v>
      </c>
      <c r="Y178" s="293">
        <f t="shared" si="101"/>
        <v>1.3497399999999999</v>
      </c>
      <c r="Z178" s="357">
        <v>85438</v>
      </c>
      <c r="AA178" s="293">
        <f t="shared" si="102"/>
        <v>0.709063</v>
      </c>
      <c r="AB178" s="293">
        <f t="shared" si="103"/>
        <v>-0.15753700000000001</v>
      </c>
      <c r="AC178" s="294">
        <f t="shared" si="104"/>
        <v>0.01</v>
      </c>
      <c r="AD178" s="295">
        <f t="shared" si="112"/>
        <v>0</v>
      </c>
      <c r="AE178" s="296">
        <f t="shared" si="113"/>
        <v>0.01</v>
      </c>
      <c r="AF178" s="357">
        <v>0</v>
      </c>
      <c r="AG178" s="357">
        <v>0</v>
      </c>
      <c r="AH178" s="254">
        <f t="shared" si="114"/>
        <v>0</v>
      </c>
      <c r="AI178" s="9">
        <f t="shared" si="105"/>
        <v>0</v>
      </c>
      <c r="AJ178" s="9">
        <v>0</v>
      </c>
      <c r="AK178" s="9">
        <f t="shared" si="115"/>
        <v>0</v>
      </c>
      <c r="AL178" s="9">
        <f t="shared" si="116"/>
        <v>0</v>
      </c>
      <c r="AM178" s="9">
        <f t="shared" si="117"/>
        <v>0</v>
      </c>
      <c r="AN178" s="9">
        <f t="shared" si="118"/>
        <v>0</v>
      </c>
      <c r="AO178" s="9">
        <f t="shared" si="106"/>
        <v>319883</v>
      </c>
      <c r="AP178" s="9">
        <f t="shared" si="119"/>
        <v>319883</v>
      </c>
      <c r="AQ178" s="9">
        <f t="shared" si="120"/>
        <v>319883</v>
      </c>
      <c r="AR178" s="291">
        <v>321279</v>
      </c>
      <c r="AS178" s="9">
        <f t="shared" si="121"/>
        <v>1396</v>
      </c>
      <c r="AT178" s="297" t="str">
        <f t="shared" si="122"/>
        <v>No</v>
      </c>
      <c r="AU178" s="357">
        <v>326444</v>
      </c>
      <c r="AV178" s="291">
        <f t="shared" si="107"/>
        <v>116.2868</v>
      </c>
      <c r="AW178" s="291">
        <f t="shared" si="123"/>
        <v>326444</v>
      </c>
      <c r="AX178" s="291">
        <f t="shared" si="108"/>
        <v>326444</v>
      </c>
      <c r="AY178" s="358">
        <f t="shared" si="124"/>
        <v>0</v>
      </c>
      <c r="AZ178" s="301"/>
      <c r="BA178" s="301"/>
      <c r="BB178" s="302"/>
      <c r="BC178" s="291">
        <f t="shared" si="125"/>
        <v>326327.7132</v>
      </c>
      <c r="BD178" s="298">
        <f t="shared" si="136"/>
        <v>326211.4264</v>
      </c>
      <c r="BE178" s="298">
        <f t="shared" si="136"/>
        <v>326095.13959999999</v>
      </c>
      <c r="BF178" s="298">
        <f t="shared" si="136"/>
        <v>325978.85279999999</v>
      </c>
      <c r="BG178" s="298">
        <f t="shared" si="137"/>
        <v>325862.56599999999</v>
      </c>
      <c r="BH178" s="298">
        <f t="shared" si="137"/>
        <v>325746.27919999999</v>
      </c>
      <c r="BI178" s="298">
        <f t="shared" si="128"/>
        <v>319883</v>
      </c>
      <c r="BK178" s="298">
        <f t="shared" si="129"/>
        <v>326327.7132</v>
      </c>
      <c r="BL178" s="298">
        <f t="shared" si="130"/>
        <v>326211.4264</v>
      </c>
      <c r="BM178" s="298">
        <f t="shared" si="131"/>
        <v>326095.13959999999</v>
      </c>
      <c r="BN178" s="298">
        <f t="shared" si="132"/>
        <v>325978.85279999999</v>
      </c>
      <c r="BO178" s="298">
        <f t="shared" si="133"/>
        <v>325862.56599999999</v>
      </c>
      <c r="BP178" s="298">
        <f t="shared" si="134"/>
        <v>325746.27919999999</v>
      </c>
      <c r="BQ178" s="298">
        <f t="shared" si="135"/>
        <v>319883</v>
      </c>
    </row>
    <row r="179" spans="1:69" ht="15" x14ac:dyDescent="0.2">
      <c r="A179" s="10" t="s">
        <v>14</v>
      </c>
      <c r="B179" s="10"/>
      <c r="C179" s="276"/>
      <c r="D179" s="276"/>
      <c r="E179" s="276"/>
      <c r="F179" s="8">
        <v>7</v>
      </c>
      <c r="G179" s="355">
        <v>61</v>
      </c>
      <c r="H179" s="10">
        <v>153</v>
      </c>
      <c r="I179" s="7" t="s">
        <v>165</v>
      </c>
      <c r="J179" s="287"/>
      <c r="K179" s="356">
        <v>2687.3</v>
      </c>
      <c r="L179" s="355"/>
      <c r="M179" s="289"/>
      <c r="N179" s="357">
        <v>1011</v>
      </c>
      <c r="O179" s="290">
        <f t="shared" si="97"/>
        <v>0.3762140438358203</v>
      </c>
      <c r="P179" s="290">
        <f t="shared" si="109"/>
        <v>0</v>
      </c>
      <c r="Q179" s="291">
        <f t="shared" si="98"/>
        <v>0</v>
      </c>
      <c r="R179" s="291">
        <f t="shared" si="110"/>
        <v>0</v>
      </c>
      <c r="S179" s="357">
        <v>111</v>
      </c>
      <c r="T179" s="292">
        <f t="shared" si="99"/>
        <v>303.3</v>
      </c>
      <c r="U179" s="254">
        <f t="shared" si="111"/>
        <v>3018.3500000000004</v>
      </c>
      <c r="V179" s="356">
        <v>2665455080.6700001</v>
      </c>
      <c r="W179" s="357">
        <v>21832</v>
      </c>
      <c r="X179" s="264">
        <f t="shared" si="100"/>
        <v>122089.37</v>
      </c>
      <c r="Y179" s="293">
        <f t="shared" si="101"/>
        <v>0.63414199999999998</v>
      </c>
      <c r="Z179" s="357">
        <v>76920</v>
      </c>
      <c r="AA179" s="293">
        <f t="shared" si="102"/>
        <v>0.63837100000000002</v>
      </c>
      <c r="AB179" s="293">
        <f t="shared" si="103"/>
        <v>0.364589</v>
      </c>
      <c r="AC179" s="294">
        <f t="shared" si="104"/>
        <v>0.364589</v>
      </c>
      <c r="AD179" s="295">
        <f t="shared" si="112"/>
        <v>0</v>
      </c>
      <c r="AE179" s="296">
        <f t="shared" si="113"/>
        <v>0.364589</v>
      </c>
      <c r="AF179" s="357">
        <v>0</v>
      </c>
      <c r="AG179" s="357">
        <v>0</v>
      </c>
      <c r="AH179" s="254">
        <f t="shared" si="114"/>
        <v>0</v>
      </c>
      <c r="AI179" s="9">
        <f t="shared" si="105"/>
        <v>0</v>
      </c>
      <c r="AJ179" s="9">
        <v>0</v>
      </c>
      <c r="AK179" s="9">
        <f t="shared" si="115"/>
        <v>0</v>
      </c>
      <c r="AL179" s="9">
        <f t="shared" si="116"/>
        <v>0</v>
      </c>
      <c r="AM179" s="9">
        <f t="shared" si="117"/>
        <v>0</v>
      </c>
      <c r="AN179" s="9">
        <f t="shared" si="118"/>
        <v>0</v>
      </c>
      <c r="AO179" s="9">
        <f t="shared" si="106"/>
        <v>12682769</v>
      </c>
      <c r="AP179" s="9">
        <f t="shared" si="119"/>
        <v>12682769</v>
      </c>
      <c r="AQ179" s="9">
        <f t="shared" si="120"/>
        <v>12682769</v>
      </c>
      <c r="AR179" s="291">
        <v>11753175</v>
      </c>
      <c r="AS179" s="9">
        <f t="shared" si="121"/>
        <v>929594</v>
      </c>
      <c r="AT179" s="297" t="str">
        <f t="shared" si="122"/>
        <v>Yes</v>
      </c>
      <c r="AU179" s="357">
        <v>11879280.7204</v>
      </c>
      <c r="AV179" s="291">
        <f t="shared" si="107"/>
        <v>99094.720400000006</v>
      </c>
      <c r="AW179" s="291">
        <f t="shared" si="123"/>
        <v>11978375.4408</v>
      </c>
      <c r="AX179" s="291">
        <f t="shared" si="108"/>
        <v>11978375.4408</v>
      </c>
      <c r="AY179" s="358">
        <f t="shared" si="124"/>
        <v>99094.720399999991</v>
      </c>
      <c r="AZ179" s="301"/>
      <c r="BA179" s="301"/>
      <c r="BB179" s="302"/>
      <c r="BC179" s="291">
        <f t="shared" si="125"/>
        <v>12077470.1612</v>
      </c>
      <c r="BD179" s="298">
        <f t="shared" si="136"/>
        <v>12176564.8816</v>
      </c>
      <c r="BE179" s="298">
        <f t="shared" si="136"/>
        <v>12275659.602</v>
      </c>
      <c r="BF179" s="298">
        <f t="shared" si="136"/>
        <v>12374754.3224</v>
      </c>
      <c r="BG179" s="298">
        <f t="shared" si="137"/>
        <v>12682769</v>
      </c>
      <c r="BH179" s="298">
        <f t="shared" si="137"/>
        <v>12682769</v>
      </c>
      <c r="BI179" s="298">
        <f t="shared" si="128"/>
        <v>12682769</v>
      </c>
      <c r="BK179" s="298">
        <f t="shared" si="129"/>
        <v>12077470.1612</v>
      </c>
      <c r="BL179" s="298">
        <f t="shared" si="130"/>
        <v>12176564.8816</v>
      </c>
      <c r="BM179" s="298">
        <f t="shared" si="131"/>
        <v>12275659.602</v>
      </c>
      <c r="BN179" s="298">
        <f t="shared" si="132"/>
        <v>12374754.3224</v>
      </c>
      <c r="BO179" s="298">
        <f t="shared" si="133"/>
        <v>12682769</v>
      </c>
      <c r="BP179" s="298">
        <f t="shared" si="134"/>
        <v>12682769</v>
      </c>
      <c r="BQ179" s="298">
        <f t="shared" si="135"/>
        <v>12682769</v>
      </c>
    </row>
    <row r="180" spans="1:69" ht="15" x14ac:dyDescent="0.2">
      <c r="A180" s="10" t="s">
        <v>8</v>
      </c>
      <c r="B180" s="10"/>
      <c r="C180" s="276"/>
      <c r="D180" s="276"/>
      <c r="E180" s="276"/>
      <c r="F180" s="8">
        <v>2</v>
      </c>
      <c r="G180" s="355">
        <v>142</v>
      </c>
      <c r="H180" s="10">
        <v>154</v>
      </c>
      <c r="I180" s="7" t="s">
        <v>166</v>
      </c>
      <c r="J180" s="287"/>
      <c r="K180" s="356">
        <v>657.95</v>
      </c>
      <c r="L180" s="355"/>
      <c r="M180" s="289"/>
      <c r="N180" s="357">
        <v>242</v>
      </c>
      <c r="O180" s="290">
        <f t="shared" si="97"/>
        <v>0.36780910403526101</v>
      </c>
      <c r="P180" s="290">
        <f t="shared" si="109"/>
        <v>0</v>
      </c>
      <c r="Q180" s="291">
        <f t="shared" si="98"/>
        <v>0</v>
      </c>
      <c r="R180" s="291">
        <f t="shared" si="110"/>
        <v>0</v>
      </c>
      <c r="S180" s="357">
        <v>73</v>
      </c>
      <c r="T180" s="292">
        <f t="shared" si="99"/>
        <v>72.599999999999994</v>
      </c>
      <c r="U180" s="254">
        <f t="shared" si="111"/>
        <v>748.80000000000007</v>
      </c>
      <c r="V180" s="356">
        <v>1690813537.6700001</v>
      </c>
      <c r="W180" s="357">
        <v>6904</v>
      </c>
      <c r="X180" s="264">
        <f t="shared" si="100"/>
        <v>244903.47</v>
      </c>
      <c r="Y180" s="293">
        <f t="shared" si="101"/>
        <v>1.272049</v>
      </c>
      <c r="Z180" s="357">
        <v>89489</v>
      </c>
      <c r="AA180" s="293">
        <f t="shared" si="102"/>
        <v>0.74268299999999998</v>
      </c>
      <c r="AB180" s="293">
        <f t="shared" si="103"/>
        <v>-0.11323900000000001</v>
      </c>
      <c r="AC180" s="294">
        <f t="shared" si="104"/>
        <v>0.01</v>
      </c>
      <c r="AD180" s="295">
        <f t="shared" si="112"/>
        <v>0</v>
      </c>
      <c r="AE180" s="296">
        <f t="shared" si="113"/>
        <v>0.01</v>
      </c>
      <c r="AF180" s="357">
        <v>0</v>
      </c>
      <c r="AG180" s="357">
        <v>0</v>
      </c>
      <c r="AH180" s="254">
        <f t="shared" si="114"/>
        <v>0</v>
      </c>
      <c r="AI180" s="9">
        <f t="shared" si="105"/>
        <v>0</v>
      </c>
      <c r="AJ180" s="9">
        <v>0</v>
      </c>
      <c r="AK180" s="9">
        <f t="shared" si="115"/>
        <v>0</v>
      </c>
      <c r="AL180" s="9">
        <f t="shared" si="116"/>
        <v>0</v>
      </c>
      <c r="AM180" s="9">
        <f t="shared" si="117"/>
        <v>0</v>
      </c>
      <c r="AN180" s="9">
        <f t="shared" si="118"/>
        <v>0</v>
      </c>
      <c r="AO180" s="9">
        <f t="shared" si="106"/>
        <v>86299</v>
      </c>
      <c r="AP180" s="9">
        <f t="shared" si="119"/>
        <v>86299</v>
      </c>
      <c r="AQ180" s="9">
        <f t="shared" si="120"/>
        <v>86299</v>
      </c>
      <c r="AR180" s="291">
        <v>70393</v>
      </c>
      <c r="AS180" s="9">
        <f t="shared" si="121"/>
        <v>15906</v>
      </c>
      <c r="AT180" s="297" t="str">
        <f t="shared" si="122"/>
        <v>Yes</v>
      </c>
      <c r="AU180" s="357">
        <v>76674.579599999997</v>
      </c>
      <c r="AV180" s="291">
        <f t="shared" si="107"/>
        <v>1695.5796</v>
      </c>
      <c r="AW180" s="291">
        <f t="shared" si="123"/>
        <v>78370.159199999995</v>
      </c>
      <c r="AX180" s="291">
        <f t="shared" si="108"/>
        <v>78370.159199999995</v>
      </c>
      <c r="AY180" s="358">
        <f t="shared" si="124"/>
        <v>1695.5795999999973</v>
      </c>
      <c r="AZ180" s="301"/>
      <c r="BA180" s="301"/>
      <c r="BB180" s="302"/>
      <c r="BC180" s="291">
        <f t="shared" si="125"/>
        <v>80065.738799999992</v>
      </c>
      <c r="BD180" s="298">
        <f t="shared" si="136"/>
        <v>81761.318399999989</v>
      </c>
      <c r="BE180" s="298">
        <f t="shared" si="136"/>
        <v>83456.897999999986</v>
      </c>
      <c r="BF180" s="298">
        <f t="shared" si="136"/>
        <v>85152.477599999984</v>
      </c>
      <c r="BG180" s="298">
        <f t="shared" si="137"/>
        <v>86299</v>
      </c>
      <c r="BH180" s="298">
        <f t="shared" si="137"/>
        <v>86299</v>
      </c>
      <c r="BI180" s="298">
        <f t="shared" si="128"/>
        <v>86299</v>
      </c>
      <c r="BK180" s="298">
        <f t="shared" si="129"/>
        <v>80065.738799999992</v>
      </c>
      <c r="BL180" s="298">
        <f t="shared" si="130"/>
        <v>81761.318399999989</v>
      </c>
      <c r="BM180" s="298">
        <f t="shared" si="131"/>
        <v>83456.897999999986</v>
      </c>
      <c r="BN180" s="298">
        <f t="shared" si="132"/>
        <v>85152.477599999984</v>
      </c>
      <c r="BO180" s="298">
        <f t="shared" si="133"/>
        <v>86299</v>
      </c>
      <c r="BP180" s="298">
        <f t="shared" si="134"/>
        <v>86299</v>
      </c>
      <c r="BQ180" s="298">
        <f t="shared" si="135"/>
        <v>86299</v>
      </c>
    </row>
    <row r="181" spans="1:69" ht="15" x14ac:dyDescent="0.2">
      <c r="A181" s="10" t="s">
        <v>10</v>
      </c>
      <c r="B181" s="10"/>
      <c r="C181" s="276"/>
      <c r="D181" s="276"/>
      <c r="E181" s="276"/>
      <c r="F181" s="8">
        <v>7</v>
      </c>
      <c r="G181" s="355">
        <v>89</v>
      </c>
      <c r="H181" s="10">
        <v>155</v>
      </c>
      <c r="I181" s="7" t="s">
        <v>167</v>
      </c>
      <c r="J181" s="287"/>
      <c r="K181" s="356">
        <v>9329.1200000000008</v>
      </c>
      <c r="L181" s="355"/>
      <c r="M181" s="289"/>
      <c r="N181" s="357">
        <v>2375</v>
      </c>
      <c r="O181" s="290">
        <f t="shared" si="97"/>
        <v>0.25457921004339101</v>
      </c>
      <c r="P181" s="290">
        <f t="shared" si="109"/>
        <v>0</v>
      </c>
      <c r="Q181" s="291">
        <f t="shared" si="98"/>
        <v>0</v>
      </c>
      <c r="R181" s="291">
        <f t="shared" si="110"/>
        <v>0</v>
      </c>
      <c r="S181" s="357">
        <v>573</v>
      </c>
      <c r="T181" s="292">
        <f t="shared" si="99"/>
        <v>712.5</v>
      </c>
      <c r="U181" s="254">
        <f t="shared" si="111"/>
        <v>10184.870000000001</v>
      </c>
      <c r="V181" s="356">
        <v>9463375467.3299999</v>
      </c>
      <c r="W181" s="357">
        <v>63127</v>
      </c>
      <c r="X181" s="264">
        <f t="shared" si="100"/>
        <v>149910.10999999999</v>
      </c>
      <c r="Y181" s="293">
        <f t="shared" si="101"/>
        <v>0.77864500000000003</v>
      </c>
      <c r="Z181" s="357">
        <v>99280</v>
      </c>
      <c r="AA181" s="293">
        <f t="shared" si="102"/>
        <v>0.82394000000000001</v>
      </c>
      <c r="AB181" s="293">
        <f t="shared" si="103"/>
        <v>0.20776700000000001</v>
      </c>
      <c r="AC181" s="294">
        <f t="shared" si="104"/>
        <v>0.20776700000000001</v>
      </c>
      <c r="AD181" s="295">
        <f t="shared" si="112"/>
        <v>0</v>
      </c>
      <c r="AE181" s="296">
        <f t="shared" si="113"/>
        <v>0.20776700000000001</v>
      </c>
      <c r="AF181" s="357">
        <v>0</v>
      </c>
      <c r="AG181" s="357">
        <v>0</v>
      </c>
      <c r="AH181" s="254">
        <f t="shared" si="114"/>
        <v>0</v>
      </c>
      <c r="AI181" s="9">
        <f t="shared" si="105"/>
        <v>0</v>
      </c>
      <c r="AJ181" s="9">
        <v>0</v>
      </c>
      <c r="AK181" s="9">
        <f t="shared" si="115"/>
        <v>0</v>
      </c>
      <c r="AL181" s="9">
        <f t="shared" si="116"/>
        <v>0</v>
      </c>
      <c r="AM181" s="9">
        <f t="shared" si="117"/>
        <v>0</v>
      </c>
      <c r="AN181" s="9">
        <f t="shared" si="118"/>
        <v>0</v>
      </c>
      <c r="AO181" s="9">
        <f t="shared" si="106"/>
        <v>24387821</v>
      </c>
      <c r="AP181" s="9">
        <f t="shared" si="119"/>
        <v>24387821</v>
      </c>
      <c r="AQ181" s="9">
        <f t="shared" si="120"/>
        <v>24387821</v>
      </c>
      <c r="AR181" s="291">
        <v>20961352</v>
      </c>
      <c r="AS181" s="9">
        <f t="shared" si="121"/>
        <v>3426469</v>
      </c>
      <c r="AT181" s="297" t="str">
        <f t="shared" si="122"/>
        <v>Yes</v>
      </c>
      <c r="AU181" s="357">
        <v>22245759.595399998</v>
      </c>
      <c r="AV181" s="291">
        <f t="shared" si="107"/>
        <v>365261.59539999999</v>
      </c>
      <c r="AW181" s="291">
        <f t="shared" si="123"/>
        <v>22611021.190799996</v>
      </c>
      <c r="AX181" s="291">
        <f t="shared" si="108"/>
        <v>22611021.190799996</v>
      </c>
      <c r="AY181" s="358">
        <f t="shared" si="124"/>
        <v>365261.59539999813</v>
      </c>
      <c r="AZ181" s="301"/>
      <c r="BA181" s="301"/>
      <c r="BB181" s="302"/>
      <c r="BC181" s="291">
        <f t="shared" si="125"/>
        <v>22976282.786199994</v>
      </c>
      <c r="BD181" s="298">
        <f t="shared" si="136"/>
        <v>23341544.381599993</v>
      </c>
      <c r="BE181" s="298">
        <f t="shared" si="136"/>
        <v>23706805.976999991</v>
      </c>
      <c r="BF181" s="298">
        <f t="shared" si="136"/>
        <v>24072067.572399989</v>
      </c>
      <c r="BG181" s="298">
        <f t="shared" si="137"/>
        <v>24387821</v>
      </c>
      <c r="BH181" s="298">
        <f t="shared" si="137"/>
        <v>24387821</v>
      </c>
      <c r="BI181" s="298">
        <f t="shared" si="128"/>
        <v>24387821</v>
      </c>
      <c r="BK181" s="298">
        <f t="shared" si="129"/>
        <v>22976282.786199994</v>
      </c>
      <c r="BL181" s="298">
        <f t="shared" si="130"/>
        <v>23341544.381599993</v>
      </c>
      <c r="BM181" s="298">
        <f t="shared" si="131"/>
        <v>23706805.976999991</v>
      </c>
      <c r="BN181" s="298">
        <f t="shared" si="132"/>
        <v>24072067.572399989</v>
      </c>
      <c r="BO181" s="298">
        <f t="shared" si="133"/>
        <v>24387821</v>
      </c>
      <c r="BP181" s="298">
        <f t="shared" si="134"/>
        <v>24387821</v>
      </c>
      <c r="BQ181" s="298">
        <f t="shared" si="135"/>
        <v>24387821</v>
      </c>
    </row>
    <row r="182" spans="1:69" ht="15" x14ac:dyDescent="0.2">
      <c r="A182" s="10" t="s">
        <v>6</v>
      </c>
      <c r="B182" s="10"/>
      <c r="C182" s="276">
        <v>1</v>
      </c>
      <c r="D182" s="276">
        <v>1</v>
      </c>
      <c r="E182" s="276"/>
      <c r="F182" s="8">
        <v>10</v>
      </c>
      <c r="G182" s="359">
        <v>14</v>
      </c>
      <c r="H182" s="10">
        <v>156</v>
      </c>
      <c r="I182" s="7" t="s">
        <v>168</v>
      </c>
      <c r="J182" s="287"/>
      <c r="K182" s="356">
        <v>6701.12</v>
      </c>
      <c r="L182" s="359"/>
      <c r="M182" s="289"/>
      <c r="N182" s="357">
        <v>4055</v>
      </c>
      <c r="O182" s="290">
        <f t="shared" si="97"/>
        <v>0.60512272575330694</v>
      </c>
      <c r="P182" s="290">
        <f t="shared" si="109"/>
        <v>5.122725753306967E-3</v>
      </c>
      <c r="Q182" s="291">
        <f t="shared" si="98"/>
        <v>34.32800000000038</v>
      </c>
      <c r="R182" s="291">
        <f t="shared" si="110"/>
        <v>5.1492000000000564</v>
      </c>
      <c r="S182" s="357">
        <v>948</v>
      </c>
      <c r="T182" s="292">
        <f t="shared" si="99"/>
        <v>1216.5</v>
      </c>
      <c r="U182" s="254">
        <f t="shared" si="111"/>
        <v>8159.7691999999997</v>
      </c>
      <c r="V182" s="356">
        <v>4192191601.6700001</v>
      </c>
      <c r="W182" s="357">
        <v>54918</v>
      </c>
      <c r="X182" s="264">
        <f t="shared" si="100"/>
        <v>76335.47</v>
      </c>
      <c r="Y182" s="293">
        <f t="shared" si="101"/>
        <v>0.39649299999999998</v>
      </c>
      <c r="Z182" s="357">
        <v>58112</v>
      </c>
      <c r="AA182" s="293">
        <f t="shared" si="102"/>
        <v>0.48227999999999999</v>
      </c>
      <c r="AB182" s="293">
        <f t="shared" si="103"/>
        <v>0.57777100000000003</v>
      </c>
      <c r="AC182" s="294">
        <f t="shared" si="104"/>
        <v>0.57777100000000003</v>
      </c>
      <c r="AD182" s="295">
        <f t="shared" si="112"/>
        <v>0.04</v>
      </c>
      <c r="AE182" s="296">
        <f t="shared" si="113"/>
        <v>0.61777100000000007</v>
      </c>
      <c r="AF182" s="357">
        <v>0</v>
      </c>
      <c r="AG182" s="357">
        <v>0</v>
      </c>
      <c r="AH182" s="254">
        <f t="shared" si="114"/>
        <v>0</v>
      </c>
      <c r="AI182" s="9">
        <f t="shared" si="105"/>
        <v>0</v>
      </c>
      <c r="AJ182" s="9">
        <v>0</v>
      </c>
      <c r="AK182" s="9">
        <f t="shared" si="115"/>
        <v>0</v>
      </c>
      <c r="AL182" s="9">
        <f t="shared" si="116"/>
        <v>0</v>
      </c>
      <c r="AM182" s="9">
        <f t="shared" si="117"/>
        <v>0</v>
      </c>
      <c r="AN182" s="9">
        <f t="shared" si="118"/>
        <v>0</v>
      </c>
      <c r="AO182" s="9">
        <f t="shared" si="106"/>
        <v>58096013</v>
      </c>
      <c r="AP182" s="9">
        <f t="shared" si="119"/>
        <v>58096013</v>
      </c>
      <c r="AQ182" s="9">
        <f t="shared" si="120"/>
        <v>58096013</v>
      </c>
      <c r="AR182" s="291">
        <v>45140487</v>
      </c>
      <c r="AS182" s="9">
        <f t="shared" si="121"/>
        <v>12955526</v>
      </c>
      <c r="AT182" s="297" t="str">
        <f t="shared" si="122"/>
        <v>Yes</v>
      </c>
      <c r="AU182" s="357">
        <v>50339503.071599998</v>
      </c>
      <c r="AV182" s="291">
        <f t="shared" si="107"/>
        <v>1381059.0715999999</v>
      </c>
      <c r="AW182" s="291">
        <f t="shared" si="123"/>
        <v>51720562.143199995</v>
      </c>
      <c r="AX182" s="291">
        <f t="shared" si="108"/>
        <v>51720562.143199995</v>
      </c>
      <c r="AY182" s="358">
        <f t="shared" si="124"/>
        <v>1381059.0715999976</v>
      </c>
      <c r="AZ182" s="301"/>
      <c r="BA182" s="301"/>
      <c r="BB182" s="302"/>
      <c r="BC182" s="291">
        <f t="shared" si="125"/>
        <v>53101621.214799993</v>
      </c>
      <c r="BD182" s="298">
        <f t="shared" si="136"/>
        <v>54482680.28639999</v>
      </c>
      <c r="BE182" s="298">
        <f t="shared" si="136"/>
        <v>55863739.357999988</v>
      </c>
      <c r="BF182" s="298">
        <f t="shared" si="136"/>
        <v>57244798.429599985</v>
      </c>
      <c r="BG182" s="298">
        <f t="shared" si="137"/>
        <v>58096013</v>
      </c>
      <c r="BH182" s="298">
        <f t="shared" si="137"/>
        <v>58096013</v>
      </c>
      <c r="BI182" s="298">
        <f t="shared" si="128"/>
        <v>58096013</v>
      </c>
      <c r="BK182" s="298">
        <f t="shared" si="129"/>
        <v>53101621.214799993</v>
      </c>
      <c r="BL182" s="298">
        <f t="shared" si="130"/>
        <v>54482680.28639999</v>
      </c>
      <c r="BM182" s="298">
        <f t="shared" si="131"/>
        <v>55863739.357999988</v>
      </c>
      <c r="BN182" s="298">
        <f t="shared" si="132"/>
        <v>57244798.429599985</v>
      </c>
      <c r="BO182" s="298">
        <f t="shared" si="133"/>
        <v>58096013</v>
      </c>
      <c r="BP182" s="298">
        <f t="shared" si="134"/>
        <v>58096013</v>
      </c>
      <c r="BQ182" s="298">
        <f t="shared" si="135"/>
        <v>58096013</v>
      </c>
    </row>
    <row r="183" spans="1:69" ht="15" x14ac:dyDescent="0.2">
      <c r="A183" s="10" t="s">
        <v>46</v>
      </c>
      <c r="B183" s="10"/>
      <c r="C183" s="276"/>
      <c r="D183" s="276"/>
      <c r="E183" s="276"/>
      <c r="F183" s="8">
        <v>1</v>
      </c>
      <c r="G183" s="355">
        <v>161</v>
      </c>
      <c r="H183" s="10">
        <v>157</v>
      </c>
      <c r="I183" s="7" t="s">
        <v>169</v>
      </c>
      <c r="J183" s="287"/>
      <c r="K183" s="356">
        <v>2253.08</v>
      </c>
      <c r="L183" s="355"/>
      <c r="M183" s="289"/>
      <c r="N183" s="357">
        <v>29</v>
      </c>
      <c r="O183" s="290">
        <f t="shared" si="97"/>
        <v>1.2871269551014612E-2</v>
      </c>
      <c r="P183" s="290">
        <f t="shared" si="109"/>
        <v>0</v>
      </c>
      <c r="Q183" s="291">
        <f t="shared" si="98"/>
        <v>0</v>
      </c>
      <c r="R183" s="291">
        <f t="shared" si="110"/>
        <v>0</v>
      </c>
      <c r="S183" s="357">
        <v>14</v>
      </c>
      <c r="T183" s="292">
        <f t="shared" si="99"/>
        <v>8.6999999999999993</v>
      </c>
      <c r="U183" s="254">
        <f t="shared" si="111"/>
        <v>2265.2799999999997</v>
      </c>
      <c r="V183" s="356">
        <v>3338832762.3299999</v>
      </c>
      <c r="W183" s="357">
        <v>10288</v>
      </c>
      <c r="X183" s="264">
        <f t="shared" si="100"/>
        <v>324536.62</v>
      </c>
      <c r="Y183" s="293">
        <f t="shared" si="101"/>
        <v>1.68567</v>
      </c>
      <c r="Z183" s="357">
        <v>219083</v>
      </c>
      <c r="AA183" s="293">
        <f t="shared" si="102"/>
        <v>1.818203</v>
      </c>
      <c r="AB183" s="293">
        <f t="shared" si="103"/>
        <v>-0.72543000000000002</v>
      </c>
      <c r="AC183" s="294">
        <f t="shared" si="104"/>
        <v>0.01</v>
      </c>
      <c r="AD183" s="295">
        <f t="shared" si="112"/>
        <v>0</v>
      </c>
      <c r="AE183" s="296">
        <f t="shared" si="113"/>
        <v>0.01</v>
      </c>
      <c r="AF183" s="357">
        <v>0</v>
      </c>
      <c r="AG183" s="357">
        <v>0</v>
      </c>
      <c r="AH183" s="254">
        <f t="shared" si="114"/>
        <v>0</v>
      </c>
      <c r="AI183" s="9">
        <f t="shared" si="105"/>
        <v>0</v>
      </c>
      <c r="AJ183" s="9">
        <v>0</v>
      </c>
      <c r="AK183" s="9">
        <f t="shared" si="115"/>
        <v>0</v>
      </c>
      <c r="AL183" s="9">
        <f t="shared" si="116"/>
        <v>0</v>
      </c>
      <c r="AM183" s="9">
        <f t="shared" si="117"/>
        <v>0</v>
      </c>
      <c r="AN183" s="9">
        <f t="shared" si="118"/>
        <v>0</v>
      </c>
      <c r="AO183" s="9">
        <f t="shared" si="106"/>
        <v>261074</v>
      </c>
      <c r="AP183" s="9">
        <f t="shared" si="119"/>
        <v>261074</v>
      </c>
      <c r="AQ183" s="9">
        <f t="shared" si="120"/>
        <v>261074</v>
      </c>
      <c r="AR183" s="291">
        <v>263431</v>
      </c>
      <c r="AS183" s="9">
        <f t="shared" si="121"/>
        <v>2357</v>
      </c>
      <c r="AT183" s="297" t="str">
        <f t="shared" si="122"/>
        <v>No</v>
      </c>
      <c r="AU183" s="357">
        <v>263792</v>
      </c>
      <c r="AV183" s="291">
        <f t="shared" si="107"/>
        <v>196.3381</v>
      </c>
      <c r="AW183" s="291">
        <f t="shared" si="123"/>
        <v>263792</v>
      </c>
      <c r="AX183" s="291">
        <f t="shared" si="108"/>
        <v>263792</v>
      </c>
      <c r="AY183" s="358">
        <f t="shared" si="124"/>
        <v>0</v>
      </c>
      <c r="AZ183" s="301"/>
      <c r="BA183" s="301"/>
      <c r="BB183" s="302"/>
      <c r="BC183" s="291">
        <f t="shared" si="125"/>
        <v>263595.66190000001</v>
      </c>
      <c r="BD183" s="298">
        <f t="shared" si="136"/>
        <v>263399.32380000001</v>
      </c>
      <c r="BE183" s="298">
        <f t="shared" si="136"/>
        <v>263202.98570000002</v>
      </c>
      <c r="BF183" s="298">
        <f t="shared" si="136"/>
        <v>263006.64760000003</v>
      </c>
      <c r="BG183" s="298">
        <f t="shared" si="137"/>
        <v>262810.30950000003</v>
      </c>
      <c r="BH183" s="298">
        <f t="shared" si="137"/>
        <v>262613.97140000004</v>
      </c>
      <c r="BI183" s="298">
        <f t="shared" si="128"/>
        <v>261074</v>
      </c>
      <c r="BK183" s="298">
        <f t="shared" si="129"/>
        <v>263595.66190000001</v>
      </c>
      <c r="BL183" s="298">
        <f t="shared" si="130"/>
        <v>263399.32380000001</v>
      </c>
      <c r="BM183" s="298">
        <f t="shared" si="131"/>
        <v>263202.98570000002</v>
      </c>
      <c r="BN183" s="298">
        <f t="shared" si="132"/>
        <v>263006.64760000003</v>
      </c>
      <c r="BO183" s="298">
        <f t="shared" si="133"/>
        <v>262810.30950000003</v>
      </c>
      <c r="BP183" s="298">
        <f t="shared" si="134"/>
        <v>262613.97140000004</v>
      </c>
      <c r="BQ183" s="298">
        <f t="shared" si="135"/>
        <v>261074</v>
      </c>
    </row>
    <row r="184" spans="1:69" ht="15" x14ac:dyDescent="0.2">
      <c r="A184" s="10" t="s">
        <v>46</v>
      </c>
      <c r="B184" s="10"/>
      <c r="C184" s="276"/>
      <c r="D184" s="276"/>
      <c r="E184" s="276"/>
      <c r="F184" s="8">
        <v>1</v>
      </c>
      <c r="G184" s="355">
        <v>166</v>
      </c>
      <c r="H184" s="10">
        <v>158</v>
      </c>
      <c r="I184" s="7" t="s">
        <v>170</v>
      </c>
      <c r="J184" s="287"/>
      <c r="K184" s="356">
        <v>5275.25</v>
      </c>
      <c r="L184" s="355"/>
      <c r="M184" s="289"/>
      <c r="N184" s="357">
        <v>111</v>
      </c>
      <c r="O184" s="290">
        <f t="shared" si="97"/>
        <v>2.1041656793516893E-2</v>
      </c>
      <c r="P184" s="290">
        <f t="shared" si="109"/>
        <v>0</v>
      </c>
      <c r="Q184" s="291">
        <f t="shared" si="98"/>
        <v>0</v>
      </c>
      <c r="R184" s="291">
        <f t="shared" si="110"/>
        <v>0</v>
      </c>
      <c r="S184" s="357">
        <v>50</v>
      </c>
      <c r="T184" s="292">
        <f t="shared" si="99"/>
        <v>33.299999999999997</v>
      </c>
      <c r="U184" s="254">
        <f t="shared" si="111"/>
        <v>5321.05</v>
      </c>
      <c r="V184" s="356">
        <v>16075832968.33</v>
      </c>
      <c r="W184" s="357">
        <v>27840</v>
      </c>
      <c r="X184" s="264">
        <f t="shared" si="100"/>
        <v>577436.53</v>
      </c>
      <c r="Y184" s="293">
        <f t="shared" si="101"/>
        <v>2.9992529999999999</v>
      </c>
      <c r="Z184" s="357">
        <v>187988</v>
      </c>
      <c r="AA184" s="293">
        <f t="shared" si="102"/>
        <v>1.560141</v>
      </c>
      <c r="AB184" s="293">
        <f t="shared" si="103"/>
        <v>-1.5675190000000001</v>
      </c>
      <c r="AC184" s="294">
        <f t="shared" si="104"/>
        <v>0.01</v>
      </c>
      <c r="AD184" s="295">
        <f t="shared" si="112"/>
        <v>0</v>
      </c>
      <c r="AE184" s="296">
        <f t="shared" si="113"/>
        <v>0.01</v>
      </c>
      <c r="AF184" s="357">
        <v>0</v>
      </c>
      <c r="AG184" s="357">
        <v>0</v>
      </c>
      <c r="AH184" s="254">
        <f t="shared" si="114"/>
        <v>0</v>
      </c>
      <c r="AI184" s="9">
        <f t="shared" si="105"/>
        <v>0</v>
      </c>
      <c r="AJ184" s="9">
        <v>0</v>
      </c>
      <c r="AK184" s="9">
        <f t="shared" si="115"/>
        <v>0</v>
      </c>
      <c r="AL184" s="9">
        <f t="shared" si="116"/>
        <v>0</v>
      </c>
      <c r="AM184" s="9">
        <f t="shared" si="117"/>
        <v>0</v>
      </c>
      <c r="AN184" s="9">
        <f t="shared" si="118"/>
        <v>0</v>
      </c>
      <c r="AO184" s="9">
        <f t="shared" si="106"/>
        <v>613251</v>
      </c>
      <c r="AP184" s="9">
        <f t="shared" si="119"/>
        <v>613251</v>
      </c>
      <c r="AQ184" s="9">
        <f t="shared" si="120"/>
        <v>613251</v>
      </c>
      <c r="AR184" s="291">
        <v>465334</v>
      </c>
      <c r="AS184" s="9">
        <f t="shared" si="121"/>
        <v>147917</v>
      </c>
      <c r="AT184" s="297" t="str">
        <f t="shared" si="122"/>
        <v>Yes</v>
      </c>
      <c r="AU184" s="357">
        <v>523495.9522</v>
      </c>
      <c r="AV184" s="291">
        <f t="shared" si="107"/>
        <v>15767.9522</v>
      </c>
      <c r="AW184" s="291">
        <f t="shared" si="123"/>
        <v>539263.9044</v>
      </c>
      <c r="AX184" s="291">
        <f t="shared" si="108"/>
        <v>539263.9044</v>
      </c>
      <c r="AY184" s="358">
        <f t="shared" si="124"/>
        <v>15767.9522</v>
      </c>
      <c r="AZ184" s="301"/>
      <c r="BA184" s="301"/>
      <c r="BB184" s="302"/>
      <c r="BC184" s="291">
        <f t="shared" si="125"/>
        <v>555031.85660000006</v>
      </c>
      <c r="BD184" s="298">
        <f t="shared" si="136"/>
        <v>570799.8088</v>
      </c>
      <c r="BE184" s="298">
        <f t="shared" si="136"/>
        <v>586567.76099999994</v>
      </c>
      <c r="BF184" s="298">
        <f t="shared" si="136"/>
        <v>602335.71319999988</v>
      </c>
      <c r="BG184" s="298">
        <f t="shared" si="137"/>
        <v>613251</v>
      </c>
      <c r="BH184" s="298">
        <f t="shared" si="137"/>
        <v>613251</v>
      </c>
      <c r="BI184" s="298">
        <f t="shared" si="128"/>
        <v>613251</v>
      </c>
      <c r="BK184" s="298">
        <f t="shared" si="129"/>
        <v>555031.85660000006</v>
      </c>
      <c r="BL184" s="298">
        <f t="shared" si="130"/>
        <v>570799.8088</v>
      </c>
      <c r="BM184" s="298">
        <f t="shared" si="131"/>
        <v>586567.76099999994</v>
      </c>
      <c r="BN184" s="298">
        <f t="shared" si="132"/>
        <v>602335.71319999988</v>
      </c>
      <c r="BO184" s="298">
        <f t="shared" si="133"/>
        <v>613251</v>
      </c>
      <c r="BP184" s="298">
        <f t="shared" si="134"/>
        <v>613251</v>
      </c>
      <c r="BQ184" s="298">
        <f t="shared" si="135"/>
        <v>613251</v>
      </c>
    </row>
    <row r="185" spans="1:69" ht="15" x14ac:dyDescent="0.2">
      <c r="A185" s="10" t="s">
        <v>14</v>
      </c>
      <c r="B185" s="10"/>
      <c r="C185" s="276"/>
      <c r="D185" s="276"/>
      <c r="E185" s="276"/>
      <c r="F185" s="8">
        <v>8</v>
      </c>
      <c r="G185" s="360">
        <v>56</v>
      </c>
      <c r="H185" s="10">
        <v>159</v>
      </c>
      <c r="I185" s="7" t="s">
        <v>171</v>
      </c>
      <c r="J185" s="287"/>
      <c r="K185" s="356">
        <v>3751.79</v>
      </c>
      <c r="L185" s="360"/>
      <c r="M185" s="289"/>
      <c r="N185" s="357">
        <v>938</v>
      </c>
      <c r="O185" s="290">
        <f t="shared" si="97"/>
        <v>0.25001399332052165</v>
      </c>
      <c r="P185" s="290">
        <f t="shared" si="109"/>
        <v>0</v>
      </c>
      <c r="Q185" s="291">
        <f t="shared" si="98"/>
        <v>0</v>
      </c>
      <c r="R185" s="291">
        <f t="shared" si="110"/>
        <v>0</v>
      </c>
      <c r="S185" s="357">
        <v>325</v>
      </c>
      <c r="T185" s="292">
        <f t="shared" si="99"/>
        <v>281.39999999999998</v>
      </c>
      <c r="U185" s="254">
        <f t="shared" si="111"/>
        <v>4114.4400000000005</v>
      </c>
      <c r="V185" s="356">
        <v>3363178719.3299999</v>
      </c>
      <c r="W185" s="357">
        <v>26267</v>
      </c>
      <c r="X185" s="264">
        <f t="shared" si="100"/>
        <v>128038.17</v>
      </c>
      <c r="Y185" s="293">
        <f t="shared" si="101"/>
        <v>0.66504099999999999</v>
      </c>
      <c r="Z185" s="357">
        <v>83391</v>
      </c>
      <c r="AA185" s="293">
        <f t="shared" si="102"/>
        <v>0.692075</v>
      </c>
      <c r="AB185" s="293">
        <f t="shared" si="103"/>
        <v>0.326849</v>
      </c>
      <c r="AC185" s="294">
        <f t="shared" si="104"/>
        <v>0.326849</v>
      </c>
      <c r="AD185" s="295">
        <f t="shared" si="112"/>
        <v>0</v>
      </c>
      <c r="AE185" s="296">
        <f t="shared" si="113"/>
        <v>0.326849</v>
      </c>
      <c r="AF185" s="357">
        <v>0</v>
      </c>
      <c r="AG185" s="357">
        <v>0</v>
      </c>
      <c r="AH185" s="254">
        <f t="shared" si="114"/>
        <v>0</v>
      </c>
      <c r="AI185" s="9">
        <f t="shared" si="105"/>
        <v>0</v>
      </c>
      <c r="AJ185" s="9">
        <v>0</v>
      </c>
      <c r="AK185" s="9">
        <f t="shared" si="115"/>
        <v>0</v>
      </c>
      <c r="AL185" s="9">
        <f t="shared" si="116"/>
        <v>0</v>
      </c>
      <c r="AM185" s="9">
        <f t="shared" si="117"/>
        <v>0</v>
      </c>
      <c r="AN185" s="9">
        <f t="shared" si="118"/>
        <v>0</v>
      </c>
      <c r="AO185" s="9">
        <f t="shared" si="106"/>
        <v>15498827</v>
      </c>
      <c r="AP185" s="9">
        <f t="shared" si="119"/>
        <v>15498827</v>
      </c>
      <c r="AQ185" s="9">
        <f t="shared" si="120"/>
        <v>15498827</v>
      </c>
      <c r="AR185" s="291">
        <v>9348852</v>
      </c>
      <c r="AS185" s="9">
        <f t="shared" si="121"/>
        <v>6149975</v>
      </c>
      <c r="AT185" s="297" t="str">
        <f t="shared" si="122"/>
        <v>Yes</v>
      </c>
      <c r="AU185" s="357">
        <v>11540764.335000001</v>
      </c>
      <c r="AV185" s="291">
        <f t="shared" si="107"/>
        <v>655587.33499999996</v>
      </c>
      <c r="AW185" s="291">
        <f t="shared" si="123"/>
        <v>12196351.670000002</v>
      </c>
      <c r="AX185" s="291">
        <f t="shared" si="108"/>
        <v>12196351.670000002</v>
      </c>
      <c r="AY185" s="358">
        <f t="shared" si="124"/>
        <v>655587.33500000089</v>
      </c>
      <c r="AZ185" s="301"/>
      <c r="BA185" s="301"/>
      <c r="BB185" s="302"/>
      <c r="BC185" s="291">
        <f t="shared" si="125"/>
        <v>12851939.005000003</v>
      </c>
      <c r="BD185" s="298">
        <f t="shared" si="136"/>
        <v>13507526.340000004</v>
      </c>
      <c r="BE185" s="298">
        <f t="shared" si="136"/>
        <v>14163113.675000004</v>
      </c>
      <c r="BF185" s="298">
        <f t="shared" si="136"/>
        <v>14818701.010000005</v>
      </c>
      <c r="BG185" s="298">
        <f t="shared" si="137"/>
        <v>15498827</v>
      </c>
      <c r="BH185" s="298">
        <f t="shared" si="137"/>
        <v>15498827</v>
      </c>
      <c r="BI185" s="298">
        <f t="shared" si="128"/>
        <v>15498827</v>
      </c>
      <c r="BK185" s="298">
        <f t="shared" si="129"/>
        <v>12851939.005000003</v>
      </c>
      <c r="BL185" s="298">
        <f t="shared" si="130"/>
        <v>13507526.340000004</v>
      </c>
      <c r="BM185" s="298">
        <f t="shared" si="131"/>
        <v>14163113.675000004</v>
      </c>
      <c r="BN185" s="298">
        <f t="shared" si="132"/>
        <v>14818701.010000005</v>
      </c>
      <c r="BO185" s="298">
        <f t="shared" si="133"/>
        <v>15498827</v>
      </c>
      <c r="BP185" s="298">
        <f t="shared" si="134"/>
        <v>15498827</v>
      </c>
      <c r="BQ185" s="298">
        <f t="shared" si="135"/>
        <v>15498827</v>
      </c>
    </row>
    <row r="186" spans="1:69" ht="15" x14ac:dyDescent="0.2">
      <c r="A186" s="10" t="s">
        <v>8</v>
      </c>
      <c r="B186" s="10"/>
      <c r="C186" s="276"/>
      <c r="D186" s="276"/>
      <c r="E186" s="276"/>
      <c r="F186" s="8">
        <v>8</v>
      </c>
      <c r="G186" s="355">
        <v>82</v>
      </c>
      <c r="H186" s="10">
        <v>160</v>
      </c>
      <c r="I186" s="7" t="s">
        <v>172</v>
      </c>
      <c r="J186" s="287"/>
      <c r="K186" s="356">
        <v>587.85</v>
      </c>
      <c r="L186" s="355"/>
      <c r="M186" s="289"/>
      <c r="N186" s="357">
        <v>220</v>
      </c>
      <c r="O186" s="290">
        <f t="shared" si="97"/>
        <v>0.37424513056051711</v>
      </c>
      <c r="P186" s="290">
        <f t="shared" si="109"/>
        <v>0</v>
      </c>
      <c r="Q186" s="291">
        <f t="shared" si="98"/>
        <v>0</v>
      </c>
      <c r="R186" s="291">
        <f t="shared" si="110"/>
        <v>0</v>
      </c>
      <c r="S186" s="357">
        <v>7</v>
      </c>
      <c r="T186" s="292">
        <f t="shared" si="99"/>
        <v>66</v>
      </c>
      <c r="U186" s="254">
        <f t="shared" si="111"/>
        <v>655.6</v>
      </c>
      <c r="V186" s="356">
        <v>640805459.33000004</v>
      </c>
      <c r="W186" s="357">
        <v>5912</v>
      </c>
      <c r="X186" s="264">
        <f t="shared" si="100"/>
        <v>108390.64</v>
      </c>
      <c r="Y186" s="293">
        <f t="shared" si="101"/>
        <v>0.56298999999999999</v>
      </c>
      <c r="Z186" s="357">
        <v>74940</v>
      </c>
      <c r="AA186" s="293">
        <f t="shared" si="102"/>
        <v>0.62193799999999999</v>
      </c>
      <c r="AB186" s="293">
        <f t="shared" si="103"/>
        <v>0.41932599999999998</v>
      </c>
      <c r="AC186" s="294">
        <f t="shared" si="104"/>
        <v>0.41932599999999998</v>
      </c>
      <c r="AD186" s="295">
        <f t="shared" si="112"/>
        <v>0</v>
      </c>
      <c r="AE186" s="296">
        <f t="shared" si="113"/>
        <v>0.41932599999999998</v>
      </c>
      <c r="AF186" s="357">
        <v>179</v>
      </c>
      <c r="AG186" s="357">
        <v>4</v>
      </c>
      <c r="AH186" s="254">
        <f t="shared" si="114"/>
        <v>400</v>
      </c>
      <c r="AI186" s="9">
        <f t="shared" si="105"/>
        <v>71600</v>
      </c>
      <c r="AJ186" s="9">
        <v>0</v>
      </c>
      <c r="AK186" s="9">
        <f t="shared" si="115"/>
        <v>0</v>
      </c>
      <c r="AL186" s="9">
        <f t="shared" si="116"/>
        <v>0</v>
      </c>
      <c r="AM186" s="9">
        <f t="shared" si="117"/>
        <v>0</v>
      </c>
      <c r="AN186" s="9">
        <f t="shared" si="118"/>
        <v>71600</v>
      </c>
      <c r="AO186" s="9">
        <f t="shared" si="106"/>
        <v>3168339</v>
      </c>
      <c r="AP186" s="9">
        <f t="shared" si="119"/>
        <v>3239939</v>
      </c>
      <c r="AQ186" s="9">
        <f t="shared" si="120"/>
        <v>3239939</v>
      </c>
      <c r="AR186" s="291">
        <v>3637161</v>
      </c>
      <c r="AS186" s="9">
        <f t="shared" si="121"/>
        <v>397222</v>
      </c>
      <c r="AT186" s="297" t="str">
        <f t="shared" si="122"/>
        <v>No</v>
      </c>
      <c r="AU186" s="357">
        <v>3456594</v>
      </c>
      <c r="AV186" s="291">
        <f t="shared" si="107"/>
        <v>33088.592599999996</v>
      </c>
      <c r="AW186" s="291">
        <f t="shared" si="123"/>
        <v>3456594</v>
      </c>
      <c r="AX186" s="291">
        <f t="shared" si="108"/>
        <v>3456594</v>
      </c>
      <c r="AY186" s="358">
        <f t="shared" si="124"/>
        <v>0</v>
      </c>
      <c r="AZ186" s="301"/>
      <c r="BA186" s="301"/>
      <c r="BB186" s="302"/>
      <c r="BC186" s="291">
        <f t="shared" si="125"/>
        <v>3423505.4073999999</v>
      </c>
      <c r="BD186" s="298">
        <f t="shared" si="136"/>
        <v>3390416.8147999998</v>
      </c>
      <c r="BE186" s="298">
        <f t="shared" si="136"/>
        <v>3357328.2221999997</v>
      </c>
      <c r="BF186" s="298">
        <f t="shared" si="136"/>
        <v>3324239.6295999996</v>
      </c>
      <c r="BG186" s="298">
        <f t="shared" si="137"/>
        <v>3291151.0369999995</v>
      </c>
      <c r="BH186" s="298">
        <f t="shared" si="137"/>
        <v>3258062.4443999995</v>
      </c>
      <c r="BI186" s="298">
        <f t="shared" si="128"/>
        <v>3239939</v>
      </c>
      <c r="BK186" s="298">
        <f t="shared" si="129"/>
        <v>3423505.4073999999</v>
      </c>
      <c r="BL186" s="298">
        <f t="shared" si="130"/>
        <v>3390416.8147999998</v>
      </c>
      <c r="BM186" s="298">
        <f t="shared" si="131"/>
        <v>3357328.2221999997</v>
      </c>
      <c r="BN186" s="298">
        <f t="shared" si="132"/>
        <v>3324239.6295999996</v>
      </c>
      <c r="BO186" s="298">
        <f t="shared" si="133"/>
        <v>3291151.0369999995</v>
      </c>
      <c r="BP186" s="298">
        <f t="shared" si="134"/>
        <v>3258062.4443999995</v>
      </c>
      <c r="BQ186" s="298">
        <f t="shared" si="135"/>
        <v>3239939</v>
      </c>
    </row>
    <row r="187" spans="1:69" ht="15" x14ac:dyDescent="0.2">
      <c r="A187" s="10" t="s">
        <v>46</v>
      </c>
      <c r="B187" s="10"/>
      <c r="C187" s="276"/>
      <c r="D187" s="276"/>
      <c r="E187" s="276"/>
      <c r="F187" s="8">
        <v>1</v>
      </c>
      <c r="G187" s="355">
        <v>159</v>
      </c>
      <c r="H187" s="10">
        <v>161</v>
      </c>
      <c r="I187" s="7" t="s">
        <v>173</v>
      </c>
      <c r="J187" s="287"/>
      <c r="K187" s="356">
        <v>3662.64</v>
      </c>
      <c r="L187" s="355"/>
      <c r="M187" s="289"/>
      <c r="N187" s="357">
        <v>179</v>
      </c>
      <c r="O187" s="290">
        <f t="shared" si="97"/>
        <v>4.8871851997466312E-2</v>
      </c>
      <c r="P187" s="290">
        <f t="shared" si="109"/>
        <v>0</v>
      </c>
      <c r="Q187" s="291">
        <f t="shared" si="98"/>
        <v>0</v>
      </c>
      <c r="R187" s="291">
        <f t="shared" si="110"/>
        <v>0</v>
      </c>
      <c r="S187" s="357">
        <v>29</v>
      </c>
      <c r="T187" s="292">
        <f t="shared" si="99"/>
        <v>53.7</v>
      </c>
      <c r="U187" s="254">
        <f t="shared" si="111"/>
        <v>3723.5899999999997</v>
      </c>
      <c r="V187" s="356">
        <v>6115418357.3299999</v>
      </c>
      <c r="W187" s="357">
        <v>18542</v>
      </c>
      <c r="X187" s="264">
        <f t="shared" si="100"/>
        <v>329814.39</v>
      </c>
      <c r="Y187" s="293">
        <f t="shared" si="101"/>
        <v>1.7130829999999999</v>
      </c>
      <c r="Z187" s="357">
        <v>187903</v>
      </c>
      <c r="AA187" s="293">
        <f t="shared" si="102"/>
        <v>1.5594349999999999</v>
      </c>
      <c r="AB187" s="293">
        <f t="shared" si="103"/>
        <v>-0.66698900000000005</v>
      </c>
      <c r="AC187" s="294">
        <f t="shared" si="104"/>
        <v>0.01</v>
      </c>
      <c r="AD187" s="295">
        <f t="shared" si="112"/>
        <v>0</v>
      </c>
      <c r="AE187" s="296">
        <f t="shared" si="113"/>
        <v>0.01</v>
      </c>
      <c r="AF187" s="357">
        <v>0</v>
      </c>
      <c r="AG187" s="357">
        <v>0</v>
      </c>
      <c r="AH187" s="254">
        <f t="shared" si="114"/>
        <v>0</v>
      </c>
      <c r="AI187" s="9">
        <f t="shared" si="105"/>
        <v>0</v>
      </c>
      <c r="AJ187" s="9">
        <v>0</v>
      </c>
      <c r="AK187" s="9">
        <f t="shared" si="115"/>
        <v>0</v>
      </c>
      <c r="AL187" s="9">
        <f t="shared" si="116"/>
        <v>0</v>
      </c>
      <c r="AM187" s="9">
        <f t="shared" si="117"/>
        <v>0</v>
      </c>
      <c r="AN187" s="9">
        <f t="shared" si="118"/>
        <v>0</v>
      </c>
      <c r="AO187" s="9">
        <f t="shared" si="106"/>
        <v>429144</v>
      </c>
      <c r="AP187" s="9">
        <f t="shared" si="119"/>
        <v>429144</v>
      </c>
      <c r="AQ187" s="9">
        <f t="shared" si="120"/>
        <v>429144</v>
      </c>
      <c r="AR187" s="291">
        <v>462941</v>
      </c>
      <c r="AS187" s="9">
        <f t="shared" si="121"/>
        <v>33797</v>
      </c>
      <c r="AT187" s="297" t="str">
        <f t="shared" si="122"/>
        <v>No</v>
      </c>
      <c r="AU187" s="357">
        <v>461796</v>
      </c>
      <c r="AV187" s="291">
        <f t="shared" si="107"/>
        <v>2815.2901000000002</v>
      </c>
      <c r="AW187" s="291">
        <f t="shared" si="123"/>
        <v>461796</v>
      </c>
      <c r="AX187" s="291">
        <f t="shared" si="108"/>
        <v>461796</v>
      </c>
      <c r="AY187" s="358">
        <f t="shared" si="124"/>
        <v>0</v>
      </c>
      <c r="AZ187" s="301"/>
      <c r="BA187" s="301"/>
      <c r="BB187" s="302"/>
      <c r="BC187" s="291">
        <f t="shared" si="125"/>
        <v>458980.70990000002</v>
      </c>
      <c r="BD187" s="298">
        <f t="shared" si="136"/>
        <v>456165.41980000003</v>
      </c>
      <c r="BE187" s="298">
        <f t="shared" si="136"/>
        <v>453350.12970000005</v>
      </c>
      <c r="BF187" s="298">
        <f t="shared" si="136"/>
        <v>450534.83960000006</v>
      </c>
      <c r="BG187" s="298">
        <f t="shared" si="137"/>
        <v>447719.54950000008</v>
      </c>
      <c r="BH187" s="298">
        <f t="shared" si="137"/>
        <v>444904.2594000001</v>
      </c>
      <c r="BI187" s="298">
        <f t="shared" si="128"/>
        <v>429144</v>
      </c>
      <c r="BK187" s="298">
        <f t="shared" si="129"/>
        <v>458980.70990000002</v>
      </c>
      <c r="BL187" s="298">
        <f t="shared" si="130"/>
        <v>456165.41980000003</v>
      </c>
      <c r="BM187" s="298">
        <f t="shared" si="131"/>
        <v>453350.12970000005</v>
      </c>
      <c r="BN187" s="298">
        <f t="shared" si="132"/>
        <v>450534.83960000006</v>
      </c>
      <c r="BO187" s="298">
        <f t="shared" si="133"/>
        <v>447719.54950000008</v>
      </c>
      <c r="BP187" s="298">
        <f t="shared" si="134"/>
        <v>444904.2594000001</v>
      </c>
      <c r="BQ187" s="298">
        <f t="shared" si="135"/>
        <v>429144</v>
      </c>
    </row>
    <row r="188" spans="1:69" ht="15" x14ac:dyDescent="0.2">
      <c r="A188" s="10" t="s">
        <v>19</v>
      </c>
      <c r="B188" s="10"/>
      <c r="C188" s="276">
        <v>1</v>
      </c>
      <c r="D188" s="276">
        <v>1</v>
      </c>
      <c r="E188" s="276"/>
      <c r="F188" s="8">
        <v>9</v>
      </c>
      <c r="G188" s="359">
        <v>28</v>
      </c>
      <c r="H188" s="10">
        <v>162</v>
      </c>
      <c r="I188" s="7" t="s">
        <v>174</v>
      </c>
      <c r="J188" s="287"/>
      <c r="K188" s="356">
        <v>1067.79</v>
      </c>
      <c r="L188" s="359"/>
      <c r="M188" s="289"/>
      <c r="N188" s="357">
        <v>559</v>
      </c>
      <c r="O188" s="290">
        <f t="shared" si="97"/>
        <v>0.52351117729141494</v>
      </c>
      <c r="P188" s="290">
        <f t="shared" si="109"/>
        <v>0</v>
      </c>
      <c r="Q188" s="291">
        <f t="shared" si="98"/>
        <v>0</v>
      </c>
      <c r="R188" s="291">
        <f t="shared" si="110"/>
        <v>0</v>
      </c>
      <c r="S188" s="357">
        <v>31</v>
      </c>
      <c r="T188" s="292">
        <f t="shared" si="99"/>
        <v>167.7</v>
      </c>
      <c r="U188" s="254">
        <f t="shared" si="111"/>
        <v>1243.24</v>
      </c>
      <c r="V188" s="356">
        <v>1031961094</v>
      </c>
      <c r="W188" s="357">
        <v>10798</v>
      </c>
      <c r="X188" s="264">
        <f t="shared" si="100"/>
        <v>95569.65</v>
      </c>
      <c r="Y188" s="293">
        <f t="shared" si="101"/>
        <v>0.49639699999999998</v>
      </c>
      <c r="Z188" s="357">
        <v>68651</v>
      </c>
      <c r="AA188" s="293">
        <f t="shared" si="102"/>
        <v>0.56974499999999995</v>
      </c>
      <c r="AB188" s="293">
        <f t="shared" si="103"/>
        <v>0.481599</v>
      </c>
      <c r="AC188" s="294">
        <f t="shared" si="104"/>
        <v>0.481599</v>
      </c>
      <c r="AD188" s="295">
        <f t="shared" si="112"/>
        <v>0</v>
      </c>
      <c r="AE188" s="296">
        <f t="shared" si="113"/>
        <v>0.481599</v>
      </c>
      <c r="AF188" s="357">
        <v>0</v>
      </c>
      <c r="AG188" s="357">
        <v>0</v>
      </c>
      <c r="AH188" s="254">
        <f t="shared" si="114"/>
        <v>0</v>
      </c>
      <c r="AI188" s="9">
        <f t="shared" si="105"/>
        <v>0</v>
      </c>
      <c r="AJ188" s="9">
        <v>429</v>
      </c>
      <c r="AK188" s="9">
        <v>6</v>
      </c>
      <c r="AL188" s="9">
        <f t="shared" si="116"/>
        <v>600</v>
      </c>
      <c r="AM188" s="9">
        <f t="shared" si="117"/>
        <v>257400</v>
      </c>
      <c r="AN188" s="9">
        <f t="shared" si="118"/>
        <v>257400</v>
      </c>
      <c r="AO188" s="9">
        <f t="shared" si="106"/>
        <v>6900515</v>
      </c>
      <c r="AP188" s="9">
        <f t="shared" si="119"/>
        <v>7157915</v>
      </c>
      <c r="AQ188" s="9">
        <f t="shared" si="120"/>
        <v>8024957</v>
      </c>
      <c r="AR188" s="291">
        <v>8024957</v>
      </c>
      <c r="AS188" s="9">
        <f t="shared" si="121"/>
        <v>867042</v>
      </c>
      <c r="AT188" s="297" t="str">
        <f t="shared" si="122"/>
        <v>No</v>
      </c>
      <c r="AU188" s="357">
        <v>8024957</v>
      </c>
      <c r="AV188" s="291">
        <f t="shared" si="107"/>
        <v>72224.598599999998</v>
      </c>
      <c r="AW188" s="291">
        <f t="shared" si="123"/>
        <v>8024957</v>
      </c>
      <c r="AX188" s="291">
        <f t="shared" si="108"/>
        <v>8024957</v>
      </c>
      <c r="AY188" s="358">
        <f t="shared" si="124"/>
        <v>0</v>
      </c>
      <c r="AZ188" s="301"/>
      <c r="BA188" s="301"/>
      <c r="BB188" s="302"/>
      <c r="BC188" s="291">
        <f t="shared" si="125"/>
        <v>7952732.4013999999</v>
      </c>
      <c r="BD188" s="298">
        <f t="shared" ref="BD188:BF195" si="138">IF($AT188="Yes",BC188+$AV188,BC188-$AV188)</f>
        <v>7880507.8027999997</v>
      </c>
      <c r="BE188" s="298">
        <f t="shared" si="138"/>
        <v>7808283.2041999996</v>
      </c>
      <c r="BF188" s="298">
        <f t="shared" si="138"/>
        <v>7736058.6055999994</v>
      </c>
      <c r="BG188" s="298">
        <f t="shared" ref="BG188:BH195" si="139">IF($AT188="Yes",$AP188,BF188-$AV188)</f>
        <v>7663834.0069999993</v>
      </c>
      <c r="BH188" s="298">
        <f t="shared" si="139"/>
        <v>7591609.4083999991</v>
      </c>
      <c r="BI188" s="298">
        <f t="shared" si="128"/>
        <v>7157915</v>
      </c>
      <c r="BK188" s="298">
        <f t="shared" si="129"/>
        <v>8024957</v>
      </c>
      <c r="BL188" s="298">
        <f t="shared" si="130"/>
        <v>8024957</v>
      </c>
      <c r="BM188" s="298">
        <f t="shared" si="131"/>
        <v>8024957</v>
      </c>
      <c r="BN188" s="298">
        <f t="shared" si="132"/>
        <v>8024957</v>
      </c>
      <c r="BO188" s="298">
        <f t="shared" si="133"/>
        <v>8024957</v>
      </c>
      <c r="BP188" s="298">
        <f t="shared" si="134"/>
        <v>8024957</v>
      </c>
      <c r="BQ188" s="298">
        <f t="shared" si="135"/>
        <v>8024957</v>
      </c>
    </row>
    <row r="189" spans="1:69" ht="15" x14ac:dyDescent="0.2">
      <c r="A189" s="10" t="s">
        <v>24</v>
      </c>
      <c r="B189" s="10">
        <v>1</v>
      </c>
      <c r="C189" s="276">
        <v>1</v>
      </c>
      <c r="D189" s="276">
        <v>0</v>
      </c>
      <c r="E189" s="276">
        <v>1</v>
      </c>
      <c r="F189" s="8">
        <v>10</v>
      </c>
      <c r="G189" s="359">
        <v>8</v>
      </c>
      <c r="H189" s="10">
        <v>163</v>
      </c>
      <c r="I189" s="7" t="s">
        <v>175</v>
      </c>
      <c r="J189" s="287"/>
      <c r="K189" s="356">
        <v>3189.92</v>
      </c>
      <c r="L189" s="359"/>
      <c r="M189" s="289"/>
      <c r="N189" s="357">
        <v>2319</v>
      </c>
      <c r="O189" s="290">
        <f t="shared" si="97"/>
        <v>0.72697747905903598</v>
      </c>
      <c r="P189" s="290">
        <f t="shared" si="109"/>
        <v>0.126977479059036</v>
      </c>
      <c r="Q189" s="291">
        <f t="shared" si="98"/>
        <v>405.04800000000012</v>
      </c>
      <c r="R189" s="291">
        <f t="shared" si="110"/>
        <v>60.757200000000012</v>
      </c>
      <c r="S189" s="357">
        <v>965</v>
      </c>
      <c r="T189" s="292">
        <f t="shared" si="99"/>
        <v>695.7</v>
      </c>
      <c r="U189" s="254">
        <f t="shared" si="111"/>
        <v>4187.6271999999999</v>
      </c>
      <c r="V189" s="356">
        <v>1355053737</v>
      </c>
      <c r="W189" s="357">
        <v>24688</v>
      </c>
      <c r="X189" s="264">
        <f t="shared" si="100"/>
        <v>54887.14</v>
      </c>
      <c r="Y189" s="293">
        <f t="shared" si="101"/>
        <v>0.28508800000000001</v>
      </c>
      <c r="Z189" s="357">
        <v>44091</v>
      </c>
      <c r="AA189" s="293">
        <f t="shared" si="102"/>
        <v>0.36591800000000002</v>
      </c>
      <c r="AB189" s="293">
        <f t="shared" si="103"/>
        <v>0.69066300000000003</v>
      </c>
      <c r="AC189" s="294">
        <f t="shared" si="104"/>
        <v>0.69066300000000003</v>
      </c>
      <c r="AD189" s="295">
        <f t="shared" si="112"/>
        <v>0.05</v>
      </c>
      <c r="AE189" s="296">
        <f t="shared" si="113"/>
        <v>0.74066300000000007</v>
      </c>
      <c r="AF189" s="357">
        <v>0</v>
      </c>
      <c r="AG189" s="357">
        <v>0</v>
      </c>
      <c r="AH189" s="254">
        <f t="shared" si="114"/>
        <v>0</v>
      </c>
      <c r="AI189" s="9">
        <f t="shared" si="105"/>
        <v>0</v>
      </c>
      <c r="AJ189" s="9">
        <v>0</v>
      </c>
      <c r="AK189" s="9">
        <f t="shared" si="115"/>
        <v>0</v>
      </c>
      <c r="AL189" s="9">
        <f t="shared" si="116"/>
        <v>0</v>
      </c>
      <c r="AM189" s="9">
        <f t="shared" si="117"/>
        <v>0</v>
      </c>
      <c r="AN189" s="9">
        <f t="shared" si="118"/>
        <v>0</v>
      </c>
      <c r="AO189" s="9">
        <f t="shared" si="106"/>
        <v>35746177</v>
      </c>
      <c r="AP189" s="9">
        <f t="shared" si="119"/>
        <v>35746177</v>
      </c>
      <c r="AQ189" s="9">
        <f t="shared" si="120"/>
        <v>35746177</v>
      </c>
      <c r="AR189" s="291">
        <v>26582071</v>
      </c>
      <c r="AS189" s="9">
        <f t="shared" si="121"/>
        <v>9164106</v>
      </c>
      <c r="AT189" s="297" t="str">
        <f t="shared" si="122"/>
        <v>Yes</v>
      </c>
      <c r="AU189" s="357">
        <v>29939872.6996</v>
      </c>
      <c r="AV189" s="291">
        <f t="shared" si="107"/>
        <v>976893.69960000005</v>
      </c>
      <c r="AW189" s="291">
        <f t="shared" si="123"/>
        <v>30916766.3992</v>
      </c>
      <c r="AX189" s="291">
        <f t="shared" si="108"/>
        <v>30916766.3992</v>
      </c>
      <c r="AY189" s="358">
        <f t="shared" si="124"/>
        <v>976893.69959999993</v>
      </c>
      <c r="AZ189" s="301"/>
      <c r="BA189" s="301"/>
      <c r="BB189" s="302"/>
      <c r="BC189" s="291">
        <f t="shared" si="125"/>
        <v>31893660.0988</v>
      </c>
      <c r="BD189" s="298">
        <f t="shared" si="138"/>
        <v>32870553.7984</v>
      </c>
      <c r="BE189" s="298">
        <f t="shared" si="138"/>
        <v>33847447.498000003</v>
      </c>
      <c r="BF189" s="298">
        <f t="shared" si="138"/>
        <v>34824341.197600007</v>
      </c>
      <c r="BG189" s="298">
        <f t="shared" si="139"/>
        <v>35746177</v>
      </c>
      <c r="BH189" s="298">
        <f t="shared" si="139"/>
        <v>35746177</v>
      </c>
      <c r="BI189" s="298">
        <f t="shared" si="128"/>
        <v>35746177</v>
      </c>
      <c r="BK189" s="298">
        <f t="shared" si="129"/>
        <v>31893660.0988</v>
      </c>
      <c r="BL189" s="298">
        <f t="shared" si="130"/>
        <v>32870553.7984</v>
      </c>
      <c r="BM189" s="298">
        <f t="shared" si="131"/>
        <v>33847447.498000003</v>
      </c>
      <c r="BN189" s="298">
        <f t="shared" si="132"/>
        <v>34824341.197600007</v>
      </c>
      <c r="BO189" s="298">
        <f t="shared" si="133"/>
        <v>35746177</v>
      </c>
      <c r="BP189" s="298">
        <f t="shared" si="134"/>
        <v>35746177</v>
      </c>
      <c r="BQ189" s="298">
        <f t="shared" si="135"/>
        <v>35746177</v>
      </c>
    </row>
    <row r="190" spans="1:69" ht="15" x14ac:dyDescent="0.2">
      <c r="A190" s="10" t="s">
        <v>14</v>
      </c>
      <c r="B190" s="10"/>
      <c r="C190" s="276">
        <v>1</v>
      </c>
      <c r="D190" s="276">
        <v>1</v>
      </c>
      <c r="E190" s="276"/>
      <c r="F190" s="8">
        <v>6</v>
      </c>
      <c r="G190" s="359">
        <v>38</v>
      </c>
      <c r="H190" s="10">
        <v>164</v>
      </c>
      <c r="I190" s="7" t="s">
        <v>176</v>
      </c>
      <c r="J190" s="287"/>
      <c r="K190" s="356">
        <v>3883.78</v>
      </c>
      <c r="L190" s="359"/>
      <c r="M190" s="289"/>
      <c r="N190" s="357">
        <v>1754</v>
      </c>
      <c r="O190" s="290">
        <f t="shared" si="97"/>
        <v>0.45162187353557615</v>
      </c>
      <c r="P190" s="290">
        <f t="shared" si="109"/>
        <v>0</v>
      </c>
      <c r="Q190" s="291">
        <f t="shared" si="98"/>
        <v>0</v>
      </c>
      <c r="R190" s="291">
        <f t="shared" si="110"/>
        <v>0</v>
      </c>
      <c r="S190" s="357">
        <v>128</v>
      </c>
      <c r="T190" s="292">
        <f t="shared" si="99"/>
        <v>526.20000000000005</v>
      </c>
      <c r="U190" s="254">
        <f t="shared" si="111"/>
        <v>4441.9800000000005</v>
      </c>
      <c r="V190" s="356">
        <v>4400606620</v>
      </c>
      <c r="W190" s="357">
        <v>28917</v>
      </c>
      <c r="X190" s="264">
        <f t="shared" si="100"/>
        <v>152180.60999999999</v>
      </c>
      <c r="Y190" s="293">
        <f t="shared" si="101"/>
        <v>0.790439</v>
      </c>
      <c r="Z190" s="357">
        <v>88986</v>
      </c>
      <c r="AA190" s="293">
        <f t="shared" si="102"/>
        <v>0.73850800000000005</v>
      </c>
      <c r="AB190" s="293">
        <f t="shared" si="103"/>
        <v>0.22514000000000001</v>
      </c>
      <c r="AC190" s="294">
        <f t="shared" si="104"/>
        <v>0.22514000000000001</v>
      </c>
      <c r="AD190" s="295">
        <f t="shared" si="112"/>
        <v>0</v>
      </c>
      <c r="AE190" s="296">
        <f t="shared" si="113"/>
        <v>0.22514000000000001</v>
      </c>
      <c r="AF190" s="357">
        <v>0</v>
      </c>
      <c r="AG190" s="357">
        <v>0</v>
      </c>
      <c r="AH190" s="254">
        <f t="shared" si="114"/>
        <v>0</v>
      </c>
      <c r="AI190" s="9">
        <f t="shared" si="105"/>
        <v>0</v>
      </c>
      <c r="AJ190" s="9">
        <v>0</v>
      </c>
      <c r="AK190" s="9">
        <f t="shared" si="115"/>
        <v>0</v>
      </c>
      <c r="AL190" s="9">
        <f t="shared" si="116"/>
        <v>0</v>
      </c>
      <c r="AM190" s="9">
        <f t="shared" si="117"/>
        <v>0</v>
      </c>
      <c r="AN190" s="9">
        <f t="shared" si="118"/>
        <v>0</v>
      </c>
      <c r="AO190" s="9">
        <f t="shared" si="106"/>
        <v>11525777</v>
      </c>
      <c r="AP190" s="9">
        <f t="shared" si="119"/>
        <v>11525777</v>
      </c>
      <c r="AQ190" s="9">
        <f t="shared" si="120"/>
        <v>12130392</v>
      </c>
      <c r="AR190" s="291">
        <v>12130392</v>
      </c>
      <c r="AS190" s="9">
        <f t="shared" si="121"/>
        <v>604615</v>
      </c>
      <c r="AT190" s="297" t="str">
        <f t="shared" si="122"/>
        <v>No</v>
      </c>
      <c r="AU190" s="357">
        <v>12130392</v>
      </c>
      <c r="AV190" s="291">
        <f t="shared" si="107"/>
        <v>50364.429499999998</v>
      </c>
      <c r="AW190" s="291">
        <f t="shared" si="123"/>
        <v>12130392</v>
      </c>
      <c r="AX190" s="291">
        <f t="shared" si="108"/>
        <v>12130392</v>
      </c>
      <c r="AY190" s="358">
        <f t="shared" si="124"/>
        <v>0</v>
      </c>
      <c r="AZ190" s="301"/>
      <c r="BA190" s="301"/>
      <c r="BB190" s="302"/>
      <c r="BC190" s="291">
        <f t="shared" si="125"/>
        <v>12080027.570499999</v>
      </c>
      <c r="BD190" s="298">
        <f t="shared" si="138"/>
        <v>12029663.140999999</v>
      </c>
      <c r="BE190" s="298">
        <f t="shared" si="138"/>
        <v>11979298.711499998</v>
      </c>
      <c r="BF190" s="298">
        <f t="shared" si="138"/>
        <v>11928934.281999998</v>
      </c>
      <c r="BG190" s="298">
        <f t="shared" si="139"/>
        <v>11878569.852499997</v>
      </c>
      <c r="BH190" s="298">
        <f t="shared" si="139"/>
        <v>11828205.422999997</v>
      </c>
      <c r="BI190" s="298">
        <f t="shared" si="128"/>
        <v>11525777</v>
      </c>
      <c r="BK190" s="298">
        <f t="shared" si="129"/>
        <v>12130392</v>
      </c>
      <c r="BL190" s="298">
        <f t="shared" si="130"/>
        <v>12130392</v>
      </c>
      <c r="BM190" s="298">
        <f t="shared" si="131"/>
        <v>12130392</v>
      </c>
      <c r="BN190" s="298">
        <f t="shared" si="132"/>
        <v>12130392</v>
      </c>
      <c r="BO190" s="298">
        <f t="shared" si="133"/>
        <v>12130392</v>
      </c>
      <c r="BP190" s="298">
        <f t="shared" si="134"/>
        <v>12130392</v>
      </c>
      <c r="BQ190" s="298">
        <f t="shared" si="135"/>
        <v>12130392</v>
      </c>
    </row>
    <row r="191" spans="1:69" ht="15" x14ac:dyDescent="0.2">
      <c r="A191" s="10" t="s">
        <v>32</v>
      </c>
      <c r="B191" s="10"/>
      <c r="C191" s="276">
        <v>1</v>
      </c>
      <c r="D191" s="276">
        <v>1</v>
      </c>
      <c r="E191" s="276"/>
      <c r="F191" s="8">
        <v>7</v>
      </c>
      <c r="G191" s="355">
        <v>44</v>
      </c>
      <c r="H191" s="10">
        <v>165</v>
      </c>
      <c r="I191" s="7" t="s">
        <v>177</v>
      </c>
      <c r="J191" s="287"/>
      <c r="K191" s="356">
        <v>1561.69</v>
      </c>
      <c r="L191" s="355"/>
      <c r="M191" s="289"/>
      <c r="N191" s="357">
        <v>602</v>
      </c>
      <c r="O191" s="290">
        <f t="shared" si="97"/>
        <v>0.38547983274529513</v>
      </c>
      <c r="P191" s="290">
        <f t="shared" si="109"/>
        <v>0</v>
      </c>
      <c r="Q191" s="291">
        <f t="shared" si="98"/>
        <v>0</v>
      </c>
      <c r="R191" s="291">
        <f t="shared" si="110"/>
        <v>0</v>
      </c>
      <c r="S191" s="357">
        <v>98</v>
      </c>
      <c r="T191" s="292">
        <f t="shared" si="99"/>
        <v>180.6</v>
      </c>
      <c r="U191" s="254">
        <f t="shared" si="111"/>
        <v>1766.79</v>
      </c>
      <c r="V191" s="356">
        <v>2029578662.3299999</v>
      </c>
      <c r="W191" s="357">
        <v>12613</v>
      </c>
      <c r="X191" s="264">
        <f t="shared" si="100"/>
        <v>160911.65</v>
      </c>
      <c r="Y191" s="293">
        <f t="shared" si="101"/>
        <v>0.83578799999999998</v>
      </c>
      <c r="Z191" s="357">
        <v>66846</v>
      </c>
      <c r="AA191" s="293">
        <f t="shared" si="102"/>
        <v>0.55476499999999995</v>
      </c>
      <c r="AB191" s="293">
        <f t="shared" si="103"/>
        <v>0.24851899999999999</v>
      </c>
      <c r="AC191" s="294">
        <f t="shared" si="104"/>
        <v>0.24851899999999999</v>
      </c>
      <c r="AD191" s="295">
        <f t="shared" si="112"/>
        <v>0</v>
      </c>
      <c r="AE191" s="296">
        <f t="shared" si="113"/>
        <v>0.24851899999999999</v>
      </c>
      <c r="AF191" s="357">
        <v>0</v>
      </c>
      <c r="AG191" s="357">
        <v>0</v>
      </c>
      <c r="AH191" s="254">
        <f t="shared" si="114"/>
        <v>0</v>
      </c>
      <c r="AI191" s="9">
        <f t="shared" si="105"/>
        <v>0</v>
      </c>
      <c r="AJ191" s="9">
        <v>0</v>
      </c>
      <c r="AK191" s="9">
        <f t="shared" si="115"/>
        <v>0</v>
      </c>
      <c r="AL191" s="9">
        <f t="shared" si="116"/>
        <v>0</v>
      </c>
      <c r="AM191" s="9">
        <f t="shared" si="117"/>
        <v>0</v>
      </c>
      <c r="AN191" s="9">
        <f t="shared" si="118"/>
        <v>0</v>
      </c>
      <c r="AO191" s="9">
        <f t="shared" si="106"/>
        <v>5060407</v>
      </c>
      <c r="AP191" s="9">
        <f t="shared" si="119"/>
        <v>5060407</v>
      </c>
      <c r="AQ191" s="9">
        <f t="shared" si="120"/>
        <v>5167806</v>
      </c>
      <c r="AR191" s="291">
        <v>5167806</v>
      </c>
      <c r="AS191" s="9">
        <f t="shared" si="121"/>
        <v>107399</v>
      </c>
      <c r="AT191" s="297" t="str">
        <f t="shared" si="122"/>
        <v>No</v>
      </c>
      <c r="AU191" s="357">
        <v>5225299</v>
      </c>
      <c r="AV191" s="291">
        <f t="shared" si="107"/>
        <v>8946.3366999999998</v>
      </c>
      <c r="AW191" s="291">
        <f t="shared" si="123"/>
        <v>5225299</v>
      </c>
      <c r="AX191" s="291">
        <f t="shared" si="108"/>
        <v>5225299</v>
      </c>
      <c r="AY191" s="358">
        <f t="shared" si="124"/>
        <v>0</v>
      </c>
      <c r="AZ191" s="301"/>
      <c r="BA191" s="301"/>
      <c r="BB191" s="302"/>
      <c r="BC191" s="291">
        <f t="shared" si="125"/>
        <v>5216352.6633000001</v>
      </c>
      <c r="BD191" s="298">
        <f t="shared" si="138"/>
        <v>5207406.3266000003</v>
      </c>
      <c r="BE191" s="298">
        <f t="shared" si="138"/>
        <v>5198459.9899000004</v>
      </c>
      <c r="BF191" s="298">
        <f t="shared" si="138"/>
        <v>5189513.6532000005</v>
      </c>
      <c r="BG191" s="298">
        <f t="shared" si="139"/>
        <v>5180567.3165000007</v>
      </c>
      <c r="BH191" s="298">
        <f t="shared" si="139"/>
        <v>5171620.9798000008</v>
      </c>
      <c r="BI191" s="298">
        <f t="shared" si="128"/>
        <v>5060407</v>
      </c>
      <c r="BK191" s="298">
        <f t="shared" si="129"/>
        <v>5216352.6633000001</v>
      </c>
      <c r="BL191" s="298">
        <f t="shared" si="130"/>
        <v>5207406.3266000003</v>
      </c>
      <c r="BM191" s="298">
        <f t="shared" si="131"/>
        <v>5198459.9899000004</v>
      </c>
      <c r="BN191" s="298">
        <f t="shared" si="132"/>
        <v>5189513.6532000005</v>
      </c>
      <c r="BO191" s="298">
        <f t="shared" si="133"/>
        <v>5180567.3165000007</v>
      </c>
      <c r="BP191" s="298">
        <f t="shared" si="134"/>
        <v>5171620.9798000008</v>
      </c>
      <c r="BQ191" s="298">
        <f t="shared" si="135"/>
        <v>5167806</v>
      </c>
    </row>
    <row r="192" spans="1:69" ht="15.75" customHeight="1" x14ac:dyDescent="0.2">
      <c r="A192" s="10" t="s">
        <v>32</v>
      </c>
      <c r="B192" s="10"/>
      <c r="C192" s="276"/>
      <c r="D192" s="276"/>
      <c r="E192" s="276"/>
      <c r="F192" s="8">
        <v>7</v>
      </c>
      <c r="G192" s="355">
        <v>53</v>
      </c>
      <c r="H192" s="10">
        <v>166</v>
      </c>
      <c r="I192" s="7" t="s">
        <v>178</v>
      </c>
      <c r="J192" s="287"/>
      <c r="K192" s="356">
        <v>2293.6799999999998</v>
      </c>
      <c r="L192" s="355"/>
      <c r="M192" s="289"/>
      <c r="N192" s="357">
        <v>705</v>
      </c>
      <c r="O192" s="290">
        <f t="shared" si="97"/>
        <v>0.3073663283457152</v>
      </c>
      <c r="P192" s="290">
        <f t="shared" si="109"/>
        <v>0</v>
      </c>
      <c r="Q192" s="291">
        <f t="shared" si="98"/>
        <v>0</v>
      </c>
      <c r="R192" s="291">
        <f t="shared" si="110"/>
        <v>0</v>
      </c>
      <c r="S192" s="357">
        <v>75</v>
      </c>
      <c r="T192" s="292">
        <f t="shared" si="99"/>
        <v>211.5</v>
      </c>
      <c r="U192" s="254">
        <f t="shared" si="111"/>
        <v>2523.9299999999998</v>
      </c>
      <c r="V192" s="356">
        <v>1811486207</v>
      </c>
      <c r="W192" s="357">
        <v>16652</v>
      </c>
      <c r="X192" s="264">
        <f t="shared" si="100"/>
        <v>108784.9</v>
      </c>
      <c r="Y192" s="293">
        <f t="shared" si="101"/>
        <v>0.56503800000000004</v>
      </c>
      <c r="Z192" s="357">
        <v>86786</v>
      </c>
      <c r="AA192" s="293">
        <f t="shared" si="102"/>
        <v>0.72024999999999995</v>
      </c>
      <c r="AB192" s="293">
        <f t="shared" si="103"/>
        <v>0.38839800000000002</v>
      </c>
      <c r="AC192" s="294">
        <f t="shared" si="104"/>
        <v>0.38839800000000002</v>
      </c>
      <c r="AD192" s="295">
        <f t="shared" si="112"/>
        <v>0</v>
      </c>
      <c r="AE192" s="296">
        <f t="shared" si="113"/>
        <v>0.38839800000000002</v>
      </c>
      <c r="AF192" s="357">
        <v>0</v>
      </c>
      <c r="AG192" s="357">
        <v>0</v>
      </c>
      <c r="AH192" s="254">
        <f t="shared" si="114"/>
        <v>0</v>
      </c>
      <c r="AI192" s="9">
        <f t="shared" si="105"/>
        <v>0</v>
      </c>
      <c r="AJ192" s="9">
        <v>0</v>
      </c>
      <c r="AK192" s="9">
        <f t="shared" si="115"/>
        <v>0</v>
      </c>
      <c r="AL192" s="9">
        <f t="shared" si="116"/>
        <v>0</v>
      </c>
      <c r="AM192" s="9">
        <f t="shared" si="117"/>
        <v>0</v>
      </c>
      <c r="AN192" s="9">
        <f t="shared" si="118"/>
        <v>0</v>
      </c>
      <c r="AO192" s="9">
        <f t="shared" si="106"/>
        <v>11297835</v>
      </c>
      <c r="AP192" s="9">
        <f t="shared" si="119"/>
        <v>11297835</v>
      </c>
      <c r="AQ192" s="9">
        <f t="shared" si="120"/>
        <v>11297835</v>
      </c>
      <c r="AR192" s="291">
        <v>13423576</v>
      </c>
      <c r="AS192" s="9">
        <f t="shared" si="121"/>
        <v>2125741</v>
      </c>
      <c r="AT192" s="297" t="str">
        <f t="shared" si="122"/>
        <v>No</v>
      </c>
      <c r="AU192" s="357">
        <v>12387171</v>
      </c>
      <c r="AV192" s="291">
        <f t="shared" si="107"/>
        <v>177074.22529999999</v>
      </c>
      <c r="AW192" s="291">
        <f t="shared" si="123"/>
        <v>12387171</v>
      </c>
      <c r="AX192" s="291">
        <f t="shared" si="108"/>
        <v>12387171</v>
      </c>
      <c r="AY192" s="358">
        <f t="shared" si="124"/>
        <v>0</v>
      </c>
      <c r="AZ192" s="301"/>
      <c r="BA192" s="301"/>
      <c r="BB192" s="302"/>
      <c r="BC192" s="291">
        <f t="shared" si="125"/>
        <v>12210096.774700001</v>
      </c>
      <c r="BD192" s="298">
        <f t="shared" si="138"/>
        <v>12033022.549400002</v>
      </c>
      <c r="BE192" s="298">
        <f t="shared" si="138"/>
        <v>11855948.324100003</v>
      </c>
      <c r="BF192" s="298">
        <f t="shared" si="138"/>
        <v>11678874.098800004</v>
      </c>
      <c r="BG192" s="298">
        <f t="shared" si="139"/>
        <v>11501799.873500004</v>
      </c>
      <c r="BH192" s="298">
        <f t="shared" si="139"/>
        <v>11324725.648200005</v>
      </c>
      <c r="BI192" s="298">
        <f t="shared" si="128"/>
        <v>11297835</v>
      </c>
      <c r="BK192" s="298">
        <f t="shared" si="129"/>
        <v>12210096.774700001</v>
      </c>
      <c r="BL192" s="298">
        <f t="shared" si="130"/>
        <v>12033022.549400002</v>
      </c>
      <c r="BM192" s="298">
        <f t="shared" si="131"/>
        <v>11855948.324100003</v>
      </c>
      <c r="BN192" s="298">
        <f t="shared" si="132"/>
        <v>11678874.098800004</v>
      </c>
      <c r="BO192" s="298">
        <f t="shared" si="133"/>
        <v>11501799.873500004</v>
      </c>
      <c r="BP192" s="298">
        <f t="shared" si="134"/>
        <v>11324725.648200005</v>
      </c>
      <c r="BQ192" s="298">
        <f t="shared" si="135"/>
        <v>11297835</v>
      </c>
    </row>
    <row r="193" spans="1:69" ht="15" x14ac:dyDescent="0.2">
      <c r="A193" s="10" t="s">
        <v>10</v>
      </c>
      <c r="B193" s="10"/>
      <c r="C193" s="276"/>
      <c r="D193" s="276"/>
      <c r="E193" s="276"/>
      <c r="F193" s="8">
        <v>2</v>
      </c>
      <c r="G193" s="355">
        <v>127</v>
      </c>
      <c r="H193" s="10">
        <v>167</v>
      </c>
      <c r="I193" s="7" t="s">
        <v>179</v>
      </c>
      <c r="J193" s="287"/>
      <c r="K193" s="356">
        <v>1535.25</v>
      </c>
      <c r="L193" s="355"/>
      <c r="M193" s="289"/>
      <c r="N193" s="357">
        <v>214</v>
      </c>
      <c r="O193" s="290">
        <f t="shared" si="97"/>
        <v>0.13939097866796937</v>
      </c>
      <c r="P193" s="290">
        <f t="shared" si="109"/>
        <v>0</v>
      </c>
      <c r="Q193" s="291">
        <f t="shared" si="98"/>
        <v>0</v>
      </c>
      <c r="R193" s="291">
        <f t="shared" si="110"/>
        <v>0</v>
      </c>
      <c r="S193" s="357">
        <v>32</v>
      </c>
      <c r="T193" s="292">
        <f t="shared" si="99"/>
        <v>64.2</v>
      </c>
      <c r="U193" s="254">
        <f t="shared" si="111"/>
        <v>1607.45</v>
      </c>
      <c r="V193" s="356">
        <v>1671279204.6700001</v>
      </c>
      <c r="W193" s="357">
        <v>8868</v>
      </c>
      <c r="X193" s="264">
        <f t="shared" si="100"/>
        <v>188461.8</v>
      </c>
      <c r="Y193" s="293">
        <f t="shared" si="101"/>
        <v>0.97888600000000003</v>
      </c>
      <c r="Z193" s="357">
        <v>142188</v>
      </c>
      <c r="AA193" s="293">
        <f t="shared" si="102"/>
        <v>1.18004</v>
      </c>
      <c r="AB193" s="293">
        <f t="shared" si="103"/>
        <v>-3.9232000000000003E-2</v>
      </c>
      <c r="AC193" s="294">
        <f t="shared" si="104"/>
        <v>0.01</v>
      </c>
      <c r="AD193" s="295">
        <f t="shared" si="112"/>
        <v>0</v>
      </c>
      <c r="AE193" s="296">
        <f t="shared" si="113"/>
        <v>0.01</v>
      </c>
      <c r="AF193" s="357">
        <v>703</v>
      </c>
      <c r="AG193" s="357">
        <v>6</v>
      </c>
      <c r="AH193" s="254">
        <f t="shared" si="114"/>
        <v>600</v>
      </c>
      <c r="AI193" s="9">
        <f t="shared" si="105"/>
        <v>421800</v>
      </c>
      <c r="AJ193" s="9">
        <v>0</v>
      </c>
      <c r="AK193" s="9">
        <f t="shared" si="115"/>
        <v>0</v>
      </c>
      <c r="AL193" s="9">
        <f t="shared" si="116"/>
        <v>0</v>
      </c>
      <c r="AM193" s="9">
        <f t="shared" si="117"/>
        <v>0</v>
      </c>
      <c r="AN193" s="9">
        <f t="shared" si="118"/>
        <v>421800</v>
      </c>
      <c r="AO193" s="9">
        <f t="shared" si="106"/>
        <v>185259</v>
      </c>
      <c r="AP193" s="9">
        <f t="shared" si="119"/>
        <v>607059</v>
      </c>
      <c r="AQ193" s="9">
        <f t="shared" si="120"/>
        <v>607059</v>
      </c>
      <c r="AR193" s="291">
        <v>656185</v>
      </c>
      <c r="AS193" s="9">
        <f t="shared" si="121"/>
        <v>49126</v>
      </c>
      <c r="AT193" s="297" t="str">
        <f t="shared" si="122"/>
        <v>No</v>
      </c>
      <c r="AU193" s="357">
        <v>471575</v>
      </c>
      <c r="AV193" s="291">
        <f t="shared" si="107"/>
        <v>4092.1958</v>
      </c>
      <c r="AW193" s="291">
        <f t="shared" si="123"/>
        <v>471575</v>
      </c>
      <c r="AX193" s="291">
        <f t="shared" si="108"/>
        <v>471575</v>
      </c>
      <c r="AY193" s="358">
        <f t="shared" si="124"/>
        <v>0</v>
      </c>
      <c r="AZ193" s="301"/>
      <c r="BA193" s="301"/>
      <c r="BB193" s="302"/>
      <c r="BC193" s="291">
        <f t="shared" si="125"/>
        <v>467482.80420000001</v>
      </c>
      <c r="BD193" s="298">
        <f t="shared" si="138"/>
        <v>463390.60840000003</v>
      </c>
      <c r="BE193" s="298">
        <f t="shared" si="138"/>
        <v>459298.41260000004</v>
      </c>
      <c r="BF193" s="298">
        <f t="shared" si="138"/>
        <v>455206.21680000005</v>
      </c>
      <c r="BG193" s="298">
        <f t="shared" si="139"/>
        <v>451114.02100000007</v>
      </c>
      <c r="BH193" s="298">
        <f t="shared" si="139"/>
        <v>447021.82520000008</v>
      </c>
      <c r="BI193" s="298">
        <f t="shared" si="128"/>
        <v>607059</v>
      </c>
      <c r="BK193" s="298">
        <f t="shared" si="129"/>
        <v>467482.80420000001</v>
      </c>
      <c r="BL193" s="298">
        <f t="shared" si="130"/>
        <v>463390.60840000003</v>
      </c>
      <c r="BM193" s="298">
        <f t="shared" si="131"/>
        <v>459298.41260000004</v>
      </c>
      <c r="BN193" s="298">
        <f t="shared" si="132"/>
        <v>455206.21680000005</v>
      </c>
      <c r="BO193" s="298">
        <f t="shared" si="133"/>
        <v>451114.02100000007</v>
      </c>
      <c r="BP193" s="298">
        <f t="shared" si="134"/>
        <v>447021.82520000008</v>
      </c>
      <c r="BQ193" s="298">
        <f t="shared" si="135"/>
        <v>607059</v>
      </c>
    </row>
    <row r="194" spans="1:69" ht="15" x14ac:dyDescent="0.2">
      <c r="A194" s="10" t="s">
        <v>4</v>
      </c>
      <c r="B194" s="10"/>
      <c r="C194" s="276"/>
      <c r="D194" s="276"/>
      <c r="E194" s="276"/>
      <c r="F194" s="8">
        <v>4</v>
      </c>
      <c r="G194" s="355">
        <v>113</v>
      </c>
      <c r="H194" s="10">
        <v>168</v>
      </c>
      <c r="I194" s="7" t="s">
        <v>180</v>
      </c>
      <c r="J194" s="287"/>
      <c r="K194" s="356">
        <v>993.12</v>
      </c>
      <c r="L194" s="355"/>
      <c r="M194" s="289"/>
      <c r="N194" s="357">
        <v>158</v>
      </c>
      <c r="O194" s="290">
        <f t="shared" si="97"/>
        <v>0.15909457064604479</v>
      </c>
      <c r="P194" s="290">
        <f t="shared" si="109"/>
        <v>0</v>
      </c>
      <c r="Q194" s="291">
        <f t="shared" si="98"/>
        <v>0</v>
      </c>
      <c r="R194" s="291">
        <f t="shared" si="110"/>
        <v>0</v>
      </c>
      <c r="S194" s="357">
        <v>13</v>
      </c>
      <c r="T194" s="292">
        <f t="shared" si="99"/>
        <v>47.4</v>
      </c>
      <c r="U194" s="254">
        <f t="shared" si="111"/>
        <v>1043.77</v>
      </c>
      <c r="V194" s="356">
        <v>1536756728</v>
      </c>
      <c r="W194" s="357">
        <v>9617</v>
      </c>
      <c r="X194" s="264">
        <f t="shared" si="100"/>
        <v>159795.85</v>
      </c>
      <c r="Y194" s="293">
        <f t="shared" si="101"/>
        <v>0.82999299999999998</v>
      </c>
      <c r="Z194" s="357">
        <v>78025</v>
      </c>
      <c r="AA194" s="293">
        <f t="shared" si="102"/>
        <v>0.64754100000000003</v>
      </c>
      <c r="AB194" s="293">
        <f t="shared" si="103"/>
        <v>0.224743</v>
      </c>
      <c r="AC194" s="294">
        <f t="shared" si="104"/>
        <v>0.224743</v>
      </c>
      <c r="AD194" s="295">
        <f t="shared" si="112"/>
        <v>0</v>
      </c>
      <c r="AE194" s="296">
        <f t="shared" si="113"/>
        <v>0.224743</v>
      </c>
      <c r="AF194" s="357">
        <v>993</v>
      </c>
      <c r="AG194" s="357">
        <v>13</v>
      </c>
      <c r="AH194" s="254">
        <f t="shared" si="114"/>
        <v>1300</v>
      </c>
      <c r="AI194" s="9">
        <f t="shared" si="105"/>
        <v>1290900</v>
      </c>
      <c r="AJ194" s="9">
        <v>0</v>
      </c>
      <c r="AK194" s="9">
        <f t="shared" si="115"/>
        <v>0</v>
      </c>
      <c r="AL194" s="9">
        <f t="shared" si="116"/>
        <v>0</v>
      </c>
      <c r="AM194" s="9">
        <f t="shared" si="117"/>
        <v>0</v>
      </c>
      <c r="AN194" s="9">
        <f t="shared" si="118"/>
        <v>1290900</v>
      </c>
      <c r="AO194" s="9">
        <f t="shared" si="106"/>
        <v>2703535</v>
      </c>
      <c r="AP194" s="9">
        <f t="shared" si="119"/>
        <v>3994435</v>
      </c>
      <c r="AQ194" s="9">
        <f t="shared" si="120"/>
        <v>3994435</v>
      </c>
      <c r="AR194" s="291">
        <v>1276811</v>
      </c>
      <c r="AS194" s="9">
        <f t="shared" si="121"/>
        <v>2717624</v>
      </c>
      <c r="AT194" s="297" t="str">
        <f t="shared" si="122"/>
        <v>Yes</v>
      </c>
      <c r="AU194" s="357">
        <v>1829557.7184000001</v>
      </c>
      <c r="AV194" s="291">
        <f t="shared" si="107"/>
        <v>289698.71840000001</v>
      </c>
      <c r="AW194" s="291">
        <f t="shared" si="123"/>
        <v>2119256.4368000003</v>
      </c>
      <c r="AX194" s="291">
        <f t="shared" si="108"/>
        <v>2119256.4368000003</v>
      </c>
      <c r="AY194" s="358">
        <f t="shared" si="124"/>
        <v>289698.71840000013</v>
      </c>
      <c r="AZ194" s="301"/>
      <c r="BA194" s="301"/>
      <c r="BB194" s="302"/>
      <c r="BC194" s="291">
        <f t="shared" si="125"/>
        <v>2408955.1552000004</v>
      </c>
      <c r="BD194" s="298">
        <f t="shared" si="138"/>
        <v>2698653.8736000005</v>
      </c>
      <c r="BE194" s="298">
        <f t="shared" si="138"/>
        <v>2988352.5920000006</v>
      </c>
      <c r="BF194" s="298">
        <f t="shared" si="138"/>
        <v>3278051.3104000008</v>
      </c>
      <c r="BG194" s="298">
        <f t="shared" si="139"/>
        <v>3994435</v>
      </c>
      <c r="BH194" s="298">
        <f t="shared" si="139"/>
        <v>3994435</v>
      </c>
      <c r="BI194" s="298">
        <f t="shared" si="128"/>
        <v>3994435</v>
      </c>
      <c r="BK194" s="298">
        <f t="shared" si="129"/>
        <v>2408955.1552000004</v>
      </c>
      <c r="BL194" s="298">
        <f t="shared" si="130"/>
        <v>2698653.8736000005</v>
      </c>
      <c r="BM194" s="298">
        <f t="shared" si="131"/>
        <v>2988352.5920000006</v>
      </c>
      <c r="BN194" s="298">
        <f t="shared" si="132"/>
        <v>3278051.3104000008</v>
      </c>
      <c r="BO194" s="298">
        <f t="shared" si="133"/>
        <v>3994435</v>
      </c>
      <c r="BP194" s="298">
        <f t="shared" si="134"/>
        <v>3994435</v>
      </c>
      <c r="BQ194" s="298">
        <f t="shared" si="135"/>
        <v>3994435</v>
      </c>
    </row>
    <row r="195" spans="1:69" ht="15" x14ac:dyDescent="0.2">
      <c r="A195" s="10" t="s">
        <v>8</v>
      </c>
      <c r="B195" s="10"/>
      <c r="C195" s="276"/>
      <c r="D195" s="276"/>
      <c r="E195" s="276"/>
      <c r="F195" s="8">
        <v>7</v>
      </c>
      <c r="G195" s="355">
        <v>75</v>
      </c>
      <c r="H195" s="10">
        <v>169</v>
      </c>
      <c r="I195" s="7" t="s">
        <v>181</v>
      </c>
      <c r="J195" s="287"/>
      <c r="K195" s="356">
        <v>1267.1400000000001</v>
      </c>
      <c r="L195" s="355"/>
      <c r="M195" s="289"/>
      <c r="N195" s="357">
        <v>159</v>
      </c>
      <c r="O195" s="290">
        <f t="shared" si="97"/>
        <v>0.12547942610919077</v>
      </c>
      <c r="P195" s="290">
        <f t="shared" si="109"/>
        <v>0</v>
      </c>
      <c r="Q195" s="291">
        <f t="shared" si="98"/>
        <v>0</v>
      </c>
      <c r="R195" s="291">
        <f t="shared" si="110"/>
        <v>0</v>
      </c>
      <c r="S195" s="357">
        <v>6</v>
      </c>
      <c r="T195" s="292">
        <f t="shared" si="99"/>
        <v>47.7</v>
      </c>
      <c r="U195" s="254">
        <f t="shared" si="111"/>
        <v>1316.3400000000001</v>
      </c>
      <c r="V195" s="356">
        <v>1114231023.6700001</v>
      </c>
      <c r="W195" s="357">
        <v>7813</v>
      </c>
      <c r="X195" s="264">
        <f t="shared" si="100"/>
        <v>142612.44</v>
      </c>
      <c r="Y195" s="293">
        <f t="shared" si="101"/>
        <v>0.74074099999999998</v>
      </c>
      <c r="Z195" s="357">
        <v>89531</v>
      </c>
      <c r="AA195" s="293">
        <f t="shared" si="102"/>
        <v>0.743031</v>
      </c>
      <c r="AB195" s="293">
        <f t="shared" si="103"/>
        <v>0.25857200000000002</v>
      </c>
      <c r="AC195" s="294">
        <f t="shared" si="104"/>
        <v>0.25857200000000002</v>
      </c>
      <c r="AD195" s="295">
        <f t="shared" si="112"/>
        <v>0</v>
      </c>
      <c r="AE195" s="296">
        <f t="shared" si="113"/>
        <v>0.25857200000000002</v>
      </c>
      <c r="AF195" s="357">
        <v>0</v>
      </c>
      <c r="AG195" s="357">
        <v>0</v>
      </c>
      <c r="AH195" s="254">
        <f t="shared" si="114"/>
        <v>0</v>
      </c>
      <c r="AI195" s="9">
        <f t="shared" si="105"/>
        <v>0</v>
      </c>
      <c r="AJ195" s="9">
        <v>449</v>
      </c>
      <c r="AK195" s="9">
        <f t="shared" si="115"/>
        <v>4</v>
      </c>
      <c r="AL195" s="9">
        <f t="shared" si="116"/>
        <v>400</v>
      </c>
      <c r="AM195" s="9">
        <f t="shared" si="117"/>
        <v>179600</v>
      </c>
      <c r="AN195" s="9">
        <f t="shared" si="118"/>
        <v>179600</v>
      </c>
      <c r="AO195" s="9">
        <f t="shared" si="106"/>
        <v>3922749</v>
      </c>
      <c r="AP195" s="9">
        <f t="shared" si="119"/>
        <v>4102349</v>
      </c>
      <c r="AQ195" s="9">
        <f t="shared" si="120"/>
        <v>4102349</v>
      </c>
      <c r="AR195" s="291">
        <v>5356542</v>
      </c>
      <c r="AS195" s="9">
        <f t="shared" si="121"/>
        <v>1254193</v>
      </c>
      <c r="AT195" s="297" t="str">
        <f t="shared" si="122"/>
        <v>No</v>
      </c>
      <c r="AU195" s="357">
        <v>4990532</v>
      </c>
      <c r="AV195" s="291">
        <f t="shared" si="107"/>
        <v>104474.2769</v>
      </c>
      <c r="AW195" s="291">
        <f t="shared" si="123"/>
        <v>4990532</v>
      </c>
      <c r="AX195" s="291">
        <f t="shared" si="108"/>
        <v>4990532</v>
      </c>
      <c r="AY195" s="358">
        <f t="shared" si="124"/>
        <v>0</v>
      </c>
      <c r="AZ195" s="301"/>
      <c r="BA195" s="301"/>
      <c r="BB195" s="302"/>
      <c r="BC195" s="291">
        <f t="shared" si="125"/>
        <v>4886057.7231000001</v>
      </c>
      <c r="BD195" s="298">
        <f t="shared" si="138"/>
        <v>4781583.4462000001</v>
      </c>
      <c r="BE195" s="298">
        <f t="shared" si="138"/>
        <v>4677109.1693000002</v>
      </c>
      <c r="BF195" s="298">
        <f t="shared" si="138"/>
        <v>4572634.8924000002</v>
      </c>
      <c r="BG195" s="298">
        <f t="shared" si="139"/>
        <v>4468160.6155000003</v>
      </c>
      <c r="BH195" s="298">
        <f t="shared" si="139"/>
        <v>4363686.3386000004</v>
      </c>
      <c r="BI195" s="298">
        <f t="shared" si="128"/>
        <v>4102349</v>
      </c>
      <c r="BK195" s="298">
        <f t="shared" si="129"/>
        <v>4886057.7231000001</v>
      </c>
      <c r="BL195" s="298">
        <f t="shared" si="130"/>
        <v>4781583.4462000001</v>
      </c>
      <c r="BM195" s="298">
        <f t="shared" si="131"/>
        <v>4677109.1693000002</v>
      </c>
      <c r="BN195" s="298">
        <f t="shared" si="132"/>
        <v>4572634.8924000002</v>
      </c>
      <c r="BO195" s="298">
        <f t="shared" si="133"/>
        <v>4468160.6155000003</v>
      </c>
      <c r="BP195" s="298">
        <f t="shared" si="134"/>
        <v>4363686.3386000004</v>
      </c>
      <c r="BQ195" s="298">
        <f t="shared" si="135"/>
        <v>4102349</v>
      </c>
    </row>
    <row r="196" spans="1:69" x14ac:dyDescent="0.15">
      <c r="V196" s="8"/>
      <c r="X196" s="8"/>
      <c r="AF196" s="9"/>
    </row>
    <row r="197" spans="1:69" ht="15.75" customHeight="1" x14ac:dyDescent="0.15">
      <c r="A197" s="10"/>
      <c r="B197" s="10"/>
      <c r="C197" s="276"/>
      <c r="D197" s="276"/>
      <c r="E197" s="276"/>
      <c r="F197" s="8"/>
      <c r="G197" s="1"/>
      <c r="H197" s="10"/>
      <c r="J197" s="287"/>
      <c r="K197" s="1"/>
      <c r="L197" s="288"/>
      <c r="M197" s="289"/>
      <c r="N197" s="1"/>
      <c r="O197" s="290"/>
      <c r="P197" s="290"/>
      <c r="Q197" s="291"/>
      <c r="R197" s="291"/>
      <c r="S197" s="1"/>
      <c r="T197" s="292"/>
      <c r="U197" s="254"/>
      <c r="V197" s="1"/>
      <c r="W197" s="1"/>
      <c r="X197" s="264"/>
      <c r="Y197" s="293"/>
      <c r="Z197" s="1"/>
      <c r="AA197" s="293"/>
      <c r="AB197" s="293"/>
      <c r="AC197" s="294"/>
      <c r="AD197" s="295"/>
      <c r="AE197" s="296"/>
      <c r="AF197" s="1"/>
      <c r="AG197" s="1"/>
      <c r="AH197" s="254"/>
      <c r="AI197" s="9"/>
      <c r="AJ197" s="9"/>
      <c r="AK197" s="9"/>
      <c r="AL197" s="9"/>
      <c r="AM197" s="9"/>
      <c r="AN197" s="9"/>
      <c r="AO197" s="9"/>
      <c r="AP197" s="9"/>
      <c r="AQ197" s="9"/>
      <c r="AR197" s="9"/>
      <c r="AS197" s="9"/>
      <c r="AT197" s="9"/>
      <c r="AU197" s="291"/>
      <c r="AV197" s="291"/>
      <c r="AW197" s="291"/>
      <c r="AX197" s="291"/>
      <c r="AY197" s="301"/>
      <c r="AZ197" s="301"/>
      <c r="BA197" s="301"/>
      <c r="BB197" s="302"/>
      <c r="BC197" s="291"/>
      <c r="BD197" s="298"/>
      <c r="BF197" s="298"/>
      <c r="BG197" s="298"/>
      <c r="BK197" s="298"/>
      <c r="BL197" s="298"/>
      <c r="BM197" s="298"/>
      <c r="BN197" s="298"/>
      <c r="BO197" s="298"/>
    </row>
    <row r="198" spans="1:69" x14ac:dyDescent="0.15">
      <c r="K198" s="254"/>
      <c r="L198" s="254"/>
      <c r="M198" s="254"/>
      <c r="U198" s="254"/>
      <c r="AF198" s="9"/>
    </row>
    <row r="199" spans="1:69" x14ac:dyDescent="0.15">
      <c r="K199" s="254"/>
      <c r="L199" s="254"/>
      <c r="M199" s="254"/>
      <c r="U199" s="254"/>
      <c r="AF199" s="9"/>
    </row>
    <row r="200" spans="1:69" x14ac:dyDescent="0.15">
      <c r="K200" s="254"/>
      <c r="L200" s="254"/>
      <c r="M200" s="254"/>
      <c r="U200" s="254"/>
      <c r="AF200" s="9"/>
    </row>
    <row r="201" spans="1:69" x14ac:dyDescent="0.15">
      <c r="K201" s="254"/>
      <c r="L201" s="254"/>
      <c r="M201" s="254"/>
      <c r="U201" s="254"/>
    </row>
    <row r="202" spans="1:69" x14ac:dyDescent="0.15">
      <c r="K202" s="254"/>
      <c r="L202" s="254"/>
      <c r="M202" s="254"/>
      <c r="U202" s="254"/>
    </row>
    <row r="203" spans="1:69" x14ac:dyDescent="0.15">
      <c r="K203" s="254"/>
      <c r="L203" s="254"/>
      <c r="M203" s="254"/>
      <c r="U203" s="254"/>
    </row>
    <row r="204" spans="1:69" x14ac:dyDescent="0.15">
      <c r="K204" s="254"/>
      <c r="L204" s="254"/>
      <c r="M204" s="254"/>
      <c r="U204" s="254"/>
    </row>
    <row r="205" spans="1:69" x14ac:dyDescent="0.15">
      <c r="K205" s="254"/>
      <c r="L205" s="254"/>
      <c r="M205" s="254"/>
      <c r="U205" s="254"/>
    </row>
    <row r="206" spans="1:69" x14ac:dyDescent="0.15">
      <c r="A206" s="8"/>
      <c r="B206" s="8"/>
      <c r="C206" s="8"/>
      <c r="D206" s="8"/>
      <c r="E206" s="8"/>
      <c r="F206" s="8"/>
      <c r="G206" s="8"/>
      <c r="H206" s="8"/>
      <c r="I206" s="8"/>
      <c r="J206" s="8"/>
      <c r="K206" s="254"/>
      <c r="L206" s="254"/>
      <c r="M206" s="254"/>
      <c r="U206" s="254"/>
    </row>
    <row r="207" spans="1:69" x14ac:dyDescent="0.15">
      <c r="A207" s="8"/>
      <c r="B207" s="8"/>
      <c r="C207" s="8"/>
      <c r="D207" s="8"/>
      <c r="E207" s="8"/>
      <c r="F207" s="8"/>
      <c r="G207" s="8"/>
      <c r="H207" s="8"/>
      <c r="I207" s="8"/>
      <c r="J207" s="8"/>
      <c r="K207" s="254"/>
      <c r="L207" s="254"/>
      <c r="M207" s="254"/>
      <c r="U207" s="254"/>
    </row>
    <row r="208" spans="1:69" x14ac:dyDescent="0.15">
      <c r="A208" s="8"/>
      <c r="B208" s="8"/>
      <c r="C208" s="8"/>
      <c r="D208" s="8"/>
      <c r="E208" s="8"/>
      <c r="F208" s="8"/>
      <c r="G208" s="8"/>
      <c r="H208" s="8"/>
      <c r="I208" s="8"/>
      <c r="J208" s="8"/>
      <c r="K208" s="254"/>
      <c r="L208" s="254"/>
      <c r="M208" s="254"/>
      <c r="U208" s="254"/>
    </row>
    <row r="209" spans="11:54" s="8" customFormat="1" x14ac:dyDescent="0.15">
      <c r="K209" s="254"/>
      <c r="L209" s="254"/>
      <c r="M209" s="254"/>
      <c r="N209" s="7"/>
      <c r="O209" s="7"/>
      <c r="P209" s="7"/>
      <c r="Q209" s="7"/>
      <c r="R209" s="7"/>
      <c r="S209" s="7"/>
      <c r="T209" s="7"/>
      <c r="U209" s="254"/>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17"/>
      <c r="BB209" s="17"/>
    </row>
    <row r="210" spans="11:54" s="8" customFormat="1" x14ac:dyDescent="0.15">
      <c r="K210" s="254"/>
      <c r="L210" s="254"/>
      <c r="M210" s="254"/>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17"/>
      <c r="BB210" s="17"/>
    </row>
    <row r="211" spans="11:54" s="8" customFormat="1" x14ac:dyDescent="0.15">
      <c r="K211" s="254"/>
      <c r="L211" s="254"/>
      <c r="M211" s="254"/>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17"/>
      <c r="BB211" s="17"/>
    </row>
    <row r="212" spans="11:54" s="8" customFormat="1" x14ac:dyDescent="0.15">
      <c r="K212" s="254"/>
      <c r="L212" s="254"/>
      <c r="M212" s="254"/>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17"/>
      <c r="BB212" s="17"/>
    </row>
    <row r="213" spans="11:54" s="8" customFormat="1" x14ac:dyDescent="0.15">
      <c r="K213" s="254"/>
      <c r="L213" s="254"/>
      <c r="M213" s="254"/>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17"/>
      <c r="BB213" s="17"/>
    </row>
    <row r="214" spans="11:54" s="8" customFormat="1" x14ac:dyDescent="0.15">
      <c r="K214" s="254"/>
      <c r="L214" s="254"/>
      <c r="M214" s="254"/>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17"/>
      <c r="BB214" s="17"/>
    </row>
    <row r="215" spans="11:54" s="8" customFormat="1" x14ac:dyDescent="0.15">
      <c r="K215" s="254"/>
      <c r="L215" s="254"/>
      <c r="M215" s="254"/>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17"/>
      <c r="BB215" s="17"/>
    </row>
    <row r="216" spans="11:54" s="8" customFormat="1" x14ac:dyDescent="0.15">
      <c r="K216" s="254"/>
      <c r="L216" s="254"/>
      <c r="M216" s="254"/>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17"/>
      <c r="BB216" s="17"/>
    </row>
    <row r="217" spans="11:54" s="8" customFormat="1" x14ac:dyDescent="0.15">
      <c r="K217" s="254"/>
      <c r="L217" s="254"/>
      <c r="M217" s="254"/>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17"/>
      <c r="BB217" s="17"/>
    </row>
    <row r="218" spans="11:54" s="8" customFormat="1" x14ac:dyDescent="0.15">
      <c r="K218" s="254"/>
      <c r="L218" s="254"/>
      <c r="M218" s="254"/>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17"/>
      <c r="BB218" s="17"/>
    </row>
    <row r="219" spans="11:54" s="8" customFormat="1" x14ac:dyDescent="0.15">
      <c r="K219" s="254"/>
      <c r="L219" s="254"/>
      <c r="M219" s="254"/>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17"/>
      <c r="BB219" s="17"/>
    </row>
    <row r="220" spans="11:54" s="8" customFormat="1" x14ac:dyDescent="0.15">
      <c r="K220" s="254"/>
      <c r="L220" s="254"/>
      <c r="M220" s="254"/>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17"/>
      <c r="BB220" s="17"/>
    </row>
    <row r="221" spans="11:54" s="8" customFormat="1" x14ac:dyDescent="0.15">
      <c r="K221" s="254"/>
      <c r="L221" s="254"/>
      <c r="M221" s="254"/>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17"/>
      <c r="BB221" s="17"/>
    </row>
    <row r="222" spans="11:54" s="7" customFormat="1" x14ac:dyDescent="0.15">
      <c r="K222" s="254"/>
      <c r="L222" s="254"/>
      <c r="M222" s="254"/>
    </row>
    <row r="223" spans="11:54" s="7" customFormat="1" x14ac:dyDescent="0.15">
      <c r="K223" s="254"/>
      <c r="L223" s="254"/>
      <c r="M223" s="254"/>
    </row>
    <row r="224" spans="11:54" s="7" customFormat="1" x14ac:dyDescent="0.15">
      <c r="K224" s="254"/>
      <c r="L224" s="254"/>
      <c r="M224" s="254"/>
    </row>
    <row r="225" spans="1:55" s="7" customFormat="1" x14ac:dyDescent="0.15">
      <c r="K225" s="254"/>
      <c r="L225" s="254"/>
      <c r="M225" s="254"/>
    </row>
    <row r="226" spans="1:55" s="7" customFormat="1" x14ac:dyDescent="0.15">
      <c r="K226" s="254"/>
      <c r="L226" s="254"/>
      <c r="M226" s="254"/>
    </row>
    <row r="227" spans="1:55" s="7" customFormat="1" x14ac:dyDescent="0.15">
      <c r="K227" s="254"/>
      <c r="L227" s="254"/>
      <c r="M227" s="254"/>
    </row>
    <row r="228" spans="1:55" s="7" customFormat="1" x14ac:dyDescent="0.15">
      <c r="K228" s="254"/>
      <c r="L228" s="254"/>
      <c r="M228" s="254"/>
    </row>
    <row r="229" spans="1:55" s="7" customFormat="1" x14ac:dyDescent="0.15">
      <c r="K229" s="254"/>
      <c r="L229" s="254"/>
      <c r="M229" s="254"/>
    </row>
    <row r="230" spans="1:55" s="7" customFormat="1" x14ac:dyDescent="0.15">
      <c r="A230" s="8"/>
      <c r="B230" s="8"/>
      <c r="K230" s="254"/>
      <c r="L230" s="254"/>
      <c r="M230" s="254"/>
    </row>
    <row r="231" spans="1:55" s="7" customFormat="1" x14ac:dyDescent="0.15">
      <c r="A231" s="8"/>
      <c r="B231" s="8"/>
      <c r="K231" s="254"/>
      <c r="L231" s="254"/>
      <c r="M231" s="254"/>
    </row>
    <row r="232" spans="1:55" s="7" customFormat="1" x14ac:dyDescent="0.15">
      <c r="A232" s="8"/>
      <c r="B232" s="8"/>
      <c r="K232" s="254"/>
      <c r="L232" s="254"/>
      <c r="M232" s="254"/>
    </row>
    <row r="233" spans="1:55" s="7" customFormat="1" x14ac:dyDescent="0.15">
      <c r="A233" s="8"/>
      <c r="B233" s="8"/>
      <c r="K233" s="254"/>
      <c r="L233" s="254"/>
      <c r="M233" s="254"/>
    </row>
    <row r="234" spans="1:55" s="7" customFormat="1" x14ac:dyDescent="0.15">
      <c r="K234" s="254"/>
      <c r="L234" s="254"/>
      <c r="M234" s="254"/>
    </row>
    <row r="235" spans="1:55" s="7" customFormat="1" x14ac:dyDescent="0.15">
      <c r="K235" s="254"/>
      <c r="L235" s="254"/>
      <c r="M235" s="254"/>
    </row>
    <row r="236" spans="1:55" s="7" customFormat="1" x14ac:dyDescent="0.15">
      <c r="K236" s="254"/>
      <c r="L236" s="254"/>
      <c r="M236" s="254"/>
    </row>
    <row r="237" spans="1:55" s="7" customFormat="1" x14ac:dyDescent="0.15">
      <c r="K237" s="254"/>
      <c r="L237" s="254"/>
      <c r="M237" s="254"/>
    </row>
    <row r="238" spans="1:55" x14ac:dyDescent="0.15">
      <c r="A238" s="8"/>
      <c r="B238" s="8"/>
      <c r="C238" s="8"/>
      <c r="D238" s="8"/>
      <c r="E238" s="8"/>
      <c r="F238" s="8"/>
      <c r="G238" s="8"/>
      <c r="H238" s="8"/>
      <c r="I238" s="8"/>
      <c r="J238" s="8"/>
      <c r="K238" s="254"/>
      <c r="L238" s="254"/>
      <c r="M238" s="254"/>
      <c r="BA238" s="17"/>
      <c r="BB238" s="17"/>
      <c r="BC238" s="8"/>
    </row>
    <row r="239" spans="1:55" x14ac:dyDescent="0.15">
      <c r="A239" s="8"/>
      <c r="B239" s="8"/>
      <c r="C239" s="8"/>
      <c r="D239" s="8"/>
      <c r="E239" s="8"/>
      <c r="F239" s="8"/>
      <c r="G239" s="8"/>
      <c r="H239" s="8"/>
      <c r="I239" s="8"/>
      <c r="J239" s="8"/>
      <c r="K239" s="254"/>
      <c r="L239" s="254"/>
      <c r="M239" s="254"/>
      <c r="BA239" s="17"/>
      <c r="BB239" s="17"/>
      <c r="BC239" s="8"/>
    </row>
    <row r="240" spans="1:55" x14ac:dyDescent="0.15">
      <c r="A240" s="8"/>
      <c r="B240" s="8"/>
      <c r="C240" s="8"/>
      <c r="D240" s="8"/>
      <c r="E240" s="8"/>
      <c r="F240" s="8"/>
      <c r="G240" s="8"/>
      <c r="H240" s="8"/>
      <c r="I240" s="8"/>
      <c r="J240" s="8"/>
      <c r="K240" s="254"/>
      <c r="L240" s="254"/>
      <c r="M240" s="254"/>
      <c r="BA240" s="17"/>
      <c r="BB240" s="17"/>
      <c r="BC240" s="8"/>
    </row>
    <row r="241" spans="11:54" s="8" customFormat="1" x14ac:dyDescent="0.15">
      <c r="K241" s="254"/>
      <c r="L241" s="254"/>
      <c r="M241" s="254"/>
      <c r="AY241" s="17"/>
      <c r="AZ241" s="17"/>
      <c r="BA241" s="17"/>
      <c r="BB241" s="17"/>
    </row>
    <row r="242" spans="11:54" s="8" customFormat="1" x14ac:dyDescent="0.15">
      <c r="K242" s="254"/>
      <c r="L242" s="254"/>
      <c r="M242" s="254"/>
      <c r="AY242" s="17"/>
      <c r="AZ242" s="17"/>
      <c r="BA242" s="17"/>
      <c r="BB242" s="17"/>
    </row>
    <row r="243" spans="11:54" s="8" customFormat="1" x14ac:dyDescent="0.15">
      <c r="K243" s="254"/>
      <c r="L243" s="254"/>
      <c r="M243" s="254"/>
      <c r="AY243" s="17"/>
      <c r="AZ243" s="17"/>
      <c r="BA243" s="17"/>
      <c r="BB243" s="17"/>
    </row>
    <row r="244" spans="11:54" s="8" customFormat="1" x14ac:dyDescent="0.15">
      <c r="K244" s="254"/>
      <c r="L244" s="254"/>
      <c r="M244" s="254"/>
      <c r="AY244" s="17"/>
      <c r="AZ244" s="17"/>
      <c r="BA244" s="17"/>
      <c r="BB244" s="17"/>
    </row>
    <row r="245" spans="11:54" s="8" customFormat="1" x14ac:dyDescent="0.15">
      <c r="K245" s="254"/>
      <c r="L245" s="254"/>
      <c r="M245" s="254"/>
      <c r="AY245" s="17"/>
      <c r="AZ245" s="17"/>
      <c r="BA245" s="17"/>
      <c r="BB245" s="17"/>
    </row>
    <row r="246" spans="11:54" s="8" customFormat="1" x14ac:dyDescent="0.15">
      <c r="K246" s="254"/>
      <c r="L246" s="254"/>
      <c r="M246" s="254"/>
      <c r="AY246" s="17"/>
      <c r="AZ246" s="17"/>
      <c r="BA246" s="17"/>
      <c r="BB246" s="17"/>
    </row>
    <row r="247" spans="11:54" s="8" customFormat="1" x14ac:dyDescent="0.15">
      <c r="K247" s="254"/>
      <c r="L247" s="254"/>
      <c r="M247" s="254"/>
      <c r="AY247" s="17"/>
      <c r="AZ247" s="17"/>
      <c r="BA247" s="17"/>
      <c r="BB247" s="17"/>
    </row>
    <row r="248" spans="11:54" s="8" customFormat="1" x14ac:dyDescent="0.15">
      <c r="K248" s="254"/>
      <c r="L248" s="254"/>
      <c r="M248" s="254"/>
      <c r="AY248" s="17"/>
      <c r="AZ248" s="17"/>
      <c r="BA248" s="17"/>
      <c r="BB248" s="17"/>
    </row>
    <row r="249" spans="11:54" s="8" customFormat="1" x14ac:dyDescent="0.15">
      <c r="K249" s="254"/>
      <c r="L249" s="254"/>
      <c r="M249" s="254"/>
      <c r="AY249" s="17"/>
      <c r="AZ249" s="17"/>
      <c r="BA249" s="17"/>
      <c r="BB249" s="17"/>
    </row>
    <row r="250" spans="11:54" s="8" customFormat="1" x14ac:dyDescent="0.15">
      <c r="K250" s="254"/>
      <c r="L250" s="254"/>
      <c r="M250" s="254"/>
      <c r="AY250" s="17"/>
      <c r="AZ250" s="17"/>
      <c r="BA250" s="17"/>
      <c r="BB250" s="17"/>
    </row>
    <row r="251" spans="11:54" s="8" customFormat="1" x14ac:dyDescent="0.15">
      <c r="K251" s="254"/>
      <c r="L251" s="254"/>
      <c r="M251" s="254"/>
      <c r="AY251" s="17"/>
      <c r="AZ251" s="17"/>
      <c r="BA251" s="17"/>
      <c r="BB251" s="17"/>
    </row>
    <row r="252" spans="11:54" s="8" customFormat="1" x14ac:dyDescent="0.15">
      <c r="K252" s="254"/>
      <c r="L252" s="254"/>
      <c r="M252" s="254"/>
      <c r="AY252" s="17"/>
      <c r="AZ252" s="17"/>
      <c r="BA252" s="17"/>
      <c r="BB252" s="17"/>
    </row>
    <row r="253" spans="11:54" s="8" customFormat="1" x14ac:dyDescent="0.15">
      <c r="K253" s="254"/>
      <c r="L253" s="254"/>
      <c r="M253" s="254"/>
      <c r="AY253" s="17"/>
      <c r="AZ253" s="17"/>
      <c r="BA253" s="17"/>
      <c r="BB253" s="17"/>
    </row>
    <row r="254" spans="11:54" s="8" customFormat="1" x14ac:dyDescent="0.15">
      <c r="K254" s="254"/>
      <c r="L254" s="254"/>
      <c r="M254" s="254"/>
      <c r="AY254" s="17"/>
      <c r="AZ254" s="17"/>
      <c r="BA254" s="17"/>
      <c r="BB254" s="17"/>
    </row>
    <row r="255" spans="11:54" s="8" customFormat="1" x14ac:dyDescent="0.15">
      <c r="K255" s="254"/>
      <c r="L255" s="254"/>
      <c r="M255" s="254"/>
      <c r="AY255" s="17"/>
      <c r="AZ255" s="17"/>
      <c r="BA255" s="17"/>
      <c r="BB255" s="17"/>
    </row>
    <row r="256" spans="11:54" s="8" customFormat="1" x14ac:dyDescent="0.15">
      <c r="K256" s="254"/>
      <c r="L256" s="254"/>
      <c r="M256" s="254"/>
      <c r="AY256" s="17"/>
      <c r="AZ256" s="17"/>
      <c r="BA256" s="17"/>
      <c r="BB256" s="17"/>
    </row>
    <row r="257" spans="11:54" s="8" customFormat="1" x14ac:dyDescent="0.15">
      <c r="K257" s="254"/>
      <c r="L257" s="254"/>
      <c r="M257" s="254"/>
      <c r="N257" s="7"/>
      <c r="O257" s="7"/>
      <c r="P257" s="7"/>
      <c r="Q257" s="7"/>
      <c r="R257" s="7"/>
      <c r="S257" s="7"/>
      <c r="T257" s="7"/>
      <c r="U257" s="7"/>
      <c r="V257" s="7"/>
      <c r="W257" s="7"/>
      <c r="X257" s="7"/>
      <c r="Y257" s="7"/>
      <c r="Z257" s="7"/>
      <c r="AA257" s="7"/>
      <c r="AB257" s="7"/>
      <c r="AC257" s="7"/>
      <c r="AD257" s="7"/>
      <c r="AE257" s="7"/>
      <c r="AY257" s="17"/>
      <c r="AZ257" s="17"/>
      <c r="BA257" s="17"/>
      <c r="BB257" s="17"/>
    </row>
    <row r="258" spans="11:54" s="8" customFormat="1" x14ac:dyDescent="0.15">
      <c r="K258" s="254"/>
      <c r="L258" s="254"/>
      <c r="M258" s="254"/>
      <c r="N258" s="7"/>
      <c r="O258" s="7"/>
      <c r="P258" s="7"/>
      <c r="Q258" s="7"/>
      <c r="R258" s="7"/>
      <c r="S258" s="7"/>
      <c r="T258" s="7"/>
      <c r="U258" s="7"/>
      <c r="V258" s="7"/>
      <c r="W258" s="7"/>
      <c r="X258" s="7"/>
      <c r="Y258" s="7"/>
      <c r="Z258" s="7"/>
      <c r="AA258" s="7"/>
      <c r="AB258" s="7"/>
      <c r="AC258" s="7"/>
      <c r="AD258" s="7"/>
      <c r="AE258" s="7"/>
      <c r="AY258" s="17"/>
      <c r="AZ258" s="17"/>
      <c r="BA258" s="17"/>
      <c r="BB258" s="17"/>
    </row>
    <row r="259" spans="11:54" s="8" customFormat="1" x14ac:dyDescent="0.15">
      <c r="K259" s="254"/>
      <c r="L259" s="254"/>
      <c r="M259" s="254"/>
      <c r="N259" s="7"/>
      <c r="O259" s="7"/>
      <c r="P259" s="7"/>
      <c r="Q259" s="7"/>
      <c r="R259" s="7"/>
      <c r="S259" s="7"/>
      <c r="T259" s="7"/>
      <c r="U259" s="7"/>
      <c r="V259" s="7"/>
      <c r="W259" s="7"/>
      <c r="X259" s="7"/>
      <c r="Y259" s="7"/>
      <c r="Z259" s="7"/>
      <c r="AA259" s="7"/>
      <c r="AB259" s="7"/>
      <c r="AY259" s="17"/>
      <c r="AZ259" s="17"/>
      <c r="BA259" s="17"/>
      <c r="BB259" s="17"/>
    </row>
    <row r="260" spans="11:54" s="8" customFormat="1" x14ac:dyDescent="0.15">
      <c r="K260" s="254"/>
      <c r="L260" s="254"/>
      <c r="M260" s="254"/>
      <c r="N260" s="7"/>
      <c r="O260" s="7"/>
      <c r="P260" s="7"/>
      <c r="Q260" s="7"/>
      <c r="R260" s="7"/>
      <c r="S260" s="7"/>
      <c r="T260" s="7"/>
      <c r="U260" s="7"/>
      <c r="V260" s="7"/>
      <c r="W260" s="7"/>
      <c r="X260" s="7"/>
      <c r="Y260" s="7"/>
      <c r="Z260" s="7"/>
      <c r="AA260" s="7"/>
      <c r="AB260" s="7"/>
      <c r="AY260" s="17"/>
      <c r="AZ260" s="17"/>
      <c r="BA260" s="17"/>
      <c r="BB260" s="17"/>
    </row>
    <row r="261" spans="11:54" s="8" customFormat="1" x14ac:dyDescent="0.15">
      <c r="K261" s="254"/>
      <c r="L261" s="254"/>
      <c r="M261" s="254"/>
      <c r="N261" s="7"/>
      <c r="O261" s="7"/>
      <c r="P261" s="7"/>
      <c r="Q261" s="7"/>
      <c r="R261" s="7"/>
      <c r="S261" s="7"/>
      <c r="T261" s="7"/>
      <c r="U261" s="7"/>
      <c r="V261" s="7"/>
      <c r="W261" s="7"/>
      <c r="X261" s="7"/>
      <c r="Y261" s="7"/>
      <c r="Z261" s="7"/>
      <c r="AA261" s="7"/>
      <c r="AB261" s="7"/>
      <c r="AY261" s="17"/>
      <c r="AZ261" s="17"/>
      <c r="BA261" s="17"/>
      <c r="BB261" s="17"/>
    </row>
    <row r="262" spans="11:54" s="8" customFormat="1" x14ac:dyDescent="0.15">
      <c r="K262" s="254"/>
      <c r="L262" s="254"/>
      <c r="M262" s="254"/>
      <c r="N262" s="7"/>
      <c r="O262" s="7"/>
      <c r="P262" s="7"/>
      <c r="Q262" s="7"/>
      <c r="R262" s="7"/>
      <c r="S262" s="7"/>
      <c r="T262" s="7"/>
      <c r="U262" s="7"/>
      <c r="V262" s="7"/>
      <c r="W262" s="7"/>
      <c r="X262" s="7"/>
      <c r="Y262" s="7"/>
      <c r="Z262" s="7"/>
      <c r="AA262" s="7"/>
      <c r="AB262" s="7"/>
      <c r="AC262" s="7"/>
      <c r="AD262" s="7"/>
      <c r="AE262" s="7"/>
      <c r="AY262" s="17"/>
      <c r="AZ262" s="17"/>
      <c r="BA262" s="17"/>
      <c r="BB262" s="17"/>
    </row>
    <row r="263" spans="11:54" s="8" customFormat="1" x14ac:dyDescent="0.15">
      <c r="K263" s="254"/>
      <c r="L263" s="254"/>
      <c r="M263" s="254"/>
      <c r="N263" s="7"/>
      <c r="O263" s="7"/>
      <c r="P263" s="7"/>
      <c r="Q263" s="7"/>
      <c r="R263" s="7"/>
      <c r="S263" s="7"/>
      <c r="T263" s="7"/>
      <c r="U263" s="7"/>
      <c r="V263" s="7"/>
      <c r="W263" s="7"/>
      <c r="X263" s="7"/>
      <c r="Y263" s="7"/>
      <c r="Z263" s="7"/>
      <c r="AA263" s="7"/>
      <c r="AB263" s="7"/>
      <c r="AC263" s="7"/>
      <c r="AD263" s="7"/>
      <c r="AE263" s="7"/>
      <c r="AY263" s="17"/>
      <c r="AZ263" s="17"/>
      <c r="BA263" s="17"/>
      <c r="BB263" s="17"/>
    </row>
    <row r="264" spans="11:54" s="8" customFormat="1" x14ac:dyDescent="0.15">
      <c r="K264" s="254"/>
      <c r="L264" s="254"/>
      <c r="M264" s="254"/>
      <c r="N264" s="7"/>
      <c r="O264" s="7"/>
      <c r="P264" s="7"/>
      <c r="Q264" s="7"/>
      <c r="R264" s="7"/>
      <c r="S264" s="7"/>
      <c r="T264" s="7"/>
      <c r="U264" s="7"/>
      <c r="V264" s="7"/>
      <c r="W264" s="7"/>
      <c r="X264" s="7"/>
      <c r="Y264" s="7"/>
      <c r="Z264" s="7"/>
      <c r="AA264" s="7"/>
      <c r="AB264" s="7"/>
      <c r="AC264" s="7"/>
      <c r="AD264" s="7"/>
      <c r="AE264" s="7"/>
      <c r="AY264" s="17"/>
      <c r="AZ264" s="17"/>
      <c r="BA264" s="17"/>
      <c r="BB264" s="17"/>
    </row>
    <row r="265" spans="11:54" s="8" customFormat="1" x14ac:dyDescent="0.15">
      <c r="K265" s="254"/>
      <c r="L265" s="254"/>
      <c r="M265" s="254"/>
      <c r="N265" s="7"/>
      <c r="O265" s="7"/>
      <c r="P265" s="7"/>
      <c r="Q265" s="7"/>
      <c r="R265" s="7"/>
      <c r="S265" s="7"/>
      <c r="T265" s="7"/>
      <c r="U265" s="7"/>
      <c r="V265" s="7"/>
      <c r="W265" s="7"/>
      <c r="X265" s="7"/>
      <c r="Y265" s="7"/>
      <c r="Z265" s="7"/>
      <c r="AA265" s="7"/>
      <c r="AB265" s="7"/>
      <c r="AC265" s="7"/>
      <c r="AD265" s="7"/>
      <c r="AE265" s="7"/>
      <c r="AY265" s="17"/>
      <c r="AZ265" s="17"/>
      <c r="BA265" s="17"/>
      <c r="BB265" s="17"/>
    </row>
    <row r="266" spans="11:54" s="8" customFormat="1" x14ac:dyDescent="0.15">
      <c r="K266" s="254"/>
      <c r="L266" s="254"/>
      <c r="M266" s="254"/>
      <c r="N266" s="7"/>
      <c r="O266" s="7"/>
      <c r="P266" s="7"/>
      <c r="Q266" s="7"/>
      <c r="R266" s="7"/>
      <c r="S266" s="7"/>
      <c r="T266" s="7"/>
      <c r="U266" s="7"/>
      <c r="V266" s="7"/>
      <c r="W266" s="7"/>
      <c r="X266" s="7"/>
      <c r="Y266" s="7"/>
      <c r="Z266" s="7"/>
      <c r="AA266" s="7"/>
      <c r="AB266" s="7"/>
      <c r="AC266" s="7"/>
      <c r="AD266" s="7"/>
      <c r="AE266" s="7"/>
      <c r="AY266" s="17"/>
      <c r="AZ266" s="17"/>
      <c r="BA266" s="17"/>
      <c r="BB266" s="17"/>
    </row>
    <row r="267" spans="11:54" s="8" customFormat="1" x14ac:dyDescent="0.15">
      <c r="K267" s="254"/>
      <c r="L267" s="254"/>
      <c r="M267" s="254"/>
      <c r="N267" s="7"/>
      <c r="O267" s="7"/>
      <c r="P267" s="7"/>
      <c r="Q267" s="7"/>
      <c r="R267" s="7"/>
      <c r="S267" s="7"/>
      <c r="T267" s="7"/>
      <c r="U267" s="7"/>
      <c r="V267" s="7"/>
      <c r="W267" s="7"/>
      <c r="X267" s="7"/>
      <c r="Y267" s="7"/>
      <c r="Z267" s="7"/>
      <c r="AA267" s="7"/>
      <c r="AB267" s="7"/>
      <c r="AC267" s="7"/>
      <c r="AD267" s="7"/>
      <c r="AE267" s="7"/>
      <c r="AY267" s="17"/>
      <c r="AZ267" s="17"/>
      <c r="BA267" s="17"/>
      <c r="BB267" s="17"/>
    </row>
    <row r="268" spans="11:54" s="8" customFormat="1" x14ac:dyDescent="0.15">
      <c r="K268" s="254"/>
      <c r="L268" s="254"/>
      <c r="M268" s="254"/>
      <c r="N268" s="7"/>
      <c r="O268" s="7"/>
      <c r="P268" s="7"/>
      <c r="Q268" s="7"/>
      <c r="R268" s="7"/>
      <c r="S268" s="7"/>
      <c r="T268" s="7"/>
      <c r="U268" s="7"/>
      <c r="V268" s="7"/>
      <c r="W268" s="7"/>
      <c r="X268" s="7"/>
      <c r="Y268" s="7"/>
      <c r="Z268" s="7"/>
      <c r="AA268" s="7"/>
      <c r="AB268" s="7"/>
      <c r="AC268" s="7"/>
      <c r="AD268" s="7"/>
      <c r="AE268" s="7"/>
      <c r="AY268" s="17"/>
      <c r="AZ268" s="17"/>
      <c r="BA268" s="17"/>
      <c r="BB268" s="17"/>
    </row>
    <row r="269" spans="11:54" s="8" customFormat="1" x14ac:dyDescent="0.15">
      <c r="K269" s="254"/>
      <c r="L269" s="254"/>
      <c r="M269" s="254"/>
      <c r="N269" s="7"/>
      <c r="O269" s="7"/>
      <c r="P269" s="7"/>
      <c r="Q269" s="7"/>
      <c r="R269" s="7"/>
      <c r="S269" s="7"/>
      <c r="T269" s="7"/>
      <c r="U269" s="7"/>
      <c r="V269" s="7"/>
      <c r="W269" s="7"/>
      <c r="X269" s="7"/>
      <c r="Y269" s="7"/>
      <c r="Z269" s="7"/>
      <c r="AA269" s="7"/>
      <c r="AB269" s="7"/>
      <c r="AC269" s="7"/>
      <c r="AD269" s="7"/>
      <c r="AE269" s="7"/>
      <c r="AY269" s="17"/>
      <c r="AZ269" s="17"/>
      <c r="BA269" s="17"/>
      <c r="BB269" s="17"/>
    </row>
    <row r="270" spans="11:54" s="8" customFormat="1" x14ac:dyDescent="0.15">
      <c r="K270" s="254"/>
      <c r="L270" s="254"/>
      <c r="M270" s="254"/>
      <c r="N270" s="7"/>
      <c r="O270" s="7"/>
      <c r="P270" s="7"/>
      <c r="Q270" s="7"/>
      <c r="R270" s="7"/>
      <c r="S270" s="7"/>
      <c r="T270" s="7"/>
      <c r="U270" s="7"/>
      <c r="V270" s="7"/>
      <c r="W270" s="7"/>
      <c r="X270" s="7"/>
      <c r="Y270" s="7"/>
      <c r="Z270" s="7"/>
      <c r="AA270" s="7"/>
      <c r="AB270" s="7"/>
      <c r="AC270" s="7"/>
      <c r="AD270" s="7"/>
      <c r="AE270" s="7"/>
      <c r="AY270" s="17"/>
      <c r="AZ270" s="17"/>
      <c r="BA270" s="17"/>
      <c r="BB270" s="17"/>
    </row>
    <row r="271" spans="11:54" s="8" customFormat="1" x14ac:dyDescent="0.15">
      <c r="K271" s="254"/>
      <c r="L271" s="254"/>
      <c r="M271" s="254"/>
      <c r="N271" s="7"/>
      <c r="O271" s="7"/>
      <c r="P271" s="7"/>
      <c r="Q271" s="7"/>
      <c r="R271" s="7"/>
      <c r="S271" s="7"/>
      <c r="T271" s="7"/>
      <c r="U271" s="7"/>
      <c r="V271" s="7"/>
      <c r="W271" s="7"/>
      <c r="X271" s="7"/>
      <c r="Y271" s="7"/>
      <c r="Z271" s="7"/>
      <c r="AA271" s="7"/>
      <c r="AB271" s="7"/>
      <c r="AC271" s="7"/>
      <c r="AD271" s="7"/>
      <c r="AE271" s="7"/>
      <c r="AY271" s="17"/>
      <c r="AZ271" s="17"/>
      <c r="BA271" s="17"/>
      <c r="BB271" s="17"/>
    </row>
    <row r="272" spans="11:54" s="8" customFormat="1" x14ac:dyDescent="0.15">
      <c r="K272" s="254"/>
      <c r="L272" s="254"/>
      <c r="M272" s="254"/>
      <c r="N272" s="7"/>
      <c r="O272" s="7"/>
      <c r="P272" s="7"/>
      <c r="Q272" s="7"/>
      <c r="R272" s="7"/>
      <c r="S272" s="7"/>
      <c r="T272" s="7"/>
      <c r="U272" s="7"/>
      <c r="V272" s="7"/>
      <c r="W272" s="7"/>
      <c r="X272" s="7"/>
      <c r="Y272" s="7"/>
      <c r="Z272" s="7"/>
      <c r="AA272" s="7"/>
      <c r="AB272" s="7"/>
      <c r="AC272" s="7"/>
      <c r="AD272" s="7"/>
      <c r="AE272" s="7"/>
      <c r="AY272" s="17"/>
      <c r="AZ272" s="17"/>
      <c r="BA272" s="17"/>
      <c r="BB272" s="17"/>
    </row>
    <row r="273" spans="11:54" s="8" customFormat="1" x14ac:dyDescent="0.15">
      <c r="K273" s="254"/>
      <c r="L273" s="254"/>
      <c r="M273" s="254"/>
      <c r="AY273" s="17"/>
      <c r="AZ273" s="17"/>
      <c r="BA273" s="17"/>
      <c r="BB273" s="17"/>
    </row>
    <row r="274" spans="11:54" s="8" customFormat="1" x14ac:dyDescent="0.15">
      <c r="K274" s="254"/>
      <c r="L274" s="254"/>
      <c r="M274" s="254"/>
      <c r="AY274" s="17"/>
      <c r="AZ274" s="17"/>
      <c r="BA274" s="17"/>
      <c r="BB274" s="17"/>
    </row>
    <row r="275" spans="11:54" s="8" customFormat="1" x14ac:dyDescent="0.15">
      <c r="K275" s="254"/>
      <c r="L275" s="254"/>
      <c r="M275" s="254"/>
      <c r="AY275" s="17"/>
      <c r="AZ275" s="17"/>
      <c r="BA275" s="17"/>
      <c r="BB275" s="17"/>
    </row>
    <row r="276" spans="11:54" s="8" customFormat="1" x14ac:dyDescent="0.15">
      <c r="K276" s="254"/>
      <c r="L276" s="254"/>
      <c r="M276" s="254"/>
      <c r="AY276" s="17"/>
      <c r="AZ276" s="17"/>
      <c r="BA276" s="17"/>
      <c r="BB276" s="17"/>
    </row>
    <row r="277" spans="11:54" s="8" customFormat="1" x14ac:dyDescent="0.15">
      <c r="K277" s="254"/>
      <c r="L277" s="254"/>
      <c r="M277" s="254"/>
      <c r="AY277" s="17"/>
      <c r="AZ277" s="17"/>
      <c r="BA277" s="17"/>
      <c r="BB277" s="17"/>
    </row>
    <row r="278" spans="11:54" s="8" customFormat="1" x14ac:dyDescent="0.15">
      <c r="K278" s="254"/>
      <c r="L278" s="254"/>
      <c r="M278" s="254"/>
      <c r="AY278" s="17"/>
      <c r="AZ278" s="17"/>
      <c r="BA278" s="17"/>
      <c r="BB278" s="17"/>
    </row>
    <row r="279" spans="11:54" s="8" customFormat="1" x14ac:dyDescent="0.15">
      <c r="K279" s="254"/>
      <c r="L279" s="254"/>
      <c r="M279" s="254"/>
      <c r="AY279" s="17"/>
      <c r="AZ279" s="17"/>
      <c r="BA279" s="17"/>
      <c r="BB279" s="17"/>
    </row>
    <row r="280" spans="11:54" s="8" customFormat="1" x14ac:dyDescent="0.15">
      <c r="K280" s="254"/>
      <c r="L280" s="254"/>
      <c r="M280" s="254"/>
      <c r="AY280" s="17"/>
      <c r="AZ280" s="17"/>
      <c r="BA280" s="17"/>
      <c r="BB280" s="17"/>
    </row>
    <row r="281" spans="11:54" s="8" customFormat="1" x14ac:dyDescent="0.15">
      <c r="K281" s="254"/>
      <c r="L281" s="254"/>
      <c r="M281" s="254"/>
      <c r="AY281" s="17"/>
      <c r="AZ281" s="17"/>
      <c r="BA281" s="17"/>
      <c r="BB281" s="17"/>
    </row>
    <row r="282" spans="11:54" s="8" customFormat="1" x14ac:dyDescent="0.15">
      <c r="K282" s="254"/>
      <c r="L282" s="254"/>
      <c r="M282" s="254"/>
      <c r="AY282" s="17"/>
      <c r="AZ282" s="17"/>
      <c r="BA282" s="17"/>
      <c r="BB282" s="17"/>
    </row>
    <row r="283" spans="11:54" s="8" customFormat="1" x14ac:dyDescent="0.15">
      <c r="K283" s="254"/>
      <c r="L283" s="254"/>
      <c r="M283" s="254"/>
      <c r="AY283" s="17"/>
      <c r="AZ283" s="17"/>
      <c r="BA283" s="17"/>
      <c r="BB283" s="17"/>
    </row>
    <row r="284" spans="11:54" s="8" customFormat="1" x14ac:dyDescent="0.15">
      <c r="K284" s="254"/>
      <c r="L284" s="254"/>
      <c r="M284" s="254"/>
      <c r="AY284" s="17"/>
      <c r="AZ284" s="17"/>
      <c r="BA284" s="17"/>
      <c r="BB284" s="17"/>
    </row>
    <row r="285" spans="11:54" s="8" customFormat="1" x14ac:dyDescent="0.15">
      <c r="K285" s="254"/>
      <c r="L285" s="254"/>
      <c r="M285" s="254"/>
      <c r="AY285" s="17"/>
      <c r="AZ285" s="17"/>
      <c r="BA285" s="17"/>
      <c r="BB285" s="17"/>
    </row>
    <row r="286" spans="11:54" s="8" customFormat="1" x14ac:dyDescent="0.15">
      <c r="K286" s="254"/>
      <c r="L286" s="254"/>
      <c r="M286" s="254"/>
      <c r="AY286" s="17"/>
      <c r="AZ286" s="17"/>
      <c r="BA286" s="17"/>
      <c r="BB286" s="17"/>
    </row>
    <row r="287" spans="11:54" s="8" customFormat="1" x14ac:dyDescent="0.15">
      <c r="K287" s="254"/>
      <c r="L287" s="254"/>
      <c r="M287" s="254"/>
      <c r="AY287" s="17"/>
      <c r="AZ287" s="17"/>
      <c r="BA287" s="17"/>
      <c r="BB287" s="17"/>
    </row>
    <row r="288" spans="11:54" s="8" customFormat="1" x14ac:dyDescent="0.15">
      <c r="K288" s="254"/>
      <c r="L288" s="254"/>
      <c r="M288" s="254"/>
      <c r="AY288" s="17"/>
      <c r="AZ288" s="17"/>
      <c r="BA288" s="17"/>
      <c r="BB288" s="17"/>
    </row>
    <row r="289" spans="11:54" s="8" customFormat="1" x14ac:dyDescent="0.15">
      <c r="K289" s="254"/>
      <c r="L289" s="254"/>
      <c r="M289" s="254"/>
      <c r="AY289" s="17"/>
      <c r="AZ289" s="17"/>
      <c r="BA289" s="17"/>
      <c r="BB289" s="17"/>
    </row>
    <row r="290" spans="11:54" s="8" customFormat="1" x14ac:dyDescent="0.15">
      <c r="K290" s="254"/>
      <c r="L290" s="254"/>
      <c r="M290" s="254"/>
      <c r="AY290" s="17"/>
      <c r="AZ290" s="17"/>
      <c r="BA290" s="17"/>
      <c r="BB290" s="17"/>
    </row>
    <row r="291" spans="11:54" s="8" customFormat="1" x14ac:dyDescent="0.15">
      <c r="K291" s="254"/>
      <c r="L291" s="254"/>
      <c r="M291" s="254"/>
      <c r="AY291" s="17"/>
      <c r="AZ291" s="17"/>
      <c r="BA291" s="17"/>
      <c r="BB291" s="17"/>
    </row>
    <row r="292" spans="11:54" s="8" customFormat="1" x14ac:dyDescent="0.15">
      <c r="K292" s="254"/>
      <c r="L292" s="254"/>
      <c r="M292" s="254"/>
      <c r="AY292" s="17"/>
      <c r="AZ292" s="17"/>
      <c r="BA292" s="17"/>
      <c r="BB292" s="17"/>
    </row>
    <row r="293" spans="11:54" s="8" customFormat="1" x14ac:dyDescent="0.15">
      <c r="K293" s="254"/>
      <c r="L293" s="254"/>
      <c r="M293" s="254"/>
      <c r="AY293" s="17"/>
      <c r="AZ293" s="17"/>
      <c r="BA293" s="17"/>
      <c r="BB293" s="17"/>
    </row>
    <row r="294" spans="11:54" s="8" customFormat="1" x14ac:dyDescent="0.15">
      <c r="K294" s="254"/>
      <c r="L294" s="254"/>
      <c r="M294" s="254"/>
      <c r="AY294" s="17"/>
      <c r="AZ294" s="17"/>
      <c r="BA294" s="17"/>
      <c r="BB294" s="17"/>
    </row>
    <row r="295" spans="11:54" s="8" customFormat="1" x14ac:dyDescent="0.15">
      <c r="K295" s="254"/>
      <c r="L295" s="254"/>
      <c r="M295" s="254"/>
      <c r="AY295" s="17"/>
      <c r="AZ295" s="17"/>
      <c r="BA295" s="17"/>
      <c r="BB295" s="17"/>
    </row>
    <row r="296" spans="11:54" s="8" customFormat="1" x14ac:dyDescent="0.15">
      <c r="K296" s="254"/>
      <c r="L296" s="254"/>
      <c r="M296" s="254"/>
      <c r="AY296" s="17"/>
      <c r="AZ296" s="17"/>
      <c r="BA296" s="17"/>
      <c r="BB296" s="17"/>
    </row>
    <row r="297" spans="11:54" s="8" customFormat="1" x14ac:dyDescent="0.15">
      <c r="K297" s="254"/>
      <c r="L297" s="254"/>
      <c r="M297" s="254"/>
      <c r="AY297" s="17"/>
      <c r="AZ297" s="17"/>
      <c r="BA297" s="17"/>
      <c r="BB297" s="17"/>
    </row>
    <row r="298" spans="11:54" s="8" customFormat="1" x14ac:dyDescent="0.15">
      <c r="K298" s="254"/>
      <c r="L298" s="254"/>
      <c r="M298" s="254"/>
      <c r="AY298" s="17"/>
      <c r="AZ298" s="17"/>
      <c r="BA298" s="17"/>
      <c r="BB298" s="17"/>
    </row>
    <row r="299" spans="11:54" s="8" customFormat="1" x14ac:dyDescent="0.15">
      <c r="K299" s="254"/>
      <c r="L299" s="254"/>
      <c r="M299" s="254"/>
      <c r="AY299" s="17"/>
      <c r="AZ299" s="17"/>
      <c r="BA299" s="17"/>
      <c r="BB299" s="17"/>
    </row>
    <row r="300" spans="11:54" s="8" customFormat="1" x14ac:dyDescent="0.15">
      <c r="K300" s="254"/>
      <c r="L300" s="254"/>
      <c r="M300" s="254"/>
      <c r="AY300" s="17"/>
      <c r="AZ300" s="17"/>
      <c r="BA300" s="17"/>
      <c r="BB300" s="17"/>
    </row>
    <row r="301" spans="11:54" s="8" customFormat="1" x14ac:dyDescent="0.15">
      <c r="K301" s="254"/>
      <c r="L301" s="254"/>
      <c r="M301" s="254"/>
      <c r="AY301" s="17"/>
      <c r="AZ301" s="17"/>
      <c r="BA301" s="17"/>
      <c r="BB301" s="17"/>
    </row>
    <row r="302" spans="11:54" s="8" customFormat="1" x14ac:dyDescent="0.15">
      <c r="K302" s="254"/>
      <c r="L302" s="254"/>
      <c r="M302" s="254"/>
      <c r="AY302" s="17"/>
      <c r="AZ302" s="17"/>
      <c r="BA302" s="17"/>
      <c r="BB302" s="17"/>
    </row>
    <row r="303" spans="11:54" s="8" customFormat="1" x14ac:dyDescent="0.15">
      <c r="K303" s="254"/>
      <c r="L303" s="254"/>
      <c r="M303" s="254"/>
      <c r="AY303" s="17"/>
      <c r="AZ303" s="17"/>
      <c r="BA303" s="17"/>
      <c r="BB303" s="17"/>
    </row>
    <row r="304" spans="11:54" s="8" customFormat="1" x14ac:dyDescent="0.15">
      <c r="K304" s="254"/>
      <c r="L304" s="254"/>
      <c r="M304" s="254"/>
      <c r="AY304" s="17"/>
      <c r="AZ304" s="17"/>
      <c r="BA304" s="17"/>
      <c r="BB304" s="17"/>
    </row>
    <row r="305" spans="11:54" s="8" customFormat="1" x14ac:dyDescent="0.15">
      <c r="K305" s="254"/>
      <c r="L305" s="254"/>
      <c r="M305" s="254"/>
      <c r="AY305" s="17"/>
      <c r="AZ305" s="17"/>
      <c r="BA305" s="17"/>
      <c r="BB305" s="17"/>
    </row>
    <row r="306" spans="11:54" s="8" customFormat="1" x14ac:dyDescent="0.15">
      <c r="K306" s="254"/>
      <c r="L306" s="254"/>
      <c r="M306" s="254"/>
      <c r="AY306" s="17"/>
      <c r="AZ306" s="17"/>
      <c r="BA306" s="17"/>
      <c r="BB306" s="17"/>
    </row>
    <row r="307" spans="11:54" s="8" customFormat="1" x14ac:dyDescent="0.15">
      <c r="K307" s="254"/>
      <c r="L307" s="254"/>
      <c r="M307" s="254"/>
      <c r="AY307" s="17"/>
      <c r="AZ307" s="17"/>
      <c r="BA307" s="17"/>
      <c r="BB307" s="17"/>
    </row>
    <row r="308" spans="11:54" s="8" customFormat="1" x14ac:dyDescent="0.15">
      <c r="K308" s="254"/>
      <c r="L308" s="254"/>
      <c r="M308" s="254"/>
      <c r="AY308" s="17"/>
      <c r="AZ308" s="17"/>
      <c r="BA308" s="17"/>
      <c r="BB308" s="17"/>
    </row>
    <row r="309" spans="11:54" s="8" customFormat="1" x14ac:dyDescent="0.15">
      <c r="K309" s="254"/>
      <c r="L309" s="254"/>
      <c r="M309" s="254"/>
      <c r="AY309" s="17"/>
      <c r="AZ309" s="17"/>
      <c r="BA309" s="17"/>
      <c r="BB309" s="17"/>
    </row>
    <row r="310" spans="11:54" s="8" customFormat="1" x14ac:dyDescent="0.15">
      <c r="K310" s="254"/>
      <c r="L310" s="254"/>
      <c r="M310" s="254"/>
      <c r="AY310" s="17"/>
      <c r="AZ310" s="17"/>
      <c r="BA310" s="17"/>
      <c r="BB310" s="17"/>
    </row>
    <row r="311" spans="11:54" s="8" customFormat="1" x14ac:dyDescent="0.15">
      <c r="K311" s="254"/>
      <c r="L311" s="254"/>
      <c r="M311" s="254"/>
      <c r="AY311" s="17"/>
      <c r="AZ311" s="17"/>
      <c r="BA311" s="17"/>
      <c r="BB311" s="17"/>
    </row>
    <row r="312" spans="11:54" s="8" customFormat="1" x14ac:dyDescent="0.15">
      <c r="K312" s="254"/>
      <c r="L312" s="254"/>
      <c r="M312" s="254"/>
      <c r="AY312" s="17"/>
      <c r="AZ312" s="17"/>
      <c r="BA312" s="17"/>
      <c r="BB312" s="17"/>
    </row>
    <row r="313" spans="11:54" s="8" customFormat="1" x14ac:dyDescent="0.15">
      <c r="K313" s="254"/>
      <c r="L313" s="254"/>
      <c r="M313" s="254"/>
      <c r="AY313" s="17"/>
      <c r="AZ313" s="17"/>
      <c r="BA313" s="17"/>
      <c r="BB313" s="17"/>
    </row>
    <row r="314" spans="11:54" s="8" customFormat="1" x14ac:dyDescent="0.15">
      <c r="K314" s="254"/>
      <c r="L314" s="254"/>
      <c r="M314" s="254"/>
      <c r="AY314" s="17"/>
      <c r="AZ314" s="17"/>
      <c r="BA314" s="17"/>
      <c r="BB314" s="17"/>
    </row>
    <row r="315" spans="11:54" s="8" customFormat="1" x14ac:dyDescent="0.15">
      <c r="K315" s="254"/>
      <c r="L315" s="254"/>
      <c r="M315" s="254"/>
      <c r="AY315" s="17"/>
      <c r="AZ315" s="17"/>
      <c r="BA315" s="17"/>
      <c r="BB315" s="17"/>
    </row>
    <row r="316" spans="11:54" s="8" customFormat="1" x14ac:dyDescent="0.15">
      <c r="K316" s="254"/>
      <c r="L316" s="254"/>
      <c r="M316" s="254"/>
      <c r="AY316" s="17"/>
      <c r="AZ316" s="17"/>
      <c r="BA316" s="17"/>
      <c r="BB316" s="17"/>
    </row>
    <row r="317" spans="11:54" s="8" customFormat="1" x14ac:dyDescent="0.15">
      <c r="K317" s="254"/>
      <c r="L317" s="254"/>
      <c r="M317" s="254"/>
      <c r="AY317" s="17"/>
      <c r="AZ317" s="17"/>
      <c r="BA317" s="17"/>
      <c r="BB317" s="17"/>
    </row>
    <row r="318" spans="11:54" s="8" customFormat="1" x14ac:dyDescent="0.15">
      <c r="K318" s="254"/>
      <c r="L318" s="254"/>
      <c r="M318" s="254"/>
      <c r="AY318" s="17"/>
      <c r="AZ318" s="17"/>
      <c r="BA318" s="17"/>
      <c r="BB318" s="17"/>
    </row>
    <row r="319" spans="11:54" s="8" customFormat="1" x14ac:dyDescent="0.15">
      <c r="K319" s="254"/>
      <c r="L319" s="254"/>
      <c r="M319" s="254"/>
      <c r="AY319" s="17"/>
      <c r="AZ319" s="17"/>
      <c r="BA319" s="17"/>
      <c r="BB319" s="17"/>
    </row>
    <row r="320" spans="11:54" s="8" customFormat="1" x14ac:dyDescent="0.15">
      <c r="K320" s="254"/>
      <c r="L320" s="254"/>
      <c r="M320" s="254"/>
      <c r="AY320" s="17"/>
      <c r="AZ320" s="17"/>
      <c r="BA320" s="17"/>
      <c r="BB320" s="17"/>
    </row>
    <row r="321" spans="11:54" s="8" customFormat="1" x14ac:dyDescent="0.15">
      <c r="K321" s="254"/>
      <c r="L321" s="254"/>
      <c r="M321" s="254"/>
      <c r="AY321" s="17"/>
      <c r="AZ321" s="17"/>
      <c r="BA321" s="17"/>
      <c r="BB321" s="17"/>
    </row>
    <row r="322" spans="11:54" s="8" customFormat="1" x14ac:dyDescent="0.15">
      <c r="K322" s="254"/>
      <c r="L322" s="254"/>
      <c r="M322" s="254"/>
      <c r="AY322" s="17"/>
      <c r="AZ322" s="17"/>
      <c r="BA322" s="17"/>
      <c r="BB322" s="17"/>
    </row>
    <row r="323" spans="11:54" s="8" customFormat="1" x14ac:dyDescent="0.15">
      <c r="K323" s="254"/>
      <c r="L323" s="254"/>
      <c r="M323" s="254"/>
      <c r="AY323" s="17"/>
      <c r="AZ323" s="17"/>
      <c r="BA323" s="17"/>
      <c r="BB323" s="17"/>
    </row>
    <row r="324" spans="11:54" s="8" customFormat="1" x14ac:dyDescent="0.15">
      <c r="K324" s="254"/>
      <c r="L324" s="254"/>
      <c r="M324" s="254"/>
      <c r="AY324" s="17"/>
      <c r="AZ324" s="17"/>
      <c r="BA324" s="17"/>
      <c r="BB324" s="17"/>
    </row>
    <row r="325" spans="11:54" s="8" customFormat="1" x14ac:dyDescent="0.15">
      <c r="K325" s="254"/>
      <c r="L325" s="254"/>
      <c r="M325" s="254"/>
      <c r="AY325" s="17"/>
      <c r="AZ325" s="17"/>
      <c r="BA325" s="17"/>
      <c r="BB325" s="17"/>
    </row>
    <row r="326" spans="11:54" s="8" customFormat="1" x14ac:dyDescent="0.15">
      <c r="K326" s="254"/>
      <c r="L326" s="254"/>
      <c r="M326" s="254"/>
      <c r="AY326" s="17"/>
      <c r="AZ326" s="17"/>
      <c r="BA326" s="17"/>
      <c r="BB326" s="17"/>
    </row>
    <row r="327" spans="11:54" s="8" customFormat="1" x14ac:dyDescent="0.15">
      <c r="K327" s="254"/>
      <c r="L327" s="254"/>
      <c r="M327" s="254"/>
      <c r="AY327" s="17"/>
      <c r="AZ327" s="17"/>
      <c r="BA327" s="17"/>
      <c r="BB327" s="17"/>
    </row>
    <row r="328" spans="11:54" s="8" customFormat="1" x14ac:dyDescent="0.15">
      <c r="K328" s="254"/>
      <c r="L328" s="254"/>
      <c r="M328" s="254"/>
      <c r="AY328" s="17"/>
      <c r="AZ328" s="17"/>
      <c r="BA328" s="17"/>
      <c r="BB328" s="17"/>
    </row>
    <row r="329" spans="11:54" s="8" customFormat="1" x14ac:dyDescent="0.15">
      <c r="K329" s="254"/>
      <c r="L329" s="254"/>
      <c r="M329" s="254"/>
      <c r="AY329" s="17"/>
      <c r="AZ329" s="17"/>
      <c r="BA329" s="17"/>
      <c r="BB329" s="17"/>
    </row>
    <row r="330" spans="11:54" s="8" customFormat="1" x14ac:dyDescent="0.15">
      <c r="K330" s="254"/>
      <c r="L330" s="254"/>
      <c r="M330" s="254"/>
      <c r="AY330" s="17"/>
      <c r="AZ330" s="17"/>
      <c r="BA330" s="17"/>
      <c r="BB330" s="17"/>
    </row>
    <row r="331" spans="11:54" s="8" customFormat="1" x14ac:dyDescent="0.15">
      <c r="K331" s="254"/>
      <c r="L331" s="254"/>
      <c r="M331" s="254"/>
      <c r="AY331" s="17"/>
      <c r="AZ331" s="17"/>
      <c r="BA331" s="17"/>
      <c r="BB331" s="17"/>
    </row>
    <row r="332" spans="11:54" s="8" customFormat="1" x14ac:dyDescent="0.15">
      <c r="K332" s="254"/>
      <c r="L332" s="254"/>
      <c r="M332" s="254"/>
      <c r="AY332" s="17"/>
      <c r="AZ332" s="17"/>
      <c r="BA332" s="17"/>
      <c r="BB332" s="17"/>
    </row>
    <row r="333" spans="11:54" s="8" customFormat="1" x14ac:dyDescent="0.15">
      <c r="K333" s="254"/>
      <c r="L333" s="254"/>
      <c r="M333" s="254"/>
      <c r="AY333" s="17"/>
      <c r="AZ333" s="17"/>
      <c r="BA333" s="17"/>
      <c r="BB333" s="17"/>
    </row>
    <row r="334" spans="11:54" s="8" customFormat="1" x14ac:dyDescent="0.15">
      <c r="K334" s="254"/>
      <c r="L334" s="254"/>
      <c r="M334" s="254"/>
      <c r="AY334" s="17"/>
      <c r="AZ334" s="17"/>
      <c r="BA334" s="17"/>
      <c r="BB334" s="17"/>
    </row>
    <row r="335" spans="11:54" s="8" customFormat="1" x14ac:dyDescent="0.15">
      <c r="K335" s="254"/>
      <c r="L335" s="254"/>
      <c r="M335" s="254"/>
      <c r="AY335" s="17"/>
      <c r="AZ335" s="17"/>
      <c r="BA335" s="17"/>
      <c r="BB335" s="17"/>
    </row>
    <row r="336" spans="11:54" s="8" customFormat="1" x14ac:dyDescent="0.15">
      <c r="K336" s="254"/>
      <c r="L336" s="254"/>
      <c r="M336" s="254"/>
      <c r="AY336" s="17"/>
      <c r="AZ336" s="17"/>
      <c r="BA336" s="17"/>
      <c r="BB336" s="17"/>
    </row>
    <row r="337" spans="11:54" s="8" customFormat="1" x14ac:dyDescent="0.15">
      <c r="K337" s="254"/>
      <c r="L337" s="254"/>
      <c r="M337" s="254"/>
      <c r="AY337" s="17"/>
      <c r="AZ337" s="17"/>
      <c r="BA337" s="17"/>
      <c r="BB337" s="17"/>
    </row>
    <row r="338" spans="11:54" s="8" customFormat="1" x14ac:dyDescent="0.15">
      <c r="K338" s="254"/>
      <c r="L338" s="254"/>
      <c r="M338" s="254"/>
      <c r="AY338" s="17"/>
      <c r="AZ338" s="17"/>
      <c r="BA338" s="17"/>
      <c r="BB338" s="17"/>
    </row>
    <row r="339" spans="11:54" s="8" customFormat="1" x14ac:dyDescent="0.15">
      <c r="K339" s="254"/>
      <c r="L339" s="254"/>
      <c r="M339" s="254"/>
      <c r="AY339" s="17"/>
      <c r="AZ339" s="17"/>
      <c r="BA339" s="17"/>
      <c r="BB339" s="17"/>
    </row>
    <row r="340" spans="11:54" s="8" customFormat="1" x14ac:dyDescent="0.15">
      <c r="K340" s="254"/>
      <c r="L340" s="254"/>
      <c r="M340" s="254"/>
      <c r="AY340" s="17"/>
      <c r="AZ340" s="17"/>
      <c r="BA340" s="17"/>
      <c r="BB340" s="17"/>
    </row>
    <row r="341" spans="11:54" s="8" customFormat="1" x14ac:dyDescent="0.15">
      <c r="K341" s="254"/>
      <c r="L341" s="254"/>
      <c r="M341" s="254"/>
      <c r="AY341" s="17"/>
      <c r="AZ341" s="17"/>
      <c r="BA341" s="17"/>
      <c r="BB341" s="17"/>
    </row>
    <row r="342" spans="11:54" s="8" customFormat="1" x14ac:dyDescent="0.15">
      <c r="K342" s="254"/>
      <c r="L342" s="254"/>
      <c r="M342" s="254"/>
      <c r="AY342" s="17"/>
      <c r="AZ342" s="17"/>
      <c r="BA342" s="17"/>
      <c r="BB342" s="17"/>
    </row>
    <row r="343" spans="11:54" s="8" customFormat="1" x14ac:dyDescent="0.15">
      <c r="K343" s="254"/>
      <c r="L343" s="254"/>
      <c r="M343" s="254"/>
      <c r="AY343" s="17"/>
      <c r="AZ343" s="17"/>
      <c r="BA343" s="17"/>
      <c r="BB343" s="17"/>
    </row>
    <row r="344" spans="11:54" s="8" customFormat="1" x14ac:dyDescent="0.15">
      <c r="K344" s="254"/>
      <c r="L344" s="254"/>
      <c r="M344" s="254"/>
      <c r="AY344" s="17"/>
      <c r="AZ344" s="17"/>
      <c r="BA344" s="17"/>
      <c r="BB344" s="17"/>
    </row>
    <row r="345" spans="11:54" s="8" customFormat="1" x14ac:dyDescent="0.15">
      <c r="K345" s="254"/>
      <c r="L345" s="254"/>
      <c r="M345" s="254"/>
      <c r="AY345" s="17"/>
      <c r="AZ345" s="17"/>
      <c r="BA345" s="17"/>
      <c r="BB345" s="17"/>
    </row>
    <row r="346" spans="11:54" s="8" customFormat="1" x14ac:dyDescent="0.15">
      <c r="K346" s="254"/>
      <c r="L346" s="254"/>
      <c r="M346" s="254"/>
      <c r="AY346" s="17"/>
      <c r="AZ346" s="17"/>
      <c r="BA346" s="17"/>
      <c r="BB346" s="17"/>
    </row>
    <row r="347" spans="11:54" s="8" customFormat="1" x14ac:dyDescent="0.15">
      <c r="K347" s="254"/>
      <c r="L347" s="254"/>
      <c r="M347" s="254"/>
      <c r="AY347" s="17"/>
      <c r="AZ347" s="17"/>
      <c r="BA347" s="17"/>
      <c r="BB347" s="17"/>
    </row>
    <row r="348" spans="11:54" s="8" customFormat="1" x14ac:dyDescent="0.15">
      <c r="K348" s="254"/>
      <c r="L348" s="254"/>
      <c r="M348" s="254"/>
      <c r="AY348" s="17"/>
      <c r="AZ348" s="17"/>
      <c r="BA348" s="17"/>
      <c r="BB348" s="17"/>
    </row>
    <row r="349" spans="11:54" s="8" customFormat="1" x14ac:dyDescent="0.15">
      <c r="K349" s="254"/>
      <c r="L349" s="254"/>
      <c r="M349" s="254"/>
      <c r="AY349" s="17"/>
      <c r="AZ349" s="17"/>
      <c r="BA349" s="17"/>
      <c r="BB349" s="17"/>
    </row>
    <row r="350" spans="11:54" s="8" customFormat="1" x14ac:dyDescent="0.15">
      <c r="K350" s="254"/>
      <c r="L350" s="254"/>
      <c r="M350" s="254"/>
      <c r="AY350" s="17"/>
      <c r="AZ350" s="17"/>
      <c r="BA350" s="17"/>
      <c r="BB350" s="17"/>
    </row>
    <row r="351" spans="11:54" s="8" customFormat="1" x14ac:dyDescent="0.15">
      <c r="K351" s="254"/>
      <c r="L351" s="254"/>
      <c r="M351" s="254"/>
      <c r="AY351" s="17"/>
      <c r="AZ351" s="17"/>
      <c r="BA351" s="17"/>
      <c r="BB351" s="17"/>
    </row>
    <row r="352" spans="11:54" s="8" customFormat="1" x14ac:dyDescent="0.15">
      <c r="K352" s="254"/>
      <c r="L352" s="254"/>
      <c r="M352" s="254"/>
      <c r="AY352" s="17"/>
      <c r="AZ352" s="17"/>
      <c r="BA352" s="17"/>
      <c r="BB352" s="17"/>
    </row>
    <row r="353" spans="11:54" s="8" customFormat="1" x14ac:dyDescent="0.15">
      <c r="K353" s="254"/>
      <c r="L353" s="254"/>
      <c r="M353" s="254"/>
      <c r="AY353" s="17"/>
      <c r="AZ353" s="17"/>
      <c r="BA353" s="17"/>
      <c r="BB353" s="17"/>
    </row>
    <row r="354" spans="11:54" s="8" customFormat="1" x14ac:dyDescent="0.15">
      <c r="K354" s="254"/>
      <c r="L354" s="254"/>
      <c r="M354" s="254"/>
      <c r="AY354" s="17"/>
      <c r="AZ354" s="17"/>
      <c r="BA354" s="17"/>
      <c r="BB354" s="17"/>
    </row>
    <row r="355" spans="11:54" s="8" customFormat="1" x14ac:dyDescent="0.15">
      <c r="K355" s="254"/>
      <c r="L355" s="254"/>
      <c r="M355" s="254"/>
      <c r="AY355" s="17"/>
      <c r="AZ355" s="17"/>
      <c r="BA355" s="17"/>
      <c r="BB355" s="17"/>
    </row>
    <row r="356" spans="11:54" s="8" customFormat="1" x14ac:dyDescent="0.15">
      <c r="K356" s="254"/>
      <c r="L356" s="254"/>
      <c r="M356" s="254"/>
      <c r="AY356" s="17"/>
      <c r="AZ356" s="17"/>
      <c r="BA356" s="17"/>
      <c r="BB356" s="17"/>
    </row>
    <row r="357" spans="11:54" s="8" customFormat="1" x14ac:dyDescent="0.15">
      <c r="K357" s="254"/>
      <c r="L357" s="254"/>
      <c r="M357" s="254"/>
      <c r="AY357" s="17"/>
      <c r="AZ357" s="17"/>
      <c r="BA357" s="17"/>
      <c r="BB357" s="17"/>
    </row>
    <row r="358" spans="11:54" s="8" customFormat="1" x14ac:dyDescent="0.15">
      <c r="K358" s="254"/>
      <c r="L358" s="254"/>
      <c r="M358" s="254"/>
      <c r="AY358" s="17"/>
      <c r="AZ358" s="17"/>
      <c r="BA358" s="17"/>
      <c r="BB358" s="17"/>
    </row>
    <row r="359" spans="11:54" s="8" customFormat="1" x14ac:dyDescent="0.15">
      <c r="K359" s="254"/>
      <c r="L359" s="254"/>
      <c r="M359" s="254"/>
      <c r="AY359" s="17"/>
      <c r="AZ359" s="17"/>
      <c r="BA359" s="17"/>
      <c r="BB359" s="17"/>
    </row>
    <row r="360" spans="11:54" s="8" customFormat="1" x14ac:dyDescent="0.15">
      <c r="K360" s="254"/>
      <c r="L360" s="254"/>
      <c r="M360" s="254"/>
      <c r="AY360" s="17"/>
      <c r="AZ360" s="17"/>
      <c r="BA360" s="17"/>
      <c r="BB360" s="17"/>
    </row>
    <row r="361" spans="11:54" s="8" customFormat="1" x14ac:dyDescent="0.15">
      <c r="K361" s="254"/>
      <c r="L361" s="254"/>
      <c r="M361" s="254"/>
      <c r="AY361" s="17"/>
      <c r="AZ361" s="17"/>
      <c r="BA361" s="17"/>
      <c r="BB361" s="17"/>
    </row>
    <row r="362" spans="11:54" s="8" customFormat="1" x14ac:dyDescent="0.15">
      <c r="K362" s="254"/>
      <c r="L362" s="254"/>
      <c r="M362" s="254"/>
      <c r="AY362" s="17"/>
      <c r="AZ362" s="17"/>
      <c r="BA362" s="17"/>
      <c r="BB362" s="17"/>
    </row>
    <row r="363" spans="11:54" s="8" customFormat="1" x14ac:dyDescent="0.15">
      <c r="K363" s="254"/>
      <c r="L363" s="254"/>
      <c r="M363" s="254"/>
      <c r="AY363" s="17"/>
      <c r="AZ363" s="17"/>
      <c r="BA363" s="17"/>
      <c r="BB363" s="1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CM410"/>
  <sheetViews>
    <sheetView showGridLines="0" zoomScale="70" zoomScaleNormal="70" zoomScalePageLayoutView="70" workbookViewId="0">
      <selection activeCell="AU47" sqref="AU47"/>
    </sheetView>
  </sheetViews>
  <sheetFormatPr baseColWidth="10" defaultColWidth="8.33203125" defaultRowHeight="14" x14ac:dyDescent="0.15"/>
  <cols>
    <col min="1" max="1" width="23.33203125" style="16" customWidth="1"/>
    <col min="2" max="2" width="31.83203125" style="16" customWidth="1"/>
    <col min="3" max="3" width="27.33203125" style="16" customWidth="1"/>
    <col min="4" max="4" width="31.1640625" style="16" customWidth="1"/>
    <col min="5" max="5" width="33.1640625" style="16" customWidth="1"/>
    <col min="6" max="6" width="34.33203125" style="16" customWidth="1"/>
    <col min="7" max="7" width="35.33203125" style="16" customWidth="1"/>
    <col min="8" max="8" width="36.33203125" style="16" customWidth="1"/>
    <col min="9" max="9" width="35.33203125" style="16" customWidth="1"/>
    <col min="10" max="10" width="46.33203125" style="16" customWidth="1"/>
    <col min="11" max="15" width="21.1640625" style="16" customWidth="1"/>
    <col min="16" max="16" width="25.6640625" style="16" customWidth="1"/>
    <col min="17" max="19" width="21.1640625" style="16" customWidth="1"/>
    <col min="20" max="20" width="20.33203125" style="16" customWidth="1"/>
    <col min="21" max="21" width="22.1640625" style="16" customWidth="1"/>
    <col min="22" max="22" width="21.6640625" style="16" customWidth="1"/>
    <col min="23" max="23" width="18.83203125" style="16" customWidth="1"/>
    <col min="24" max="25" width="23.1640625" style="16" customWidth="1"/>
    <col min="26" max="26" width="22.83203125" style="16" customWidth="1"/>
    <col min="27" max="27" width="22.1640625" style="16" customWidth="1"/>
    <col min="28" max="28" width="21.33203125" style="16" customWidth="1"/>
    <col min="29" max="49" width="15.33203125" style="16" customWidth="1"/>
    <col min="50" max="50" width="20.6640625" style="16" customWidth="1"/>
    <col min="51" max="63" width="15.33203125" style="16" customWidth="1"/>
    <col min="64" max="64" width="27.6640625" style="16" customWidth="1"/>
    <col min="65" max="87" width="15.33203125" style="16" customWidth="1"/>
    <col min="88" max="16384" width="8.33203125" style="16"/>
  </cols>
  <sheetData>
    <row r="1" spans="1:91" ht="17" thickBot="1" x14ac:dyDescent="0.25">
      <c r="A1" s="6" t="s">
        <v>182</v>
      </c>
      <c r="B1" s="111" t="s">
        <v>265</v>
      </c>
      <c r="C1" s="111"/>
      <c r="D1" s="111"/>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row>
    <row r="2" spans="1:91" ht="15" thickTop="1" x14ac:dyDescent="0.15">
      <c r="A2" s="4" t="s">
        <v>266</v>
      </c>
      <c r="B2" s="109">
        <v>43641</v>
      </c>
      <c r="C2" s="109"/>
      <c r="D2" s="110"/>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row>
    <row r="3" spans="1:91" ht="15" thickBot="1" x14ac:dyDescent="0.2">
      <c r="C3" s="126" t="s">
        <v>183</v>
      </c>
      <c r="D3" s="5"/>
      <c r="E3" s="5"/>
      <c r="F3" s="5"/>
      <c r="G3" s="5"/>
      <c r="H3" s="5"/>
      <c r="I3" s="39"/>
      <c r="J3" s="39"/>
      <c r="K3" s="39"/>
      <c r="L3" s="39"/>
      <c r="M3" s="39"/>
      <c r="N3" s="39"/>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row>
    <row r="4" spans="1:91" ht="15" thickTop="1" x14ac:dyDescent="0.15">
      <c r="A4" s="40" t="s">
        <v>184</v>
      </c>
      <c r="C4" s="34" t="s">
        <v>294</v>
      </c>
      <c r="D4" s="1"/>
      <c r="E4" s="39"/>
      <c r="F4" s="39"/>
      <c r="G4" s="39"/>
      <c r="H4" s="39"/>
      <c r="I4" s="39"/>
      <c r="J4" s="39"/>
      <c r="K4" s="39"/>
      <c r="L4" s="39"/>
      <c r="M4" s="39"/>
      <c r="N4" s="39"/>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row>
    <row r="5" spans="1:91" s="1" customFormat="1" ht="15" x14ac:dyDescent="0.2">
      <c r="A5" s="41" t="s">
        <v>185</v>
      </c>
      <c r="C5" s="34" t="s">
        <v>264</v>
      </c>
      <c r="N5"/>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row>
    <row r="6" spans="1:91" s="1" customFormat="1" ht="15" customHeight="1" x14ac:dyDescent="0.2">
      <c r="A6" s="42" t="s">
        <v>186</v>
      </c>
      <c r="C6" s="35" t="s">
        <v>282</v>
      </c>
      <c r="E6" s="32"/>
      <c r="M6"/>
      <c r="N6"/>
      <c r="O6" s="9"/>
      <c r="P6" s="7"/>
      <c r="AQ6" s="3"/>
      <c r="AR6" s="3"/>
      <c r="AS6" s="3"/>
      <c r="AT6" s="3"/>
      <c r="AU6" s="3"/>
      <c r="AV6" s="3"/>
      <c r="AW6" s="3"/>
      <c r="AX6" s="3"/>
      <c r="AY6" s="3"/>
      <c r="AZ6" s="3"/>
      <c r="BA6" s="3"/>
      <c r="BB6" s="3"/>
      <c r="BC6" s="3"/>
      <c r="BD6" s="3"/>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row>
    <row r="7" spans="1:91" s="1" customFormat="1" ht="14.25" customHeight="1" x14ac:dyDescent="0.2">
      <c r="A7" s="43" t="s">
        <v>187</v>
      </c>
      <c r="B7" s="8"/>
      <c r="C7" s="107" t="s">
        <v>283</v>
      </c>
      <c r="E7" s="32"/>
      <c r="M7"/>
      <c r="N7"/>
      <c r="O7" s="9"/>
      <c r="P7" s="7"/>
      <c r="AQ7" s="3"/>
      <c r="AR7" s="3"/>
      <c r="AS7" s="3"/>
      <c r="AT7" s="3"/>
      <c r="AU7" s="3"/>
      <c r="AV7" s="3"/>
      <c r="AW7" s="3"/>
      <c r="AX7" s="3"/>
      <c r="AY7" s="3"/>
      <c r="AZ7" s="3"/>
      <c r="BA7" s="3"/>
      <c r="BB7" s="3"/>
      <c r="BC7" s="3"/>
      <c r="BD7" s="3"/>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row>
    <row r="8" spans="1:91" s="1" customFormat="1" ht="14.5" customHeight="1" x14ac:dyDescent="0.15">
      <c r="A8" s="44" t="s">
        <v>200</v>
      </c>
      <c r="B8" s="8"/>
      <c r="O8" s="9"/>
      <c r="P8" s="7"/>
      <c r="AQ8" s="2"/>
      <c r="AR8" s="2"/>
      <c r="AS8" s="2"/>
      <c r="AT8" s="2"/>
      <c r="AU8" s="2"/>
      <c r="AV8" s="2"/>
      <c r="AW8" s="2"/>
      <c r="AX8" s="2"/>
      <c r="AY8" s="2"/>
      <c r="AZ8" s="2"/>
      <c r="BA8" s="2"/>
      <c r="BB8" s="2"/>
      <c r="BC8" s="2"/>
      <c r="BD8" s="2"/>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row>
    <row r="9" spans="1:91" s="1" customFormat="1" ht="14.5" customHeight="1" x14ac:dyDescent="0.15">
      <c r="B9" s="8"/>
      <c r="O9" s="9"/>
      <c r="P9" s="7"/>
      <c r="AQ9" s="2"/>
      <c r="AR9" s="2"/>
      <c r="AS9" s="2"/>
      <c r="AT9" s="2"/>
      <c r="AU9" s="2"/>
      <c r="AV9" s="2"/>
      <c r="AW9" s="2"/>
      <c r="AX9" s="2"/>
      <c r="AY9" s="2"/>
      <c r="AZ9" s="2"/>
      <c r="BA9" s="2"/>
      <c r="BB9" s="2"/>
      <c r="BC9" s="2"/>
      <c r="BD9" s="2"/>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row>
    <row r="10" spans="1:91" s="1" customFormat="1" ht="14.25" customHeight="1" thickBot="1" x14ac:dyDescent="0.2">
      <c r="A10" s="173"/>
      <c r="B10" s="173"/>
      <c r="C10" s="173"/>
      <c r="D10" s="173"/>
      <c r="E10" s="173"/>
      <c r="F10" s="173"/>
      <c r="G10" s="173"/>
      <c r="H10" s="173"/>
      <c r="I10" s="173"/>
      <c r="J10" s="173"/>
      <c r="K10" s="173"/>
      <c r="L10" s="173"/>
      <c r="M10" s="173"/>
      <c r="N10" s="173"/>
      <c r="O10" s="185"/>
      <c r="P10" s="186"/>
      <c r="Q10" s="173"/>
      <c r="R10" s="173"/>
      <c r="S10" s="173"/>
      <c r="T10" s="173"/>
      <c r="U10" s="173"/>
      <c r="V10" s="173"/>
      <c r="W10" s="173"/>
      <c r="AQ10" s="2"/>
      <c r="AR10" s="2"/>
      <c r="AS10" s="2"/>
      <c r="AT10" s="2"/>
      <c r="AU10" s="2"/>
      <c r="AV10" s="2"/>
      <c r="AW10" s="2"/>
      <c r="AX10" s="2"/>
      <c r="AY10" s="2"/>
      <c r="AZ10" s="2"/>
      <c r="BA10" s="2"/>
      <c r="BB10" s="2"/>
      <c r="BC10" s="2"/>
      <c r="BD10" s="2"/>
      <c r="BE10" s="2"/>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row>
    <row r="11" spans="1:91" s="1" customFormat="1" ht="18" x14ac:dyDescent="0.2">
      <c r="A11" s="184" t="s">
        <v>350</v>
      </c>
      <c r="O11" s="9"/>
      <c r="P11" s="11"/>
      <c r="W11" s="187"/>
      <c r="AQ11" s="2"/>
      <c r="AR11" s="2"/>
      <c r="AS11" s="2"/>
      <c r="AT11" s="2"/>
      <c r="AU11" s="2"/>
      <c r="AV11" s="2"/>
      <c r="AW11" s="2"/>
      <c r="AX11" s="2"/>
      <c r="AY11" s="2"/>
      <c r="AZ11" s="2"/>
      <c r="BA11" s="2"/>
      <c r="BB11" s="2"/>
      <c r="BC11" s="2"/>
      <c r="BD11" s="2"/>
      <c r="BE11" s="2"/>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row>
    <row r="12" spans="1:91" s="1" customFormat="1" x14ac:dyDescent="0.15">
      <c r="O12" s="9"/>
      <c r="P12" s="11"/>
      <c r="W12" s="188"/>
      <c r="AQ12" s="2"/>
      <c r="AR12" s="2"/>
      <c r="AS12" s="2"/>
      <c r="AT12" s="2"/>
      <c r="AU12" s="2"/>
      <c r="AV12" s="2"/>
      <c r="AW12" s="2"/>
      <c r="AX12" s="2"/>
      <c r="AY12" s="2"/>
      <c r="AZ12" s="2"/>
      <c r="BA12" s="2"/>
      <c r="BB12" s="2"/>
      <c r="BC12" s="2"/>
      <c r="BD12" s="2"/>
      <c r="BE12" s="2"/>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row>
    <row r="13" spans="1:91" s="1" customFormat="1" ht="15" thickBot="1" x14ac:dyDescent="0.2">
      <c r="B13" s="126" t="s">
        <v>210</v>
      </c>
      <c r="O13" s="9"/>
      <c r="P13" s="11"/>
      <c r="W13" s="188"/>
      <c r="AQ13" s="2"/>
      <c r="AR13" s="2"/>
      <c r="AS13" s="2"/>
      <c r="AT13" s="2"/>
      <c r="AU13" s="2"/>
      <c r="AV13" s="2"/>
      <c r="AW13" s="2"/>
      <c r="AX13" s="2"/>
      <c r="AY13" s="2"/>
      <c r="AZ13" s="2"/>
      <c r="BA13" s="2"/>
      <c r="BB13" s="2"/>
      <c r="BC13" s="2"/>
      <c r="BD13" s="2"/>
      <c r="BE13" s="2"/>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row>
    <row r="14" spans="1:91" s="1" customFormat="1" ht="15.75" customHeight="1" thickTop="1" x14ac:dyDescent="0.2">
      <c r="B14" s="390" t="s">
        <v>344</v>
      </c>
      <c r="C14" s="390"/>
      <c r="D14" s="390"/>
      <c r="E14" s="390"/>
      <c r="F14" s="390"/>
      <c r="G14" s="183"/>
      <c r="M14"/>
      <c r="N14"/>
      <c r="O14" s="9"/>
      <c r="P14" s="11"/>
      <c r="W14" s="188"/>
      <c r="AQ14" s="2"/>
      <c r="AR14" s="2"/>
      <c r="AS14" s="2"/>
      <c r="AT14" s="2"/>
      <c r="AU14" s="2"/>
      <c r="AV14" s="2"/>
      <c r="AW14" s="2"/>
      <c r="AX14" s="2"/>
      <c r="AY14" s="2"/>
      <c r="AZ14" s="2"/>
      <c r="BA14" s="2"/>
      <c r="BB14" s="2"/>
      <c r="BC14" s="2"/>
      <c r="BD14" s="2"/>
      <c r="BE14" s="2"/>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row>
    <row r="15" spans="1:91" s="1" customFormat="1" ht="15" x14ac:dyDescent="0.2">
      <c r="B15" s="390"/>
      <c r="C15" s="390"/>
      <c r="D15" s="390"/>
      <c r="E15" s="390"/>
      <c r="F15" s="390"/>
      <c r="G15" s="183"/>
      <c r="M15"/>
      <c r="N15"/>
      <c r="O15" s="9"/>
      <c r="P15" s="11"/>
      <c r="W15" s="188"/>
      <c r="AQ15" s="2"/>
      <c r="AR15" s="2"/>
      <c r="AS15" s="2"/>
      <c r="AT15" s="2"/>
      <c r="AU15" s="2"/>
      <c r="AV15" s="2"/>
      <c r="AW15" s="2"/>
      <c r="AX15" s="2"/>
      <c r="AY15" s="2"/>
      <c r="AZ15" s="2"/>
      <c r="BA15" s="2"/>
      <c r="BB15" s="2"/>
      <c r="BC15" s="2"/>
      <c r="BD15" s="2"/>
      <c r="BE15" s="2"/>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row>
    <row r="16" spans="1:91" s="1" customFormat="1" ht="15" x14ac:dyDescent="0.2">
      <c r="B16" s="390"/>
      <c r="C16" s="390"/>
      <c r="D16" s="390"/>
      <c r="E16" s="390"/>
      <c r="F16" s="390"/>
      <c r="G16" s="183"/>
      <c r="M16"/>
      <c r="N16"/>
      <c r="O16" s="9"/>
      <c r="P16" s="11"/>
      <c r="W16" s="188"/>
      <c r="AQ16" s="2"/>
      <c r="AR16" s="2"/>
      <c r="AS16" s="2"/>
      <c r="AT16" s="2"/>
      <c r="AU16" s="2"/>
      <c r="AV16" s="2"/>
      <c r="AW16" s="2"/>
      <c r="AX16" s="2"/>
      <c r="AY16" s="2"/>
      <c r="AZ16" s="2"/>
      <c r="BA16" s="2"/>
      <c r="BB16" s="2"/>
      <c r="BC16" s="2"/>
      <c r="BD16" s="2"/>
      <c r="BE16" s="2"/>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row>
    <row r="17" spans="1:83" s="1" customFormat="1" x14ac:dyDescent="0.15">
      <c r="A17" s="197" t="s">
        <v>295</v>
      </c>
      <c r="B17" s="198"/>
      <c r="C17" s="175"/>
      <c r="D17" s="175"/>
      <c r="E17" s="175"/>
      <c r="F17" s="175"/>
      <c r="G17" s="199"/>
      <c r="H17" s="193" t="s">
        <v>280</v>
      </c>
      <c r="I17" s="175"/>
      <c r="J17" s="175"/>
      <c r="K17" s="175"/>
      <c r="L17" s="175"/>
      <c r="M17" s="175"/>
      <c r="N17" s="175"/>
      <c r="O17" s="175"/>
      <c r="P17" s="175"/>
      <c r="Q17" s="175"/>
      <c r="R17" s="175"/>
      <c r="S17" s="175"/>
      <c r="T17" s="175"/>
      <c r="U17" s="175"/>
      <c r="V17" s="176"/>
      <c r="W17" s="188"/>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row>
    <row r="18" spans="1:83" s="1" customFormat="1" x14ac:dyDescent="0.15">
      <c r="A18" s="100"/>
      <c r="B18" s="101"/>
      <c r="C18" s="99"/>
      <c r="D18" s="99"/>
      <c r="E18" s="99"/>
      <c r="F18" s="99"/>
      <c r="G18" s="104"/>
      <c r="H18" s="99"/>
      <c r="I18" s="99"/>
      <c r="J18" s="99"/>
      <c r="K18" s="99"/>
      <c r="L18" s="99"/>
      <c r="M18" s="99"/>
      <c r="N18" s="99"/>
      <c r="O18" s="99"/>
      <c r="P18" s="99"/>
      <c r="Q18" s="99"/>
      <c r="R18" s="99"/>
      <c r="S18" s="99"/>
      <c r="T18" s="99"/>
      <c r="U18" s="99"/>
      <c r="V18" s="154"/>
      <c r="W18" s="188"/>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row>
    <row r="19" spans="1:83" s="1" customFormat="1" x14ac:dyDescent="0.15">
      <c r="A19" s="100"/>
      <c r="B19" s="37" t="s">
        <v>293</v>
      </c>
      <c r="G19" s="104"/>
      <c r="I19" s="37" t="s">
        <v>263</v>
      </c>
      <c r="J19" s="10"/>
      <c r="V19" s="154"/>
      <c r="W19" s="188"/>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row>
    <row r="20" spans="1:83" s="1" customFormat="1" x14ac:dyDescent="0.15">
      <c r="A20" s="100"/>
      <c r="G20" s="104"/>
      <c r="V20" s="154"/>
      <c r="W20" s="188"/>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row>
    <row r="21" spans="1:83" s="1" customFormat="1" x14ac:dyDescent="0.15">
      <c r="A21" s="100"/>
      <c r="B21" s="204" t="s">
        <v>204</v>
      </c>
      <c r="C21" s="383" t="s">
        <v>205</v>
      </c>
      <c r="D21" s="383"/>
      <c r="E21" s="204" t="s">
        <v>212</v>
      </c>
      <c r="F21" s="113" t="s">
        <v>343</v>
      </c>
      <c r="G21" s="104"/>
      <c r="I21" s="87"/>
      <c r="J21" s="88"/>
      <c r="K21" s="88"/>
      <c r="L21" s="88"/>
      <c r="M21" s="88"/>
      <c r="N21" s="88"/>
      <c r="O21" s="88"/>
      <c r="P21" s="88"/>
      <c r="Q21" s="88"/>
      <c r="R21" s="88"/>
      <c r="S21" s="88"/>
      <c r="T21" s="88"/>
      <c r="U21" s="89"/>
      <c r="V21" s="154"/>
      <c r="W21" s="188"/>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row>
    <row r="22" spans="1:83" s="1" customFormat="1" x14ac:dyDescent="0.15">
      <c r="A22" s="100"/>
      <c r="B22" s="203" t="s">
        <v>46</v>
      </c>
      <c r="C22" s="379" t="s">
        <v>209</v>
      </c>
      <c r="D22" s="380"/>
      <c r="E22" s="138">
        <v>11525</v>
      </c>
      <c r="F22" s="117">
        <v>11525</v>
      </c>
      <c r="G22" s="104"/>
      <c r="I22" s="90"/>
      <c r="J22" s="166" t="s">
        <v>231</v>
      </c>
      <c r="K22" s="167">
        <v>2020</v>
      </c>
      <c r="L22" s="167">
        <v>2021</v>
      </c>
      <c r="M22" s="167">
        <v>2022</v>
      </c>
      <c r="N22" s="167">
        <v>2023</v>
      </c>
      <c r="O22" s="167">
        <v>2024</v>
      </c>
      <c r="P22" s="167">
        <v>2025</v>
      </c>
      <c r="Q22" s="167">
        <v>2026</v>
      </c>
      <c r="R22" s="167">
        <v>2027</v>
      </c>
      <c r="S22" s="167">
        <v>2028</v>
      </c>
      <c r="U22" s="91"/>
      <c r="V22" s="154"/>
      <c r="W22" s="188"/>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row>
    <row r="23" spans="1:83" s="1" customFormat="1" x14ac:dyDescent="0.15">
      <c r="A23" s="100"/>
      <c r="B23" s="203" t="s">
        <v>10</v>
      </c>
      <c r="C23" s="384" t="s">
        <v>269</v>
      </c>
      <c r="D23" s="385"/>
      <c r="E23" s="139">
        <v>0.3</v>
      </c>
      <c r="F23" s="116">
        <v>0.3</v>
      </c>
      <c r="G23" s="104"/>
      <c r="I23" s="90"/>
      <c r="J23" s="166" t="s">
        <v>276</v>
      </c>
      <c r="K23" s="84">
        <f>0.1066</f>
        <v>0.1066</v>
      </c>
      <c r="L23" s="84">
        <f t="shared" ref="L23:S23" si="0">0.1066</f>
        <v>0.1066</v>
      </c>
      <c r="M23" s="84">
        <f t="shared" si="0"/>
        <v>0.1066</v>
      </c>
      <c r="N23" s="84">
        <f t="shared" si="0"/>
        <v>0.1066</v>
      </c>
      <c r="O23" s="84">
        <f t="shared" si="0"/>
        <v>0.1066</v>
      </c>
      <c r="P23" s="84">
        <f t="shared" si="0"/>
        <v>0.1066</v>
      </c>
      <c r="Q23" s="84">
        <f t="shared" si="0"/>
        <v>0.1066</v>
      </c>
      <c r="R23" s="84">
        <f t="shared" si="0"/>
        <v>0.1066</v>
      </c>
      <c r="S23" s="84">
        <f t="shared" si="0"/>
        <v>0.1066</v>
      </c>
      <c r="U23" s="91"/>
      <c r="V23" s="154"/>
      <c r="W23" s="188"/>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row>
    <row r="24" spans="1:83" s="1" customFormat="1" x14ac:dyDescent="0.15">
      <c r="A24" s="100"/>
      <c r="B24" s="203" t="s">
        <v>4</v>
      </c>
      <c r="C24" s="377" t="s">
        <v>214</v>
      </c>
      <c r="D24" s="378"/>
      <c r="E24" s="139">
        <v>0.75</v>
      </c>
      <c r="F24" s="116">
        <v>0.75</v>
      </c>
      <c r="G24" s="104"/>
      <c r="I24" s="90"/>
      <c r="J24" s="166" t="s">
        <v>277</v>
      </c>
      <c r="K24" s="85">
        <v>8.3299999999999999E-2</v>
      </c>
      <c r="L24" s="85">
        <v>8.3299999999999999E-2</v>
      </c>
      <c r="M24" s="85">
        <v>8.3299999999999999E-2</v>
      </c>
      <c r="N24" s="85">
        <v>8.3299999999999999E-2</v>
      </c>
      <c r="O24" s="85">
        <v>8.3299999999999999E-2</v>
      </c>
      <c r="P24" s="85">
        <v>8.3299999999999999E-2</v>
      </c>
      <c r="Q24" s="85">
        <v>8.3299999999999999E-2</v>
      </c>
      <c r="R24" s="85">
        <v>8.3299999999999999E-2</v>
      </c>
      <c r="S24" s="85">
        <v>8.3299999999999999E-2</v>
      </c>
      <c r="U24" s="91"/>
      <c r="V24" s="154"/>
      <c r="W24" s="188"/>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row>
    <row r="25" spans="1:83" s="1" customFormat="1" x14ac:dyDescent="0.15">
      <c r="B25" s="203" t="s">
        <v>14</v>
      </c>
      <c r="C25" s="377" t="s">
        <v>215</v>
      </c>
      <c r="D25" s="378"/>
      <c r="E25" s="139">
        <v>0.05</v>
      </c>
      <c r="F25" s="116">
        <v>0.05</v>
      </c>
      <c r="G25" s="104"/>
      <c r="I25" s="90"/>
      <c r="J25" s="168"/>
      <c r="K25" s="169"/>
      <c r="L25" s="169"/>
      <c r="M25" s="169"/>
      <c r="N25" s="169"/>
      <c r="O25" s="169"/>
      <c r="P25" s="169"/>
      <c r="Q25" s="168"/>
      <c r="R25" s="168"/>
      <c r="S25" s="168"/>
      <c r="U25" s="91"/>
      <c r="V25" s="154"/>
      <c r="W25" s="188"/>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row>
    <row r="26" spans="1:83" s="1" customFormat="1" x14ac:dyDescent="0.15">
      <c r="B26" s="203" t="s">
        <v>8</v>
      </c>
      <c r="C26" s="377" t="s">
        <v>208</v>
      </c>
      <c r="D26" s="378"/>
      <c r="E26" s="139">
        <v>0.1</v>
      </c>
      <c r="F26" s="116">
        <v>0.1</v>
      </c>
      <c r="G26" s="104"/>
      <c r="I26" s="90"/>
      <c r="J26" s="166" t="s">
        <v>229</v>
      </c>
      <c r="K26" s="170">
        <f>K23+0.041</f>
        <v>0.14760000000000001</v>
      </c>
      <c r="L26" s="170">
        <f>K23+L23+0.041</f>
        <v>0.25419999999999998</v>
      </c>
      <c r="M26" s="170">
        <f>L23+M23+0.041+K23</f>
        <v>0.36080000000000001</v>
      </c>
      <c r="N26" s="170">
        <f>M23+N23+0.041+K23+L23</f>
        <v>0.46740000000000004</v>
      </c>
      <c r="O26" s="170">
        <f>N23+O23+0.041+K23+L23+M23</f>
        <v>0.57400000000000007</v>
      </c>
      <c r="P26" s="170">
        <f>O23+P23+0.041+K23+L23+M23+N23</f>
        <v>0.68060000000000009</v>
      </c>
      <c r="Q26" s="170">
        <f>P23+Q23+0.041+K23+L23+M23+N23+O23</f>
        <v>0.78720000000000012</v>
      </c>
      <c r="R26" s="170">
        <f>Q23+R23+0.041+K23+L23+M23+N23+O23+P23</f>
        <v>0.89380000000000015</v>
      </c>
      <c r="S26" s="170">
        <f>R23+S23+0.041+K23+L23+M23+N23+O23+P23+Q23</f>
        <v>1.0004000000000002</v>
      </c>
      <c r="U26" s="91"/>
      <c r="V26" s="154"/>
      <c r="W26" s="188"/>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row>
    <row r="27" spans="1:83" s="18" customFormat="1" ht="13" x14ac:dyDescent="0.15">
      <c r="A27" s="36"/>
      <c r="B27" s="203" t="s">
        <v>32</v>
      </c>
      <c r="C27" s="377" t="s">
        <v>207</v>
      </c>
      <c r="D27" s="378"/>
      <c r="E27" s="139">
        <v>0.01</v>
      </c>
      <c r="F27" s="116">
        <v>0.01</v>
      </c>
      <c r="G27" s="104"/>
      <c r="I27" s="90"/>
      <c r="J27" s="166" t="s">
        <v>230</v>
      </c>
      <c r="K27" s="170">
        <f>K24+0.25</f>
        <v>0.33329999999999999</v>
      </c>
      <c r="L27" s="170">
        <f>L24+0.25+K24</f>
        <v>0.41659999999999997</v>
      </c>
      <c r="M27" s="170">
        <f>M24+0.25+K24+L24</f>
        <v>0.49989999999999996</v>
      </c>
      <c r="N27" s="170">
        <f>N24+0.25+K24+L24+M24</f>
        <v>0.58319999999999994</v>
      </c>
      <c r="O27" s="170">
        <f>O24+0.25+K24+L24+M24+N24</f>
        <v>0.66649999999999998</v>
      </c>
      <c r="P27" s="170">
        <f>P24+0.25+K24+L24+M24+N24+O24</f>
        <v>0.74980000000000002</v>
      </c>
      <c r="Q27" s="170">
        <f>Q24+0.25+K24+L24+M24+N24+O24+P24</f>
        <v>0.83310000000000006</v>
      </c>
      <c r="R27" s="170">
        <f>R24+0.25+K24+L24+M24+N24+O24+P24+Q24</f>
        <v>0.9164000000000001</v>
      </c>
      <c r="S27" s="170">
        <f>S24+0.25+K24+L24+M24+N24+O24+P24+Q24+R24</f>
        <v>0.99970000000000014</v>
      </c>
      <c r="U27" s="91"/>
      <c r="V27" s="156"/>
      <c r="W27" s="189"/>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row>
    <row r="28" spans="1:83" s="18" customFormat="1" ht="13" x14ac:dyDescent="0.15">
      <c r="B28" s="203" t="s">
        <v>19</v>
      </c>
      <c r="C28" s="377" t="s">
        <v>268</v>
      </c>
      <c r="D28" s="378"/>
      <c r="E28" s="139">
        <v>0.3</v>
      </c>
      <c r="F28" s="116">
        <v>0.3</v>
      </c>
      <c r="G28" s="104"/>
      <c r="I28" s="95"/>
      <c r="J28" s="98"/>
      <c r="K28" s="96"/>
      <c r="L28" s="96"/>
      <c r="M28" s="96"/>
      <c r="N28" s="96"/>
      <c r="O28" s="96"/>
      <c r="P28" s="96"/>
      <c r="Q28" s="96"/>
      <c r="R28" s="96"/>
      <c r="S28" s="96"/>
      <c r="U28" s="91"/>
      <c r="V28" s="156"/>
      <c r="W28" s="189"/>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row>
    <row r="29" spans="1:83" s="18" customFormat="1" ht="13" x14ac:dyDescent="0.15">
      <c r="B29" s="203" t="s">
        <v>6</v>
      </c>
      <c r="C29" s="377" t="s">
        <v>267</v>
      </c>
      <c r="D29" s="378"/>
      <c r="E29" s="139">
        <v>0.15</v>
      </c>
      <c r="F29" s="116">
        <v>0.15</v>
      </c>
      <c r="G29" s="104"/>
      <c r="I29" s="87"/>
      <c r="J29" s="88"/>
      <c r="K29" s="88"/>
      <c r="L29" s="88"/>
      <c r="M29" s="88"/>
      <c r="N29" s="88"/>
      <c r="O29" s="88"/>
      <c r="P29" s="88"/>
      <c r="Q29" s="88"/>
      <c r="R29" s="88"/>
      <c r="S29" s="88"/>
      <c r="U29" s="91"/>
      <c r="V29" s="156"/>
      <c r="W29" s="189"/>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row>
    <row r="30" spans="1:83" s="18" customFormat="1" ht="13" x14ac:dyDescent="0.15">
      <c r="B30" s="203" t="s">
        <v>24</v>
      </c>
      <c r="C30" s="377" t="s">
        <v>270</v>
      </c>
      <c r="D30" s="378"/>
      <c r="E30" s="139">
        <v>0.7</v>
      </c>
      <c r="F30" s="116">
        <v>0.7</v>
      </c>
      <c r="G30" s="104"/>
      <c r="I30" s="90"/>
      <c r="J30" s="166" t="s">
        <v>278</v>
      </c>
      <c r="K30" s="86">
        <v>0.1066</v>
      </c>
      <c r="L30" s="86">
        <v>0.1066</v>
      </c>
      <c r="M30" s="86">
        <v>0.1066</v>
      </c>
      <c r="N30" s="86">
        <v>0.1066</v>
      </c>
      <c r="O30" s="86">
        <v>0.1066</v>
      </c>
      <c r="P30" s="86">
        <v>0.1066</v>
      </c>
      <c r="Q30" s="86">
        <v>0.1066</v>
      </c>
      <c r="R30" s="86">
        <v>0.1066</v>
      </c>
      <c r="S30" s="86">
        <v>0.1066</v>
      </c>
      <c r="U30" s="91"/>
      <c r="V30" s="156"/>
      <c r="W30" s="189"/>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row>
    <row r="31" spans="1:83" s="18" customFormat="1" x14ac:dyDescent="0.15">
      <c r="B31" s="203" t="s">
        <v>232</v>
      </c>
      <c r="C31" s="377" t="s">
        <v>249</v>
      </c>
      <c r="D31" s="378"/>
      <c r="E31" s="114" t="s">
        <v>248</v>
      </c>
      <c r="F31" s="115" t="s">
        <v>248</v>
      </c>
      <c r="G31" s="104"/>
      <c r="I31" s="90"/>
      <c r="J31" s="166" t="s">
        <v>279</v>
      </c>
      <c r="K31" s="86">
        <v>8.3299999999999999E-2</v>
      </c>
      <c r="L31" s="86">
        <v>8.3299999999999999E-2</v>
      </c>
      <c r="M31" s="86">
        <v>8.3299999999999999E-2</v>
      </c>
      <c r="N31" s="86">
        <v>8.3299999999999999E-2</v>
      </c>
      <c r="O31" s="86">
        <v>8.3299999999999999E-2</v>
      </c>
      <c r="P31" s="86">
        <v>8.3299999999999999E-2</v>
      </c>
      <c r="Q31" s="86">
        <v>8.3299999999999999E-2</v>
      </c>
      <c r="R31" s="86">
        <v>8.3299999999999999E-2</v>
      </c>
      <c r="S31" s="86">
        <v>8.3299999999999999E-2</v>
      </c>
      <c r="U31" s="91"/>
      <c r="V31" s="156"/>
      <c r="W31" s="189"/>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row>
    <row r="32" spans="1:83" s="18" customFormat="1" ht="13" x14ac:dyDescent="0.15">
      <c r="B32" s="203" t="s">
        <v>233</v>
      </c>
      <c r="C32" s="375" t="s">
        <v>206</v>
      </c>
      <c r="D32" s="376"/>
      <c r="E32" s="140">
        <v>1.35</v>
      </c>
      <c r="F32" s="118">
        <v>1.35</v>
      </c>
      <c r="G32" s="104"/>
      <c r="I32" s="90"/>
      <c r="J32" s="92"/>
      <c r="K32" s="93"/>
      <c r="L32" s="93"/>
      <c r="M32" s="93"/>
      <c r="N32" s="93"/>
      <c r="O32" s="93"/>
      <c r="P32" s="93"/>
      <c r="Q32" s="93"/>
      <c r="R32" s="93"/>
      <c r="S32" s="93"/>
      <c r="U32" s="91"/>
      <c r="V32" s="156"/>
      <c r="W32" s="189"/>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row>
    <row r="33" spans="1:75" s="18" customFormat="1" ht="13" x14ac:dyDescent="0.15">
      <c r="B33" s="119" t="s">
        <v>234</v>
      </c>
      <c r="C33" s="379" t="s">
        <v>272</v>
      </c>
      <c r="D33" s="380"/>
      <c r="E33" s="121">
        <f>ROUND(MEDIAN(Data!X15:X183)*E32, 2)</f>
        <v>192526.79</v>
      </c>
      <c r="F33" s="121">
        <v>184407.02</v>
      </c>
      <c r="G33" s="104"/>
      <c r="I33" s="94"/>
      <c r="J33" s="166" t="s">
        <v>229</v>
      </c>
      <c r="K33" s="170">
        <f>0.041+K30</f>
        <v>0.14760000000000001</v>
      </c>
      <c r="L33" s="170">
        <f>K33+L30</f>
        <v>0.25419999999999998</v>
      </c>
      <c r="M33" s="170">
        <f t="shared" ref="M33:S33" si="1">L33+M30</f>
        <v>0.36080000000000001</v>
      </c>
      <c r="N33" s="170">
        <f t="shared" si="1"/>
        <v>0.46740000000000004</v>
      </c>
      <c r="O33" s="170">
        <f t="shared" si="1"/>
        <v>0.57400000000000007</v>
      </c>
      <c r="P33" s="170">
        <f t="shared" si="1"/>
        <v>0.68060000000000009</v>
      </c>
      <c r="Q33" s="170">
        <f t="shared" si="1"/>
        <v>0.78720000000000012</v>
      </c>
      <c r="R33" s="170">
        <f t="shared" si="1"/>
        <v>0.89380000000000015</v>
      </c>
      <c r="S33" s="170">
        <f t="shared" si="1"/>
        <v>1.0004000000000002</v>
      </c>
      <c r="U33" s="91"/>
      <c r="V33" s="156"/>
      <c r="W33" s="189"/>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row>
    <row r="34" spans="1:75" s="18" customFormat="1" ht="13" x14ac:dyDescent="0.15">
      <c r="B34" s="120" t="s">
        <v>235</v>
      </c>
      <c r="C34" s="375" t="s">
        <v>271</v>
      </c>
      <c r="D34" s="376"/>
      <c r="E34" s="122">
        <f>ROUND(MEDIAN(Data!P15:P183)*E32, 2)</f>
        <v>120494.25</v>
      </c>
      <c r="F34" s="122">
        <v>111663.9</v>
      </c>
      <c r="G34" s="105"/>
      <c r="I34" s="90"/>
      <c r="J34" s="166" t="s">
        <v>230</v>
      </c>
      <c r="K34" s="170">
        <f>0.25+K31</f>
        <v>0.33329999999999999</v>
      </c>
      <c r="L34" s="170">
        <f t="shared" ref="L34:S34" si="2">K34+L31</f>
        <v>0.41659999999999997</v>
      </c>
      <c r="M34" s="170">
        <f t="shared" si="2"/>
        <v>0.49989999999999996</v>
      </c>
      <c r="N34" s="170">
        <f t="shared" si="2"/>
        <v>0.58319999999999994</v>
      </c>
      <c r="O34" s="170">
        <f t="shared" si="2"/>
        <v>0.66649999999999998</v>
      </c>
      <c r="P34" s="170">
        <f t="shared" si="2"/>
        <v>0.74980000000000002</v>
      </c>
      <c r="Q34" s="170">
        <f t="shared" si="2"/>
        <v>0.83310000000000006</v>
      </c>
      <c r="R34" s="170">
        <f t="shared" si="2"/>
        <v>0.9164000000000001</v>
      </c>
      <c r="S34" s="170">
        <f t="shared" si="2"/>
        <v>0.99970000000000014</v>
      </c>
      <c r="U34" s="91"/>
      <c r="V34" s="156"/>
      <c r="W34" s="189"/>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row>
    <row r="35" spans="1:75" x14ac:dyDescent="0.15">
      <c r="G35" s="105"/>
      <c r="H35" s="18"/>
      <c r="I35" s="95"/>
      <c r="J35" s="96"/>
      <c r="K35" s="96"/>
      <c r="L35" s="96"/>
      <c r="M35" s="96"/>
      <c r="N35" s="96"/>
      <c r="O35" s="96"/>
      <c r="P35" s="96"/>
      <c r="Q35" s="96"/>
      <c r="R35" s="96"/>
      <c r="S35" s="96"/>
      <c r="T35" s="96"/>
      <c r="U35" s="97"/>
      <c r="V35" s="158"/>
      <c r="W35" s="190"/>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172"/>
    </row>
    <row r="36" spans="1:75" s="18" customFormat="1" x14ac:dyDescent="0.15">
      <c r="B36" s="37" t="s">
        <v>262</v>
      </c>
      <c r="C36" s="1"/>
      <c r="D36" s="1"/>
      <c r="E36" s="1"/>
      <c r="G36" s="104"/>
      <c r="V36" s="156"/>
      <c r="W36" s="189"/>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row>
    <row r="37" spans="1:75" s="18" customFormat="1" x14ac:dyDescent="0.15">
      <c r="B37" s="1"/>
      <c r="C37" s="1"/>
      <c r="D37" s="1"/>
      <c r="E37" s="1"/>
      <c r="G37" s="104"/>
      <c r="V37" s="156"/>
      <c r="W37" s="189"/>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row>
    <row r="38" spans="1:75" s="18" customFormat="1" ht="13" x14ac:dyDescent="0.15">
      <c r="B38" s="47" t="s">
        <v>220</v>
      </c>
      <c r="C38" s="47" t="s">
        <v>257</v>
      </c>
      <c r="D38" s="47" t="s">
        <v>258</v>
      </c>
      <c r="E38" s="47" t="s">
        <v>256</v>
      </c>
      <c r="G38" s="104"/>
      <c r="V38" s="156"/>
      <c r="W38" s="189"/>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row>
    <row r="39" spans="1:75" s="18" customFormat="1" ht="13" x14ac:dyDescent="0.15">
      <c r="B39" s="81">
        <v>1</v>
      </c>
      <c r="C39" s="75" t="s">
        <v>221</v>
      </c>
      <c r="D39" s="74" t="s">
        <v>224</v>
      </c>
      <c r="E39" s="76">
        <v>0.06</v>
      </c>
      <c r="G39" s="104"/>
      <c r="V39" s="156"/>
      <c r="W39" s="189"/>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row>
    <row r="40" spans="1:75" s="18" customFormat="1" ht="13" x14ac:dyDescent="0.15">
      <c r="B40" s="82">
        <v>2</v>
      </c>
      <c r="C40" s="22" t="s">
        <v>222</v>
      </c>
      <c r="D40" s="23" t="s">
        <v>224</v>
      </c>
      <c r="E40" s="77">
        <v>0.05</v>
      </c>
      <c r="G40" s="104"/>
      <c r="V40" s="156"/>
      <c r="W40" s="189"/>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row>
    <row r="41" spans="1:75" s="18" customFormat="1" ht="13" x14ac:dyDescent="0.15">
      <c r="B41" s="82">
        <v>3</v>
      </c>
      <c r="C41" s="22" t="s">
        <v>223</v>
      </c>
      <c r="D41" s="23" t="s">
        <v>224</v>
      </c>
      <c r="E41" s="77">
        <v>0.04</v>
      </c>
      <c r="G41" s="104"/>
      <c r="V41" s="156"/>
      <c r="W41" s="189"/>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row>
    <row r="42" spans="1:75" s="18" customFormat="1" ht="13" x14ac:dyDescent="0.15">
      <c r="B42" s="82">
        <v>4</v>
      </c>
      <c r="C42" s="22" t="s">
        <v>224</v>
      </c>
      <c r="D42" s="23" t="s">
        <v>225</v>
      </c>
      <c r="E42" s="77">
        <v>0.03</v>
      </c>
      <c r="G42" s="104"/>
      <c r="V42" s="156"/>
      <c r="W42" s="189"/>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row>
    <row r="43" spans="1:75" s="18" customFormat="1" ht="13" x14ac:dyDescent="0.15">
      <c r="B43" s="83">
        <v>5</v>
      </c>
      <c r="C43" s="78" t="s">
        <v>224</v>
      </c>
      <c r="D43" s="79" t="s">
        <v>226</v>
      </c>
      <c r="E43" s="80">
        <v>0</v>
      </c>
      <c r="G43" s="104"/>
      <c r="V43" s="160"/>
      <c r="W43" s="189"/>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row>
    <row r="44" spans="1:75" s="18" customFormat="1" x14ac:dyDescent="0.15">
      <c r="A44" s="38"/>
      <c r="B44" s="38"/>
      <c r="C44" s="38"/>
      <c r="D44" s="38"/>
      <c r="E44" s="38"/>
      <c r="F44" s="38"/>
      <c r="G44" s="38"/>
      <c r="H44" s="106"/>
      <c r="I44" s="38"/>
      <c r="J44" s="38"/>
      <c r="K44" s="38"/>
      <c r="L44" s="38"/>
      <c r="M44" s="38"/>
      <c r="N44" s="38"/>
      <c r="O44" s="38"/>
      <c r="P44" s="38"/>
      <c r="Q44" s="38"/>
      <c r="R44" s="38"/>
      <c r="S44" s="38"/>
      <c r="T44" s="38"/>
      <c r="U44" s="38"/>
      <c r="V44" s="162"/>
      <c r="W44" s="189"/>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row>
    <row r="45" spans="1:75" s="18" customFormat="1" x14ac:dyDescent="0.15">
      <c r="A45" s="99"/>
      <c r="B45" s="99"/>
      <c r="C45" s="99"/>
      <c r="D45" s="99"/>
      <c r="E45" s="99"/>
      <c r="F45" s="99"/>
      <c r="G45" s="99"/>
      <c r="H45" s="99"/>
      <c r="I45" s="99"/>
      <c r="J45" s="99"/>
      <c r="K45" s="99"/>
      <c r="L45" s="99"/>
      <c r="M45" s="99"/>
      <c r="N45" s="99"/>
      <c r="O45" s="99"/>
      <c r="P45" s="99"/>
      <c r="Q45" s="99"/>
      <c r="R45" s="99"/>
      <c r="S45" s="99"/>
      <c r="T45" s="99"/>
      <c r="U45" s="99"/>
      <c r="V45" s="99"/>
      <c r="W45" s="189"/>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row>
    <row r="46" spans="1:75" s="18" customFormat="1" ht="15" thickBot="1" x14ac:dyDescent="0.2">
      <c r="A46" s="173"/>
      <c r="B46" s="173"/>
      <c r="C46" s="173"/>
      <c r="D46" s="173"/>
      <c r="E46" s="173"/>
      <c r="F46" s="173"/>
      <c r="G46" s="173"/>
      <c r="H46" s="173"/>
      <c r="I46" s="173"/>
      <c r="J46" s="173"/>
      <c r="K46" s="173"/>
      <c r="L46" s="173"/>
      <c r="M46" s="173"/>
      <c r="N46" s="173"/>
      <c r="O46" s="173"/>
      <c r="P46" s="173"/>
      <c r="Q46" s="173"/>
      <c r="R46" s="173"/>
      <c r="S46" s="173"/>
      <c r="T46" s="173"/>
      <c r="U46" s="173"/>
      <c r="V46" s="173"/>
      <c r="W46" s="191"/>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row>
    <row r="47" spans="1:75" s="18" customFormat="1" ht="18" x14ac:dyDescent="0.2">
      <c r="A47" s="192" t="s">
        <v>342</v>
      </c>
      <c r="B47" s="99"/>
      <c r="C47" s="99"/>
      <c r="D47" s="99"/>
      <c r="E47" s="99"/>
      <c r="F47" s="99"/>
      <c r="G47" s="99"/>
      <c r="H47" s="99"/>
      <c r="I47" s="99"/>
      <c r="J47" s="99"/>
      <c r="K47" s="99"/>
      <c r="L47" s="99"/>
      <c r="M47" s="99"/>
      <c r="N47" s="99"/>
      <c r="O47" s="99"/>
      <c r="P47" s="99"/>
      <c r="Q47" s="99"/>
      <c r="R47" s="99"/>
      <c r="S47" s="99"/>
      <c r="T47" s="99"/>
      <c r="U47" s="99"/>
      <c r="V47" s="99"/>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row>
    <row r="48" spans="1:75" s="18" customFormat="1" x14ac:dyDescent="0.15">
      <c r="A48" s="99"/>
      <c r="B48" s="99"/>
      <c r="C48" s="99"/>
      <c r="D48" s="99"/>
      <c r="E48" s="99"/>
      <c r="F48" s="99"/>
      <c r="G48" s="99"/>
      <c r="H48" s="99"/>
      <c r="I48" s="99"/>
      <c r="J48" s="99"/>
      <c r="K48" s="99"/>
      <c r="L48" s="99"/>
      <c r="M48" s="99"/>
      <c r="N48" s="99"/>
      <c r="O48" s="99"/>
      <c r="P48" s="99"/>
      <c r="Q48" s="99"/>
      <c r="R48" s="99"/>
      <c r="S48" s="99"/>
      <c r="T48" s="99"/>
      <c r="U48" s="99"/>
      <c r="V48" s="99"/>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row>
    <row r="49" spans="1:75" s="18" customFormat="1" ht="15" thickBot="1" x14ac:dyDescent="0.2">
      <c r="A49" s="99"/>
      <c r="B49" s="126" t="s">
        <v>210</v>
      </c>
      <c r="C49" s="99"/>
      <c r="D49" s="99"/>
      <c r="E49" s="99"/>
      <c r="F49" s="99"/>
      <c r="G49" s="99"/>
      <c r="H49" s="99"/>
      <c r="I49" s="99"/>
      <c r="J49" s="99"/>
      <c r="K49" s="99"/>
      <c r="L49" s="99"/>
      <c r="M49" s="99"/>
      <c r="N49" s="99"/>
      <c r="O49" s="99"/>
      <c r="P49" s="99"/>
      <c r="Q49" s="99"/>
      <c r="R49" s="99"/>
      <c r="S49" s="99"/>
      <c r="T49" s="99"/>
      <c r="U49" s="99"/>
      <c r="V49" s="99"/>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row>
    <row r="50" spans="1:75" s="18" customFormat="1" ht="15" thickTop="1" x14ac:dyDescent="0.15">
      <c r="A50" s="99"/>
      <c r="B50" s="389" t="s">
        <v>348</v>
      </c>
      <c r="C50" s="389"/>
      <c r="D50" s="389"/>
      <c r="E50" s="389"/>
      <c r="F50" s="389"/>
      <c r="G50" s="99"/>
      <c r="H50" s="99"/>
      <c r="I50" s="99"/>
      <c r="J50" s="99"/>
      <c r="K50" s="99"/>
      <c r="L50" s="99"/>
      <c r="M50" s="99"/>
      <c r="N50" s="99"/>
      <c r="O50" s="99"/>
      <c r="P50" s="99"/>
      <c r="Q50" s="99"/>
      <c r="R50" s="99"/>
      <c r="S50" s="99"/>
      <c r="T50" s="99"/>
      <c r="U50" s="99"/>
      <c r="V50" s="99"/>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row>
    <row r="51" spans="1:75" s="18" customFormat="1" x14ac:dyDescent="0.15">
      <c r="A51" s="99"/>
      <c r="B51" s="389"/>
      <c r="C51" s="389"/>
      <c r="D51" s="389"/>
      <c r="E51" s="389"/>
      <c r="F51" s="389"/>
      <c r="G51" s="99"/>
      <c r="H51" s="99"/>
      <c r="I51" s="99"/>
      <c r="J51" s="99"/>
      <c r="K51" s="99"/>
      <c r="L51" s="99"/>
      <c r="M51" s="99"/>
      <c r="N51" s="99"/>
      <c r="O51" s="99"/>
      <c r="P51" s="99"/>
      <c r="Q51" s="99"/>
      <c r="R51" s="99"/>
      <c r="S51" s="99"/>
      <c r="T51" s="99"/>
      <c r="U51" s="99"/>
      <c r="V51" s="99"/>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row>
    <row r="52" spans="1:75" s="18" customFormat="1" x14ac:dyDescent="0.15">
      <c r="A52" s="99"/>
      <c r="B52" s="389"/>
      <c r="C52" s="389"/>
      <c r="D52" s="389"/>
      <c r="E52" s="389"/>
      <c r="F52" s="389"/>
      <c r="G52" s="99"/>
      <c r="H52" s="99"/>
      <c r="I52" s="99"/>
      <c r="J52" s="99"/>
      <c r="K52" s="99"/>
      <c r="L52" s="99"/>
      <c r="M52" s="99"/>
      <c r="N52" s="99"/>
      <c r="O52" s="99"/>
      <c r="P52" s="99"/>
      <c r="Q52" s="99"/>
      <c r="R52" s="99"/>
      <c r="S52" s="99"/>
      <c r="T52" s="99"/>
      <c r="U52" s="99"/>
      <c r="V52" s="99"/>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row>
    <row r="53" spans="1:75" s="18" customFormat="1" x14ac:dyDescent="0.15">
      <c r="A53" s="99"/>
      <c r="B53" s="389"/>
      <c r="C53" s="389"/>
      <c r="D53" s="389"/>
      <c r="E53" s="389"/>
      <c r="F53" s="389"/>
      <c r="G53" s="99"/>
      <c r="H53" s="99"/>
      <c r="I53" s="99"/>
      <c r="J53" s="99"/>
      <c r="K53" s="99"/>
      <c r="L53" s="99"/>
      <c r="M53" s="99"/>
      <c r="N53" s="99"/>
      <c r="O53" s="99"/>
      <c r="P53" s="99"/>
      <c r="Q53" s="99"/>
      <c r="R53" s="99"/>
      <c r="S53" s="99"/>
      <c r="T53" s="99"/>
      <c r="U53" s="99"/>
      <c r="V53" s="99"/>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row>
    <row r="54" spans="1:75" s="18" customFormat="1" x14ac:dyDescent="0.15">
      <c r="A54" s="99"/>
      <c r="B54" s="202"/>
      <c r="C54" s="202"/>
      <c r="D54" s="202"/>
      <c r="E54" s="202"/>
      <c r="F54" s="202"/>
      <c r="G54" s="99"/>
      <c r="H54" s="99"/>
      <c r="I54" s="99"/>
      <c r="J54" s="99"/>
      <c r="K54" s="99"/>
      <c r="L54" s="99"/>
      <c r="M54" s="99"/>
      <c r="N54" s="99"/>
      <c r="O54" s="99"/>
      <c r="P54" s="99"/>
      <c r="Q54" s="99"/>
      <c r="R54" s="99"/>
      <c r="S54" s="99"/>
      <c r="T54" s="99"/>
      <c r="U54" s="99"/>
      <c r="V54" s="99"/>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row>
    <row r="55" spans="1:75" s="18" customFormat="1" x14ac:dyDescent="0.15">
      <c r="A55" s="99"/>
      <c r="B55" s="99"/>
      <c r="C55" s="99"/>
      <c r="D55" s="99"/>
      <c r="E55" s="99"/>
      <c r="F55" s="99"/>
      <c r="G55" s="99"/>
      <c r="H55" s="99"/>
      <c r="I55" s="99"/>
      <c r="J55" s="99"/>
      <c r="K55" s="99"/>
      <c r="L55" s="99"/>
      <c r="M55" s="99"/>
      <c r="N55" s="99"/>
      <c r="O55" s="99"/>
      <c r="P55" s="99"/>
      <c r="Q55" s="99"/>
      <c r="R55" s="99"/>
      <c r="S55" s="99"/>
      <c r="T55" s="99"/>
      <c r="U55" s="99"/>
      <c r="V55" s="99"/>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row>
    <row r="56" spans="1:75" s="18" customFormat="1" x14ac:dyDescent="0.15">
      <c r="A56" s="163" t="s">
        <v>346</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row>
    <row r="57" spans="1:75" s="18" customFormat="1" ht="13" x14ac:dyDescent="0.15">
      <c r="AB57" s="21"/>
      <c r="AC57" s="21"/>
      <c r="AD57" s="21"/>
      <c r="AE57" s="21"/>
      <c r="AF57" s="21"/>
      <c r="AG57" s="21"/>
      <c r="AH57" s="21"/>
      <c r="AI57" s="21"/>
      <c r="AJ57" s="21"/>
      <c r="AK57" s="21"/>
      <c r="AL57" s="21"/>
      <c r="AM57" s="21"/>
      <c r="AN57" s="21"/>
      <c r="AO57" s="21"/>
    </row>
    <row r="58" spans="1:75" s="18" customFormat="1" x14ac:dyDescent="0.15">
      <c r="A58" s="37" t="s">
        <v>345</v>
      </c>
      <c r="B58" s="1"/>
      <c r="C58" s="1"/>
      <c r="D58" s="1"/>
      <c r="AB58" s="21"/>
      <c r="AC58" s="21"/>
      <c r="AD58" s="21"/>
      <c r="AE58" s="21"/>
      <c r="AF58" s="21"/>
      <c r="AG58" s="21"/>
      <c r="AH58" s="21"/>
      <c r="AI58" s="21"/>
      <c r="AJ58" s="21"/>
      <c r="AK58" s="21"/>
      <c r="AL58" s="21"/>
      <c r="AM58" s="21"/>
      <c r="AN58" s="21"/>
      <c r="AO58" s="21"/>
    </row>
    <row r="59" spans="1:75" s="18" customFormat="1" ht="12" customHeight="1" x14ac:dyDescent="0.15">
      <c r="A59" s="1"/>
      <c r="B59" s="1"/>
      <c r="C59" s="1"/>
      <c r="D59" s="1"/>
      <c r="AB59" s="21"/>
      <c r="AC59" s="21"/>
      <c r="AD59" s="21"/>
      <c r="AE59" s="21"/>
      <c r="AF59" s="21"/>
      <c r="AG59" s="21"/>
      <c r="AH59" s="21"/>
      <c r="AI59" s="21"/>
      <c r="AJ59" s="21"/>
      <c r="AK59" s="21"/>
      <c r="AL59" s="21"/>
      <c r="AM59" s="21"/>
      <c r="AN59" s="21"/>
      <c r="AO59" s="21"/>
    </row>
    <row r="60" spans="1:75" s="18" customFormat="1" ht="27" customHeight="1" x14ac:dyDescent="0.15">
      <c r="A60" s="36"/>
      <c r="B60" s="123" t="s">
        <v>236</v>
      </c>
      <c r="C60" s="123" t="s">
        <v>297</v>
      </c>
      <c r="D60" s="124" t="s">
        <v>302</v>
      </c>
      <c r="E60" s="124" t="s">
        <v>275</v>
      </c>
      <c r="F60" s="124" t="s">
        <v>298</v>
      </c>
      <c r="G60" s="36"/>
      <c r="H60" s="36"/>
      <c r="L60" s="130"/>
      <c r="M60" s="130"/>
      <c r="N60" s="130"/>
      <c r="O60" s="130"/>
      <c r="P60" s="130"/>
      <c r="Q60" s="130"/>
      <c r="R60" s="130"/>
      <c r="S60" s="130"/>
      <c r="T60" s="130"/>
      <c r="U60" s="130"/>
      <c r="V60" s="130"/>
      <c r="W60" s="130"/>
      <c r="X60" s="130"/>
      <c r="Y60" s="130"/>
      <c r="Z60" s="130"/>
      <c r="AA60" s="130"/>
      <c r="AB60" s="130"/>
      <c r="AC60" s="130"/>
      <c r="AD60" s="130"/>
      <c r="AE60" s="130"/>
      <c r="AF60" s="21"/>
      <c r="AG60" s="21"/>
      <c r="AH60" s="21"/>
      <c r="AI60" s="21"/>
      <c r="AJ60" s="21"/>
      <c r="AK60" s="21"/>
      <c r="AL60" s="21"/>
      <c r="AM60" s="21"/>
      <c r="AN60" s="21"/>
    </row>
    <row r="61" spans="1:75" s="18" customFormat="1" ht="13" x14ac:dyDescent="0.15">
      <c r="A61" s="204" t="s">
        <v>201</v>
      </c>
      <c r="B61" s="125">
        <f>SUM(F72:F240)</f>
        <v>2337000190</v>
      </c>
      <c r="C61" s="125">
        <f>SUM(K72:K240)</f>
        <v>2052327513</v>
      </c>
      <c r="D61" s="125">
        <f>SUM(G72:G240)</f>
        <v>2378034658</v>
      </c>
      <c r="E61" s="125">
        <f>SUM(Data!AI15:AI183) + SUM(Data!AK15:AK183)</f>
        <v>2016728681.9910004</v>
      </c>
      <c r="F61" s="125">
        <f>SUM(Data!AO15:AO183)</f>
        <v>2054281366</v>
      </c>
      <c r="G61" s="36"/>
      <c r="H61" s="36"/>
      <c r="L61" s="20"/>
      <c r="M61" s="131"/>
      <c r="N61" s="131"/>
      <c r="O61" s="131"/>
      <c r="P61" s="131"/>
      <c r="Q61" s="131"/>
      <c r="R61" s="131"/>
      <c r="S61" s="131"/>
      <c r="T61" s="131"/>
      <c r="U61" s="131"/>
      <c r="V61" s="131"/>
      <c r="W61" s="131"/>
      <c r="X61" s="131"/>
      <c r="Y61" s="131"/>
      <c r="Z61" s="131"/>
      <c r="AA61" s="131"/>
      <c r="AB61" s="131"/>
      <c r="AC61" s="131"/>
      <c r="AD61" s="131"/>
      <c r="AE61" s="131"/>
      <c r="AF61" s="21"/>
      <c r="AG61" s="21"/>
      <c r="AH61" s="21"/>
      <c r="AI61" s="21"/>
      <c r="AJ61" s="21"/>
      <c r="AK61" s="21"/>
      <c r="AL61" s="21"/>
      <c r="AM61" s="21"/>
      <c r="AN61" s="21"/>
    </row>
    <row r="62" spans="1:75" s="18" customFormat="1" ht="13" x14ac:dyDescent="0.15">
      <c r="A62" s="204" t="s">
        <v>296</v>
      </c>
      <c r="B62" s="125">
        <f>B61-$E$61</f>
        <v>320271508.00899959</v>
      </c>
      <c r="C62" s="125">
        <f>C61-$E$61</f>
        <v>35598831.008999586</v>
      </c>
      <c r="D62" s="125">
        <f>D61-$E$61</f>
        <v>361305976.00899959</v>
      </c>
      <c r="E62" s="125">
        <f>E61-$E$61</f>
        <v>0</v>
      </c>
      <c r="F62" s="125">
        <f>F61-$E$61</f>
        <v>37552684.008999586</v>
      </c>
      <c r="G62" s="36"/>
      <c r="H62" s="36"/>
      <c r="L62" s="20"/>
      <c r="M62" s="12"/>
      <c r="AA62" s="21"/>
      <c r="AB62" s="21"/>
      <c r="AC62" s="21"/>
      <c r="AD62" s="21"/>
      <c r="AE62" s="21"/>
      <c r="AF62" s="21"/>
      <c r="AG62" s="21"/>
      <c r="AH62" s="21"/>
      <c r="AI62" s="21"/>
      <c r="AJ62" s="21"/>
      <c r="AK62" s="21"/>
      <c r="AL62" s="21"/>
      <c r="AM62" s="21"/>
      <c r="AN62" s="21"/>
    </row>
    <row r="63" spans="1:75" s="18" customFormat="1" ht="13" x14ac:dyDescent="0.15">
      <c r="F63" s="20"/>
      <c r="I63" s="36"/>
      <c r="M63" s="20"/>
      <c r="N63" s="12"/>
      <c r="AB63" s="21"/>
      <c r="AC63" s="21"/>
      <c r="AD63" s="21"/>
      <c r="AE63" s="21"/>
      <c r="AF63" s="21"/>
      <c r="AG63" s="21"/>
      <c r="AH63" s="21"/>
      <c r="AI63" s="21"/>
      <c r="AJ63" s="21"/>
      <c r="AK63" s="21"/>
      <c r="AL63" s="21"/>
      <c r="AM63" s="21"/>
      <c r="AN63" s="21"/>
      <c r="AO63" s="21"/>
    </row>
    <row r="64" spans="1:75" s="18" customFormat="1" ht="13" x14ac:dyDescent="0.15"/>
    <row r="65" spans="1:88" s="18" customFormat="1" ht="13" x14ac:dyDescent="0.15">
      <c r="A65" s="46" t="s">
        <v>188</v>
      </c>
      <c r="B65" s="24">
        <v>1</v>
      </c>
      <c r="C65" s="24">
        <f>B65+1</f>
        <v>2</v>
      </c>
      <c r="D65" s="24">
        <f t="shared" ref="D65:F65" si="3">C65+1</f>
        <v>3</v>
      </c>
      <c r="E65" s="24">
        <f t="shared" si="3"/>
        <v>4</v>
      </c>
      <c r="F65" s="24">
        <f t="shared" si="3"/>
        <v>5</v>
      </c>
      <c r="G65" s="24">
        <f>F65+1</f>
        <v>6</v>
      </c>
      <c r="H65" s="24">
        <f t="shared" ref="H65:AT65" si="4">G65+1</f>
        <v>7</v>
      </c>
      <c r="I65" s="24">
        <f t="shared" si="4"/>
        <v>8</v>
      </c>
      <c r="J65" s="24">
        <f t="shared" si="4"/>
        <v>9</v>
      </c>
      <c r="K65" s="24">
        <f t="shared" si="4"/>
        <v>10</v>
      </c>
      <c r="L65" s="24">
        <f t="shared" si="4"/>
        <v>11</v>
      </c>
      <c r="M65" s="24">
        <f t="shared" si="4"/>
        <v>12</v>
      </c>
      <c r="N65" s="24">
        <f t="shared" si="4"/>
        <v>13</v>
      </c>
      <c r="O65" s="24">
        <f t="shared" si="4"/>
        <v>14</v>
      </c>
      <c r="P65" s="24">
        <f t="shared" si="4"/>
        <v>15</v>
      </c>
      <c r="Q65" s="24">
        <f t="shared" si="4"/>
        <v>16</v>
      </c>
      <c r="R65" s="24">
        <f t="shared" si="4"/>
        <v>17</v>
      </c>
      <c r="S65" s="24">
        <f t="shared" si="4"/>
        <v>18</v>
      </c>
      <c r="T65" s="24">
        <f t="shared" si="4"/>
        <v>19</v>
      </c>
      <c r="U65" s="24">
        <f t="shared" si="4"/>
        <v>20</v>
      </c>
      <c r="V65" s="24">
        <f t="shared" si="4"/>
        <v>21</v>
      </c>
      <c r="W65" s="24">
        <f t="shared" si="4"/>
        <v>22</v>
      </c>
      <c r="X65" s="24">
        <f t="shared" si="4"/>
        <v>23</v>
      </c>
      <c r="Y65" s="24">
        <f t="shared" si="4"/>
        <v>24</v>
      </c>
      <c r="Z65" s="24">
        <f t="shared" si="4"/>
        <v>25</v>
      </c>
      <c r="AA65" s="24">
        <f t="shared" si="4"/>
        <v>26</v>
      </c>
      <c r="AB65" s="24">
        <f>AA65+1</f>
        <v>27</v>
      </c>
      <c r="AC65" s="24">
        <f t="shared" si="4"/>
        <v>28</v>
      </c>
      <c r="AD65" s="24">
        <f t="shared" si="4"/>
        <v>29</v>
      </c>
      <c r="AE65" s="24">
        <f t="shared" si="4"/>
        <v>30</v>
      </c>
      <c r="AF65" s="24">
        <f t="shared" si="4"/>
        <v>31</v>
      </c>
      <c r="AG65" s="24">
        <f t="shared" si="4"/>
        <v>32</v>
      </c>
      <c r="AH65" s="24">
        <f t="shared" si="4"/>
        <v>33</v>
      </c>
      <c r="AI65" s="24">
        <f t="shared" si="4"/>
        <v>34</v>
      </c>
      <c r="AJ65" s="24">
        <f t="shared" si="4"/>
        <v>35</v>
      </c>
      <c r="AK65" s="24">
        <f t="shared" si="4"/>
        <v>36</v>
      </c>
      <c r="AL65" s="24">
        <f t="shared" si="4"/>
        <v>37</v>
      </c>
      <c r="AM65" s="24">
        <f t="shared" si="4"/>
        <v>38</v>
      </c>
      <c r="AN65" s="24">
        <f t="shared" si="4"/>
        <v>39</v>
      </c>
      <c r="AO65" s="24">
        <f t="shared" si="4"/>
        <v>40</v>
      </c>
      <c r="AP65" s="24">
        <f t="shared" si="4"/>
        <v>41</v>
      </c>
      <c r="AQ65" s="24">
        <f t="shared" si="4"/>
        <v>42</v>
      </c>
      <c r="AR65" s="24">
        <f t="shared" si="4"/>
        <v>43</v>
      </c>
      <c r="AS65" s="24">
        <f t="shared" si="4"/>
        <v>44</v>
      </c>
      <c r="AT65" s="24">
        <f t="shared" si="4"/>
        <v>45</v>
      </c>
      <c r="BX65" s="93"/>
      <c r="BY65" s="93"/>
      <c r="BZ65" s="93"/>
      <c r="CA65" s="93"/>
      <c r="CB65" s="93"/>
    </row>
    <row r="66" spans="1:88" s="18" customFormat="1" ht="13" x14ac:dyDescent="0.15">
      <c r="A66" s="25"/>
      <c r="B66" s="26"/>
      <c r="C66" s="26"/>
      <c r="D66" s="26"/>
      <c r="E66" s="26"/>
      <c r="F66" s="26"/>
      <c r="BX66" s="93"/>
      <c r="BY66" s="93"/>
      <c r="BZ66" s="93"/>
      <c r="CA66" s="93"/>
      <c r="CB66" s="93"/>
    </row>
    <row r="67" spans="1:88" s="18" customFormat="1" ht="84" x14ac:dyDescent="0.15">
      <c r="A67" s="45" t="s">
        <v>189</v>
      </c>
      <c r="B67" s="27" t="s">
        <v>292</v>
      </c>
      <c r="C67" s="27" t="s">
        <v>316</v>
      </c>
      <c r="D67" s="33" t="s">
        <v>203</v>
      </c>
      <c r="E67" s="27" t="s">
        <v>291</v>
      </c>
      <c r="F67" s="27" t="s">
        <v>289</v>
      </c>
      <c r="G67" s="27" t="s">
        <v>317</v>
      </c>
      <c r="H67" s="27" t="s">
        <v>314</v>
      </c>
      <c r="I67" s="27" t="s">
        <v>318</v>
      </c>
      <c r="J67" s="27" t="s">
        <v>227</v>
      </c>
      <c r="K67" s="27" t="s">
        <v>320</v>
      </c>
      <c r="L67" s="27" t="s">
        <v>319</v>
      </c>
      <c r="M67" s="27" t="s">
        <v>319</v>
      </c>
      <c r="N67" s="27" t="s">
        <v>319</v>
      </c>
      <c r="O67" s="27" t="s">
        <v>319</v>
      </c>
      <c r="P67" s="27" t="s">
        <v>319</v>
      </c>
      <c r="Q67" s="27" t="s">
        <v>319</v>
      </c>
      <c r="R67" s="27" t="s">
        <v>319</v>
      </c>
      <c r="S67" s="27" t="s">
        <v>319</v>
      </c>
      <c r="T67" s="27" t="s">
        <v>237</v>
      </c>
      <c r="U67" s="27" t="s">
        <v>237</v>
      </c>
      <c r="V67" s="27" t="s">
        <v>237</v>
      </c>
      <c r="W67" s="27" t="s">
        <v>237</v>
      </c>
      <c r="X67" s="27" t="s">
        <v>237</v>
      </c>
      <c r="Y67" s="27" t="s">
        <v>237</v>
      </c>
      <c r="Z67" s="27" t="s">
        <v>237</v>
      </c>
      <c r="AA67" s="27" t="s">
        <v>237</v>
      </c>
      <c r="AB67" s="27" t="s">
        <v>237</v>
      </c>
      <c r="AC67" s="27" t="s">
        <v>321</v>
      </c>
      <c r="AD67" s="27" t="s">
        <v>322</v>
      </c>
      <c r="AE67" s="27" t="s">
        <v>323</v>
      </c>
      <c r="AF67" s="27" t="s">
        <v>324</v>
      </c>
      <c r="AG67" s="27" t="s">
        <v>325</v>
      </c>
      <c r="AH67" s="27" t="s">
        <v>326</v>
      </c>
      <c r="AI67" s="27" t="s">
        <v>327</v>
      </c>
      <c r="AJ67" s="27" t="s">
        <v>328</v>
      </c>
      <c r="AK67" s="27" t="s">
        <v>329</v>
      </c>
      <c r="AL67" s="27" t="s">
        <v>330</v>
      </c>
      <c r="AM67" s="27" t="s">
        <v>331</v>
      </c>
      <c r="AN67" s="27" t="s">
        <v>332</v>
      </c>
      <c r="AO67" s="27" t="s">
        <v>333</v>
      </c>
      <c r="AP67" s="27" t="s">
        <v>334</v>
      </c>
      <c r="AQ67" s="27" t="s">
        <v>335</v>
      </c>
      <c r="AR67" s="27" t="s">
        <v>336</v>
      </c>
      <c r="AS67" s="27" t="s">
        <v>337</v>
      </c>
      <c r="AT67" s="27" t="s">
        <v>338</v>
      </c>
      <c r="BX67" s="93"/>
      <c r="BY67" s="93"/>
      <c r="BZ67" s="93"/>
      <c r="CA67" s="93"/>
      <c r="CB67" s="93"/>
    </row>
    <row r="68" spans="1:88" s="18" customFormat="1" ht="13" x14ac:dyDescent="0.15">
      <c r="B68" s="12"/>
      <c r="C68" s="12"/>
      <c r="D68" s="12"/>
      <c r="E68" s="28"/>
      <c r="F68" s="12"/>
      <c r="BX68" s="93"/>
      <c r="BY68" s="93"/>
      <c r="BZ68" s="93"/>
      <c r="CA68" s="93"/>
      <c r="CB68" s="93"/>
    </row>
    <row r="69" spans="1:88" s="18" customFormat="1" ht="13" x14ac:dyDescent="0.15">
      <c r="B69" s="12"/>
      <c r="C69" s="12"/>
      <c r="D69" s="12"/>
      <c r="E69" s="28"/>
      <c r="F69" s="12"/>
      <c r="K69" s="102" t="s">
        <v>238</v>
      </c>
      <c r="L69" s="103"/>
      <c r="M69" s="103"/>
      <c r="N69" s="103"/>
      <c r="O69" s="103"/>
      <c r="P69" s="103"/>
      <c r="Q69" s="103"/>
      <c r="R69" s="103"/>
      <c r="S69" s="103"/>
      <c r="T69" s="102" t="s">
        <v>308</v>
      </c>
      <c r="U69" s="103"/>
      <c r="V69" s="103"/>
      <c r="W69" s="103"/>
      <c r="X69" s="103"/>
      <c r="Y69" s="103"/>
      <c r="Z69" s="103"/>
      <c r="AA69" s="103"/>
      <c r="AB69" s="108"/>
      <c r="AC69" s="102" t="s">
        <v>315</v>
      </c>
      <c r="AD69" s="108"/>
      <c r="AE69" s="103"/>
      <c r="AF69" s="103"/>
      <c r="AG69" s="103"/>
      <c r="AH69" s="103"/>
      <c r="AI69" s="103"/>
      <c r="AJ69" s="103"/>
      <c r="AK69" s="108"/>
      <c r="AL69" s="102" t="s">
        <v>313</v>
      </c>
      <c r="AM69" s="103"/>
      <c r="AN69" s="103"/>
      <c r="AO69" s="103"/>
      <c r="AP69" s="103"/>
      <c r="AQ69" s="103"/>
      <c r="AR69" s="103"/>
      <c r="AS69" s="103"/>
      <c r="AT69" s="108"/>
      <c r="BX69" s="93"/>
      <c r="BY69" s="93"/>
      <c r="BZ69" s="93"/>
      <c r="CA69" s="93"/>
      <c r="CB69" s="93"/>
    </row>
    <row r="70" spans="1:88" s="31" customFormat="1" ht="100.5" customHeight="1" x14ac:dyDescent="0.15">
      <c r="A70" s="13" t="s">
        <v>195</v>
      </c>
      <c r="B70" s="14" t="s">
        <v>0</v>
      </c>
      <c r="C70" s="14" t="s">
        <v>273</v>
      </c>
      <c r="D70" s="14" t="s">
        <v>199</v>
      </c>
      <c r="E70" s="14" t="s">
        <v>213</v>
      </c>
      <c r="F70" s="15" t="s">
        <v>274</v>
      </c>
      <c r="G70" s="14" t="s">
        <v>306</v>
      </c>
      <c r="H70" s="14" t="s">
        <v>307</v>
      </c>
      <c r="I70" s="14" t="s">
        <v>312</v>
      </c>
      <c r="J70" s="14" t="s">
        <v>313</v>
      </c>
      <c r="K70" s="15" t="s">
        <v>239</v>
      </c>
      <c r="L70" s="15" t="s">
        <v>240</v>
      </c>
      <c r="M70" s="15" t="s">
        <v>241</v>
      </c>
      <c r="N70" s="15" t="s">
        <v>242</v>
      </c>
      <c r="O70" s="15" t="s">
        <v>243</v>
      </c>
      <c r="P70" s="15" t="s">
        <v>244</v>
      </c>
      <c r="Q70" s="15" t="s">
        <v>245</v>
      </c>
      <c r="R70" s="15" t="s">
        <v>246</v>
      </c>
      <c r="S70" s="15" t="s">
        <v>247</v>
      </c>
      <c r="T70" s="13" t="s">
        <v>239</v>
      </c>
      <c r="U70" s="13" t="s">
        <v>240</v>
      </c>
      <c r="V70" s="13" t="s">
        <v>241</v>
      </c>
      <c r="W70" s="13" t="s">
        <v>242</v>
      </c>
      <c r="X70" s="13" t="s">
        <v>243</v>
      </c>
      <c r="Y70" s="13" t="s">
        <v>244</v>
      </c>
      <c r="Z70" s="13" t="s">
        <v>245</v>
      </c>
      <c r="AA70" s="13" t="s">
        <v>246</v>
      </c>
      <c r="AB70" s="13" t="s">
        <v>247</v>
      </c>
      <c r="AC70" s="14" t="s">
        <v>239</v>
      </c>
      <c r="AD70" s="14" t="s">
        <v>240</v>
      </c>
      <c r="AE70" s="14" t="s">
        <v>241</v>
      </c>
      <c r="AF70" s="14" t="s">
        <v>242</v>
      </c>
      <c r="AG70" s="14" t="s">
        <v>243</v>
      </c>
      <c r="AH70" s="14" t="s">
        <v>244</v>
      </c>
      <c r="AI70" s="14" t="s">
        <v>245</v>
      </c>
      <c r="AJ70" s="14" t="s">
        <v>246</v>
      </c>
      <c r="AK70" s="14" t="s">
        <v>247</v>
      </c>
      <c r="AL70" s="14" t="s">
        <v>239</v>
      </c>
      <c r="AM70" s="14" t="s">
        <v>240</v>
      </c>
      <c r="AN70" s="14" t="s">
        <v>241</v>
      </c>
      <c r="AO70" s="14" t="s">
        <v>242</v>
      </c>
      <c r="AP70" s="14" t="s">
        <v>243</v>
      </c>
      <c r="AQ70" s="14" t="s">
        <v>244</v>
      </c>
      <c r="AR70" s="14" t="s">
        <v>245</v>
      </c>
      <c r="AS70" s="14" t="s">
        <v>246</v>
      </c>
      <c r="AT70" s="14" t="s">
        <v>247</v>
      </c>
      <c r="BX70" s="93"/>
      <c r="BY70" s="93"/>
      <c r="BZ70" s="93"/>
      <c r="CA70" s="93"/>
      <c r="CB70" s="93"/>
      <c r="CG70" s="18"/>
      <c r="CH70" s="18"/>
      <c r="CI70" s="18"/>
      <c r="CJ70" s="18"/>
    </row>
    <row r="71" spans="1:88" s="18" customFormat="1" ht="13" x14ac:dyDescent="0.15">
      <c r="BX71" s="93"/>
      <c r="BY71" s="93"/>
      <c r="BZ71" s="93"/>
      <c r="CA71" s="93"/>
      <c r="CB71" s="93"/>
    </row>
    <row r="72" spans="1:88" s="18" customFormat="1" ht="13" x14ac:dyDescent="0.15">
      <c r="A72" s="29" t="s">
        <v>5</v>
      </c>
      <c r="B72" s="30">
        <f>IF(Data!D15=1, MAX(Data!AA15, $E$26) + INDEX(Duplicate!$E$39:$E$43, MATCH( Data!AD15, Duplicate!$B$39:$B$43, 0), 0), MAX(Data!AA15, $E$27) +  INDEX(Duplicate!$E$39:$E$43, MATCH( Data!AD15, Duplicate!$B$39:$B$43, 0), 0))</f>
        <v>0.31440699999999999</v>
      </c>
      <c r="C72" s="128">
        <f>ROUND(Data!R15/13*100, 2)</f>
        <v>46.15</v>
      </c>
      <c r="D72" s="141">
        <f>ROUND(Data!Q15*C72, 0)</f>
        <v>10799</v>
      </c>
      <c r="E72" s="142">
        <f>ROUND($E$22*Data!W15*B72, 0)</f>
        <v>1504929</v>
      </c>
      <c r="F72" s="143">
        <f>IF(E72=0, 0,IF($E$31="Yes", IF(Data!D15=1, MAX(Duplicate!D72+Duplicate!E72, Data!AE15), Duplicate!D72+Duplicate!E72), Duplicate!D72+Duplicate!E72))</f>
        <v>1515728</v>
      </c>
      <c r="G72" s="143">
        <v>1522797</v>
      </c>
      <c r="H72" s="129">
        <f>F72-Data!AL15</f>
        <v>-489054</v>
      </c>
      <c r="I72" s="127">
        <f>((F72)/(Data!AL15)) - 1</f>
        <v>-0.24394373054027818</v>
      </c>
      <c r="J72" s="127">
        <f t="shared" ref="J72:J135" si="5">IFERROR(F72/G72-1, 0)</f>
        <v>-4.6421157908769217E-3</v>
      </c>
      <c r="K72" s="143">
        <f>ROUND(IF($E$31="Yes",IF(Data!$AG15&gt;0,(Duplicate!$K$23*Data!$AG15)+Data!$AI15,(Duplicate!$K$24*Data!$AG15)+Data!$AI15),IF(Data!$AF15&gt;0,(Duplicate!$K$23*Data!$AF15)+Data!$AI15,(Duplicate!$K$24*Data!$AF15)+Data!$AI15)),0)</f>
        <v>2075203</v>
      </c>
      <c r="L72" s="143">
        <f>ROUND(IF($E$31="Yes",IF(Data!$AG15&gt;0,(Duplicate!$L$23*Data!$AG15)+K72,(Duplicate!$L$24*Data!$AG15)+K72),IF(Data!$AF15&gt;0,(Duplicate!$L$23*Data!$AF15)+K72,(Duplicate!$L$24*Data!$AF15)+K72)),0)</f>
        <v>2018071</v>
      </c>
      <c r="M72" s="143">
        <f>ROUND(IF($E$31="Yes",IF(Data!$AG15&gt;0,(Duplicate!$M$23*Data!$AG15)+L72,(Duplicate!$M$24*Data!$AG15)+L72),IF(Data!$AF15&gt;0,(Duplicate!$M$23*Data!$AF15)+L72,(Duplicate!$M$24*Data!$AF15)+L72)),0)</f>
        <v>1960939</v>
      </c>
      <c r="N72" s="143">
        <f>ROUND(IF($E$31="Yes",IF(Data!$AG15&gt;0,(Duplicate!$N$23*Data!$AG15)+M72,(Duplicate!$N$24*Data!$AG15)+M72),IF(Data!$AF15&gt;0,(Duplicate!$N$23*Data!$AF15)+M72,(Duplicate!$N$24*Data!$AF15)+M72)),0)</f>
        <v>1903807</v>
      </c>
      <c r="O72" s="143">
        <f>ROUND(IF($E$31="Yes",IF(Data!$AG15&gt;0,(Duplicate!$O$23*Data!$AG15)+N72,(Duplicate!$O$24*Data!$AG15)+N72),IF(Data!$AF15&gt;0,(Duplicate!$O$23*Data!$AF15)+N72,(Duplicate!$O$24*Data!$AF15)+N72)),0)</f>
        <v>1846675</v>
      </c>
      <c r="P72" s="143">
        <f>ROUND(IF($E$31="Yes",IF(Data!$AG15&gt;0,(Duplicate!$P$23*Data!$AG15)+O72,(Duplicate!$P$24*Data!$AG15)+O72),IF(Data!$AF15&gt;0,(Duplicate!$P$23*Data!$AF15)+O72,(Duplicate!$P$24*Data!$AF15)+O72)),0)</f>
        <v>1789543</v>
      </c>
      <c r="Q72" s="143">
        <f>ROUND(IF($E$31="Yes",IF(Data!$AG15&gt;0,(Duplicate!$Q$23*Data!$AG15)+P72,(Duplicate!$Q$24*Data!$AG15)+P72),IF(Data!$AF15&gt;0,(Duplicate!$Q$23*Data!$AF15)+P72,(Duplicate!$Q$24*Data!$AF15)+P72)),0)</f>
        <v>1732411</v>
      </c>
      <c r="R72" s="143">
        <f>ROUND(IF($E$31="Yes",IF(Data!$AG15&gt;0,(Duplicate!$R$23*Data!$AG15)+Q72,(Duplicate!$R$24*Data!$AG15)+Q72),IF(Data!$AF15&gt;0,(Duplicate!$R$23*Data!$AF15)+Q72,(Duplicate!$R$24*Data!$AF15)+Q72)),0)</f>
        <v>1675279</v>
      </c>
      <c r="S72" s="143">
        <f>ROUND(IF($E$31="Yes",IF(Data!$AG15&gt;0,(Duplicate!$S$23*Data!$AG15)+R72,(Duplicate!$S$24*Data!$AG15)+R72),IF(Data!$AF15&gt;0,(Duplicate!$S$23*Data!$AF15)+R72,(Duplicate!$S$24*Data!$AF15)+R72)),0)</f>
        <v>1618147</v>
      </c>
      <c r="T72" s="143">
        <v>2064996</v>
      </c>
      <c r="U72" s="143">
        <v>1997657</v>
      </c>
      <c r="V72" s="143">
        <v>1930318</v>
      </c>
      <c r="W72" s="143">
        <v>1862979</v>
      </c>
      <c r="X72" s="143">
        <v>1795640</v>
      </c>
      <c r="Y72" s="143">
        <v>1728301</v>
      </c>
      <c r="Z72" s="143">
        <v>1660962</v>
      </c>
      <c r="AA72" s="143">
        <v>1593623</v>
      </c>
      <c r="AB72" s="143">
        <v>1526284</v>
      </c>
      <c r="AC72" s="129">
        <f t="shared" ref="AC72:AC103" si="6">K72-T72</f>
        <v>10207</v>
      </c>
      <c r="AD72" s="129">
        <f t="shared" ref="AD72:AD103" si="7">L72-U72</f>
        <v>20414</v>
      </c>
      <c r="AE72" s="129">
        <f t="shared" ref="AE72:AE103" si="8">M72-V72</f>
        <v>30621</v>
      </c>
      <c r="AF72" s="129">
        <f t="shared" ref="AF72:AF103" si="9">N72-W72</f>
        <v>40828</v>
      </c>
      <c r="AG72" s="129">
        <f t="shared" ref="AG72:AG103" si="10">O72-X72</f>
        <v>51035</v>
      </c>
      <c r="AH72" s="129">
        <f t="shared" ref="AH72:AH103" si="11">P72-Y72</f>
        <v>61242</v>
      </c>
      <c r="AI72" s="129">
        <f t="shared" ref="AI72:AI103" si="12">Q72-Z72</f>
        <v>71449</v>
      </c>
      <c r="AJ72" s="129">
        <f t="shared" ref="AJ72:AJ103" si="13">R72-AA72</f>
        <v>81656</v>
      </c>
      <c r="AK72" s="129">
        <f t="shared" ref="AK72:AK103" si="14">S72-AB72</f>
        <v>91863</v>
      </c>
      <c r="AL72" s="127">
        <f t="shared" ref="AL72:AL103" si="15">IFERROR(K72/T72-1, 0)</f>
        <v>4.9428667174173935E-3</v>
      </c>
      <c r="AM72" s="127">
        <f t="shared" ref="AM72:AM103" si="16">IFERROR(L72/U72-1, 0)</f>
        <v>1.0218971525141729E-2</v>
      </c>
      <c r="AN72" s="127">
        <f t="shared" ref="AN72:AN103" si="17">IFERROR(M72/V72-1, 0)</f>
        <v>1.5863189381231546E-2</v>
      </c>
      <c r="AO72" s="127">
        <f t="shared" ref="AO72:AO103" si="18">IFERROR(N72/W72-1, 0)</f>
        <v>2.1915437586789821E-2</v>
      </c>
      <c r="AP72" s="127">
        <f t="shared" ref="AP72:AP103" si="19">IFERROR(O72/X72-1, 0)</f>
        <v>2.8421621260386276E-2</v>
      </c>
      <c r="AQ72" s="127">
        <f t="shared" ref="AQ72:AQ103" si="20">IFERROR(P72/Y72-1, 0)</f>
        <v>3.5434799840999842E-2</v>
      </c>
      <c r="AR72" s="127">
        <f t="shared" ref="AR72:AR103" si="21">IFERROR(Q72/Z72-1, 0)</f>
        <v>4.3016637346309006E-2</v>
      </c>
      <c r="AS72" s="127">
        <f t="shared" ref="AS72:AS103" si="22">IFERROR(R72/AA72-1, 0)</f>
        <v>5.1239220317477852E-2</v>
      </c>
      <c r="AT72" s="127">
        <f t="shared" ref="AT72:AT103" si="23">IFERROR(S72/AB72-1, 0)</f>
        <v>6.0187357005642372E-2</v>
      </c>
      <c r="BX72" s="93"/>
      <c r="BY72" s="93"/>
      <c r="BZ72" s="93"/>
      <c r="CA72" s="93"/>
      <c r="CB72" s="93"/>
    </row>
    <row r="73" spans="1:88" s="18" customFormat="1" ht="13" x14ac:dyDescent="0.15">
      <c r="A73" s="29" t="s">
        <v>7</v>
      </c>
      <c r="B73" s="30">
        <f>IF(Data!D16=1, MAX(Data!AA16, $E$26) + INDEX(Duplicate!$E$39:$E$43, MATCH( Data!AD16, Duplicate!$B$39:$B$43, 0), 0), MAX(Data!AA16, $E$27) +  INDEX(Duplicate!$E$39:$E$43, MATCH( Data!AD16, Duplicate!$B$39:$B$43, 0), 0))</f>
        <v>0.63165300000000002</v>
      </c>
      <c r="C73" s="128">
        <f>ROUND(Data!R16/13*100, 2)</f>
        <v>0</v>
      </c>
      <c r="D73" s="141">
        <f>ROUND(Data!Q16*C73, 0)</f>
        <v>0</v>
      </c>
      <c r="E73" s="142">
        <f>ROUND($E$22*Data!W16*B73, 0)</f>
        <v>21254425</v>
      </c>
      <c r="F73" s="143">
        <f>IF(E73=0, 0,IF($E$31="Yes", IF(Data!D16=1, MAX(Duplicate!D73+Duplicate!E73, Data!AE16), Duplicate!D73+Duplicate!E73), Duplicate!D73+Duplicate!E73))</f>
        <v>21254425</v>
      </c>
      <c r="G73" s="143">
        <v>22152857</v>
      </c>
      <c r="H73" s="129">
        <f>F73-Data!AL16</f>
        <v>3315997</v>
      </c>
      <c r="I73" s="127">
        <f>((F73)/(Data!AL16)) - 1</f>
        <v>0.18485438077405658</v>
      </c>
      <c r="J73" s="127">
        <f t="shared" si="5"/>
        <v>-4.0556033020932691E-2</v>
      </c>
      <c r="K73" s="143">
        <f>ROUND(IF($E$31="Yes",IF(Data!AG16&gt;0,(Duplicate!$K$23*Data!AG16)+Data!AI16,(Duplicate!$K$24*Data!AG16)+Data!AI16),IF(Data!AF16&gt;0,(Duplicate!$K$23*Data!AF16)+Data!AI16,(Duplicate!$K$24*Data!AF16)+Data!AI16)),0)</f>
        <v>17232415</v>
      </c>
      <c r="L73" s="143">
        <f>ROUND(IF($E$31="Yes",IF(Data!$AG16&gt;0,(Duplicate!$L$23*Data!$AG16)+K73,(Duplicate!$L$24*Data!$AG16)+K73),IF(Data!$AF16&gt;0,(Duplicate!$L$23*Data!$AF16)+K73,(Duplicate!$L$24*Data!$AF16)+K73)),0)</f>
        <v>17742057</v>
      </c>
      <c r="M73" s="143">
        <f>ROUND(IF($E$31="Yes",IF(Data!$AG16&gt;0,(Duplicate!$M$23*Data!$AG16)+L73,(Duplicate!$M$24*Data!$AG16)+L73),IF(Data!$AF16&gt;0,(Duplicate!$M$23*Data!$AF16)+L73,(Duplicate!$M$24*Data!$AF16)+L73)),0)</f>
        <v>18251699</v>
      </c>
      <c r="N73" s="143">
        <f>ROUND(IF($E$31="Yes",IF(Data!$AG16&gt;0,(Duplicate!$N$23*Data!$AG16)+M73,(Duplicate!$N$24*Data!$AG16)+M73),IF(Data!$AF16&gt;0,(Duplicate!$N$23*Data!$AF16)+M73,(Duplicate!$N$24*Data!$AF16)+M73)),0)</f>
        <v>18761341</v>
      </c>
      <c r="O73" s="143">
        <f>ROUND(IF($E$31="Yes",IF(Data!$AG16&gt;0,(Duplicate!$O$23*Data!$AG16)+N73,(Duplicate!$O$24*Data!$AG16)+N73),IF(Data!$AF16&gt;0,(Duplicate!$O$23*Data!$AF16)+N73,(Duplicate!$O$24*Data!$AF16)+N73)),0)</f>
        <v>19270983</v>
      </c>
      <c r="P73" s="143">
        <f>ROUND(IF($E$31="Yes",IF(Data!$AG16&gt;0,(Duplicate!$P$23*Data!$AG16)+O73,(Duplicate!$P$24*Data!$AG16)+O73),IF(Data!$AF16&gt;0,(Duplicate!$P$23*Data!$AF16)+O73,(Duplicate!$P$24*Data!$AF16)+O73)),0)</f>
        <v>19780625</v>
      </c>
      <c r="Q73" s="143">
        <f>ROUND(IF($E$31="Yes",IF(Data!$AG16&gt;0,(Duplicate!$Q$23*Data!$AG16)+P73,(Duplicate!$Q$24*Data!$AG16)+P73),IF(Data!$AF16&gt;0,(Duplicate!$Q$23*Data!$AF16)+P73,(Duplicate!$Q$24*Data!$AF16)+P73)),0)</f>
        <v>20290267</v>
      </c>
      <c r="R73" s="143">
        <f>ROUND(IF($E$31="Yes",IF(Data!$AG16&gt;0,(Duplicate!$R$23*Data!$AG16)+Q73,(Duplicate!$R$24*Data!$AG16)+Q73),IF(Data!$AF16&gt;0,(Duplicate!$R$23*Data!$AF16)+Q73,(Duplicate!$R$24*Data!$AF16)+Q73)),0)</f>
        <v>20799909</v>
      </c>
      <c r="S73" s="143">
        <f>ROUND(IF($E$31="Yes",IF(Data!$AG16&gt;0,(Duplicate!$S$23*Data!$AG16)+R73,(Duplicate!$S$24*Data!$AG16)+R73),IF(Data!$AF16&gt;0,(Duplicate!$S$23*Data!$AF16)+R73,(Duplicate!$S$24*Data!$AF16)+R73)),0)</f>
        <v>21309551</v>
      </c>
      <c r="T73" s="143">
        <v>17328188</v>
      </c>
      <c r="U73" s="143">
        <v>17933603</v>
      </c>
      <c r="V73" s="143">
        <v>18539018</v>
      </c>
      <c r="W73" s="143">
        <v>19144433</v>
      </c>
      <c r="X73" s="143">
        <v>19749848</v>
      </c>
      <c r="Y73" s="143">
        <v>20355263</v>
      </c>
      <c r="Z73" s="143">
        <v>20960678</v>
      </c>
      <c r="AA73" s="143">
        <v>21566093</v>
      </c>
      <c r="AB73" s="143">
        <v>22171508</v>
      </c>
      <c r="AC73" s="129">
        <f t="shared" si="6"/>
        <v>-95773</v>
      </c>
      <c r="AD73" s="129">
        <f t="shared" si="7"/>
        <v>-191546</v>
      </c>
      <c r="AE73" s="129">
        <f t="shared" si="8"/>
        <v>-287319</v>
      </c>
      <c r="AF73" s="129">
        <f t="shared" si="9"/>
        <v>-383092</v>
      </c>
      <c r="AG73" s="129">
        <f t="shared" si="10"/>
        <v>-478865</v>
      </c>
      <c r="AH73" s="129">
        <f t="shared" si="11"/>
        <v>-574638</v>
      </c>
      <c r="AI73" s="129">
        <f t="shared" si="12"/>
        <v>-670411</v>
      </c>
      <c r="AJ73" s="129">
        <f t="shared" si="13"/>
        <v>-766184</v>
      </c>
      <c r="AK73" s="129">
        <f t="shared" si="14"/>
        <v>-861957</v>
      </c>
      <c r="AL73" s="127">
        <f t="shared" si="15"/>
        <v>-5.5270060551051436E-3</v>
      </c>
      <c r="AM73" s="127">
        <f t="shared" si="16"/>
        <v>-1.0680843107768179E-2</v>
      </c>
      <c r="AN73" s="127">
        <f t="shared" si="17"/>
        <v>-1.5498070070378067E-2</v>
      </c>
      <c r="AO73" s="127">
        <f t="shared" si="18"/>
        <v>-2.0010621364445758E-2</v>
      </c>
      <c r="AP73" s="127">
        <f t="shared" si="19"/>
        <v>-2.4246515720019679E-2</v>
      </c>
      <c r="AQ73" s="127">
        <f t="shared" si="20"/>
        <v>-2.8230438486596787E-2</v>
      </c>
      <c r="AR73" s="127">
        <f t="shared" si="21"/>
        <v>-3.1984223029426828E-2</v>
      </c>
      <c r="AS73" s="127">
        <f t="shared" si="22"/>
        <v>-3.5527251041716279E-2</v>
      </c>
      <c r="AT73" s="127">
        <f t="shared" si="23"/>
        <v>-3.8876787271303281E-2</v>
      </c>
      <c r="BX73" s="93"/>
      <c r="BY73" s="93"/>
      <c r="BZ73" s="93"/>
      <c r="CA73" s="93"/>
      <c r="CB73" s="93"/>
    </row>
    <row r="74" spans="1:88" s="18" customFormat="1" ht="13" x14ac:dyDescent="0.15">
      <c r="A74" s="29" t="s">
        <v>9</v>
      </c>
      <c r="B74" s="30">
        <f>IF(Data!D17=1, MAX(Data!AA17, $E$26) + INDEX(Duplicate!$E$39:$E$43, MATCH( Data!AD17, Duplicate!$B$39:$B$43, 0), 0), MAX(Data!AA17, $E$27) +  INDEX(Duplicate!$E$39:$E$43, MATCH( Data!AD17, Duplicate!$B$39:$B$43, 0), 0))</f>
        <v>0.44006000000000001</v>
      </c>
      <c r="C74" s="128">
        <f>ROUND(Data!R17/13*100, 2)</f>
        <v>30.77</v>
      </c>
      <c r="D74" s="141">
        <f>ROUND(Data!Q17*C74, 0)</f>
        <v>5077</v>
      </c>
      <c r="E74" s="142">
        <f>ROUND($E$22*Data!W17*B74, 0)</f>
        <v>2922917</v>
      </c>
      <c r="F74" s="143">
        <f>IF(E74=0, 0,IF($E$31="Yes", IF(Data!D17=1, MAX(Duplicate!D74+Duplicate!E74, Data!AE17), Duplicate!D74+Duplicate!E74), Duplicate!D74+Duplicate!E74))</f>
        <v>2927994</v>
      </c>
      <c r="G74" s="143">
        <v>2950025</v>
      </c>
      <c r="H74" s="129">
        <f>F74-Data!AL17</f>
        <v>-531068</v>
      </c>
      <c r="I74" s="127">
        <f>((F74)/(Data!AL17)) - 1</f>
        <v>-0.15352948284824031</v>
      </c>
      <c r="J74" s="127">
        <f t="shared" si="5"/>
        <v>-7.4680723044719954E-3</v>
      </c>
      <c r="K74" s="143">
        <f>ROUND(IF($E$31="Yes",IF(Data!AG17&gt;0,(Duplicate!$K$23*Data!AG17)+Data!AI17,(Duplicate!$K$24*Data!AG17)+Data!AI17),IF(Data!AF17&gt;0,(Duplicate!$K$23*Data!AF17)+Data!AI17,(Duplicate!$K$24*Data!AF17)+Data!AI17)),0)</f>
        <v>3531845</v>
      </c>
      <c r="L74" s="143">
        <f>ROUND(IF($E$31="Yes",IF(Data!$AG17&gt;0,(Duplicate!$L$23*Data!$AG17)+K74,(Duplicate!$L$24*Data!$AG17)+K74),IF(Data!$AF17&gt;0,(Duplicate!$L$23*Data!$AF17)+K74,(Duplicate!$L$24*Data!$AF17)+K74)),0)</f>
        <v>3459320</v>
      </c>
      <c r="M74" s="143">
        <f>ROUND(IF($E$31="Yes",IF(Data!$AG17&gt;0,(Duplicate!$M$23*Data!$AG17)+L74,(Duplicate!$M$24*Data!$AG17)+L74),IF(Data!$AF17&gt;0,(Duplicate!$M$23*Data!$AF17)+L74,(Duplicate!$M$24*Data!$AF17)+L74)),0)</f>
        <v>3386795</v>
      </c>
      <c r="N74" s="143">
        <f>ROUND(IF($E$31="Yes",IF(Data!$AG17&gt;0,(Duplicate!$N$23*Data!$AG17)+M74,(Duplicate!$N$24*Data!$AG17)+M74),IF(Data!$AF17&gt;0,(Duplicate!$N$23*Data!$AF17)+M74,(Duplicate!$N$24*Data!$AF17)+M74)),0)</f>
        <v>3314270</v>
      </c>
      <c r="O74" s="143">
        <f>ROUND(IF($E$31="Yes",IF(Data!$AG17&gt;0,(Duplicate!$O$23*Data!$AG17)+N74,(Duplicate!$O$24*Data!$AG17)+N74),IF(Data!$AF17&gt;0,(Duplicate!$O$23*Data!$AF17)+N74,(Duplicate!$O$24*Data!$AF17)+N74)),0)</f>
        <v>3241745</v>
      </c>
      <c r="P74" s="143">
        <f>ROUND(IF($E$31="Yes",IF(Data!$AG17&gt;0,(Duplicate!$P$23*Data!$AG17)+O74,(Duplicate!$P$24*Data!$AG17)+O74),IF(Data!$AF17&gt;0,(Duplicate!$P$23*Data!$AF17)+O74,(Duplicate!$P$24*Data!$AF17)+O74)),0)</f>
        <v>3169220</v>
      </c>
      <c r="Q74" s="143">
        <f>ROUND(IF($E$31="Yes",IF(Data!$AG17&gt;0,(Duplicate!$Q$23*Data!$AG17)+P74,(Duplicate!$Q$24*Data!$AG17)+P74),IF(Data!$AF17&gt;0,(Duplicate!$Q$23*Data!$AF17)+P74,(Duplicate!$Q$24*Data!$AF17)+P74)),0)</f>
        <v>3096695</v>
      </c>
      <c r="R74" s="143">
        <f>ROUND(IF($E$31="Yes",IF(Data!$AG17&gt;0,(Duplicate!$R$23*Data!$AG17)+Q74,(Duplicate!$R$24*Data!$AG17)+Q74),IF(Data!$AF17&gt;0,(Duplicate!$R$23*Data!$AF17)+Q74,(Duplicate!$R$24*Data!$AF17)+Q74)),0)</f>
        <v>3024170</v>
      </c>
      <c r="S74" s="143">
        <f>ROUND(IF($E$31="Yes",IF(Data!$AG17&gt;0,(Duplicate!$S$23*Data!$AG17)+R74,(Duplicate!$S$24*Data!$AG17)+R74),IF(Data!$AF17&gt;0,(Duplicate!$S$23*Data!$AF17)+R74,(Duplicate!$S$24*Data!$AF17)+R74)),0)</f>
        <v>2951645</v>
      </c>
      <c r="T74" s="143">
        <v>3528606</v>
      </c>
      <c r="U74" s="143">
        <v>3452841</v>
      </c>
      <c r="V74" s="143">
        <v>3377076</v>
      </c>
      <c r="W74" s="143">
        <v>3301311</v>
      </c>
      <c r="X74" s="143">
        <v>3225546</v>
      </c>
      <c r="Y74" s="143">
        <v>3149781</v>
      </c>
      <c r="Z74" s="143">
        <v>3074016</v>
      </c>
      <c r="AA74" s="143">
        <v>2998251</v>
      </c>
      <c r="AB74" s="143">
        <v>2922486</v>
      </c>
      <c r="AC74" s="129">
        <f t="shared" si="6"/>
        <v>3239</v>
      </c>
      <c r="AD74" s="129">
        <f t="shared" si="7"/>
        <v>6479</v>
      </c>
      <c r="AE74" s="129">
        <f t="shared" si="8"/>
        <v>9719</v>
      </c>
      <c r="AF74" s="129">
        <f t="shared" si="9"/>
        <v>12959</v>
      </c>
      <c r="AG74" s="129">
        <f t="shared" si="10"/>
        <v>16199</v>
      </c>
      <c r="AH74" s="129">
        <f t="shared" si="11"/>
        <v>19439</v>
      </c>
      <c r="AI74" s="129">
        <f t="shared" si="12"/>
        <v>22679</v>
      </c>
      <c r="AJ74" s="129">
        <f t="shared" si="13"/>
        <v>25919</v>
      </c>
      <c r="AK74" s="129">
        <f t="shared" si="14"/>
        <v>29159</v>
      </c>
      <c r="AL74" s="127">
        <f t="shared" si="15"/>
        <v>9.1792622922470812E-4</v>
      </c>
      <c r="AM74" s="127">
        <f t="shared" si="16"/>
        <v>1.8764258186230176E-3</v>
      </c>
      <c r="AN74" s="127">
        <f t="shared" si="17"/>
        <v>2.8779334548585389E-3</v>
      </c>
      <c r="AO74" s="127">
        <f t="shared" si="18"/>
        <v>3.9254102385386513E-3</v>
      </c>
      <c r="AP74" s="127">
        <f t="shared" si="19"/>
        <v>5.0220954839894638E-3</v>
      </c>
      <c r="AQ74" s="127">
        <f t="shared" si="20"/>
        <v>6.1715401800950254E-3</v>
      </c>
      <c r="AR74" s="127">
        <f t="shared" si="21"/>
        <v>7.3776453993732449E-3</v>
      </c>
      <c r="AS74" s="127">
        <f t="shared" si="22"/>
        <v>8.6447065305739201E-3</v>
      </c>
      <c r="AT74" s="127">
        <f t="shared" si="23"/>
        <v>9.9774643916172856E-3</v>
      </c>
      <c r="BX74" s="93"/>
      <c r="BY74" s="93"/>
      <c r="BZ74" s="93"/>
      <c r="CA74" s="93"/>
      <c r="CB74" s="93"/>
    </row>
    <row r="75" spans="1:88" s="18" customFormat="1" ht="13" x14ac:dyDescent="0.15">
      <c r="A75" s="29" t="s">
        <v>11</v>
      </c>
      <c r="B75" s="30">
        <f>IF(Data!D18=1, MAX(Data!AA18, $E$26) + INDEX(Duplicate!$E$39:$E$43, MATCH( Data!AD18, Duplicate!$B$39:$B$43, 0), 0), MAX(Data!AA18, $E$27) +  INDEX(Duplicate!$E$39:$E$43, MATCH( Data!AD18, Duplicate!$B$39:$B$43, 0), 0))</f>
        <v>0.01</v>
      </c>
      <c r="C75" s="128">
        <f>ROUND(Data!R18/13*100, 2)</f>
        <v>0</v>
      </c>
      <c r="D75" s="141">
        <f>ROUND(Data!Q18*C75, 0)</f>
        <v>0</v>
      </c>
      <c r="E75" s="142">
        <f>ROUND($E$22*Data!W18*B75, 0)</f>
        <v>369993</v>
      </c>
      <c r="F75" s="143">
        <f>IF(E75=0, 0,IF($E$31="Yes", IF(Data!D18=1, MAX(Duplicate!D75+Duplicate!E75, Data!AE18), Duplicate!D75+Duplicate!E75), Duplicate!D75+Duplicate!E75))</f>
        <v>369993</v>
      </c>
      <c r="G75" s="143">
        <v>375372</v>
      </c>
      <c r="H75" s="129">
        <f>F75-Data!AL18</f>
        <v>-214023</v>
      </c>
      <c r="I75" s="127">
        <f>((F75)/(Data!AL18)) - 1</f>
        <v>-0.36646769951508174</v>
      </c>
      <c r="J75" s="127">
        <f t="shared" si="5"/>
        <v>-1.4329784853425398E-2</v>
      </c>
      <c r="K75" s="143">
        <f>ROUND(IF($E$31="Yes",IF(Data!AG18&gt;0,(Duplicate!$K$23*Data!AG18)+Data!AI18,(Duplicate!$K$24*Data!AG18)+Data!AI18),IF(Data!AF18&gt;0,(Duplicate!$K$23*Data!AF18)+Data!AI18,(Duplicate!$K$24*Data!AF18)+Data!AI18)),0)</f>
        <v>613088</v>
      </c>
      <c r="L75" s="143">
        <f>ROUND(IF($E$31="Yes",IF(Data!$AG18&gt;0,(Duplicate!$L$23*Data!$AG18)+K75,(Duplicate!$L$24*Data!$AG18)+K75),IF(Data!$AF18&gt;0,(Duplicate!$L$23*Data!$AF18)+K75,(Duplicate!$L$24*Data!$AF18)+K75)),0)</f>
        <v>582978</v>
      </c>
      <c r="M75" s="143">
        <f>ROUND(IF($E$31="Yes",IF(Data!$AG18&gt;0,(Duplicate!$M$23*Data!$AG18)+L75,(Duplicate!$M$24*Data!$AG18)+L75),IF(Data!$AF18&gt;0,(Duplicate!$M$23*Data!$AF18)+L75,(Duplicate!$M$24*Data!$AF18)+L75)),0)</f>
        <v>552868</v>
      </c>
      <c r="N75" s="143">
        <f>ROUND(IF($E$31="Yes",IF(Data!$AG18&gt;0,(Duplicate!$N$23*Data!$AG18)+M75,(Duplicate!$N$24*Data!$AG18)+M75),IF(Data!$AF18&gt;0,(Duplicate!$N$23*Data!$AF18)+M75,(Duplicate!$N$24*Data!$AF18)+M75)),0)</f>
        <v>522758</v>
      </c>
      <c r="O75" s="143">
        <f>ROUND(IF($E$31="Yes",IF(Data!$AG18&gt;0,(Duplicate!$O$23*Data!$AG18)+N75,(Duplicate!$O$24*Data!$AG18)+N75),IF(Data!$AF18&gt;0,(Duplicate!$O$23*Data!$AF18)+N75,(Duplicate!$O$24*Data!$AF18)+N75)),0)</f>
        <v>492648</v>
      </c>
      <c r="P75" s="143">
        <f>ROUND(IF($E$31="Yes",IF(Data!$AG18&gt;0,(Duplicate!$P$23*Data!$AG18)+O75,(Duplicate!$P$24*Data!$AG18)+O75),IF(Data!$AF18&gt;0,(Duplicate!$P$23*Data!$AF18)+O75,(Duplicate!$P$24*Data!$AF18)+O75)),0)</f>
        <v>462538</v>
      </c>
      <c r="Q75" s="143">
        <f>ROUND(IF($E$31="Yes",IF(Data!$AG18&gt;0,(Duplicate!$Q$23*Data!$AG18)+P75,(Duplicate!$Q$24*Data!$AG18)+P75),IF(Data!$AF18&gt;0,(Duplicate!$Q$23*Data!$AF18)+P75,(Duplicate!$Q$24*Data!$AF18)+P75)),0)</f>
        <v>432428</v>
      </c>
      <c r="R75" s="143">
        <f>ROUND(IF($E$31="Yes",IF(Data!$AG18&gt;0,(Duplicate!$R$23*Data!$AG18)+Q75,(Duplicate!$R$24*Data!$AG18)+Q75),IF(Data!$AF18&gt;0,(Duplicate!$R$23*Data!$AF18)+Q75,(Duplicate!$R$24*Data!$AF18)+Q75)),0)</f>
        <v>402318</v>
      </c>
      <c r="S75" s="143">
        <f>ROUND(IF($E$31="Yes",IF(Data!$AG18&gt;0,(Duplicate!$S$23*Data!$AG18)+R75,(Duplicate!$S$24*Data!$AG18)+R75),IF(Data!$AF18&gt;0,(Duplicate!$S$23*Data!$AF18)+R75,(Duplicate!$S$24*Data!$AF18)+R75)),0)</f>
        <v>372208</v>
      </c>
      <c r="T75" s="143">
        <v>613536</v>
      </c>
      <c r="U75" s="143">
        <v>583874</v>
      </c>
      <c r="V75" s="143">
        <v>554212</v>
      </c>
      <c r="W75" s="143">
        <v>524550</v>
      </c>
      <c r="X75" s="143">
        <v>494888</v>
      </c>
      <c r="Y75" s="143">
        <v>465226</v>
      </c>
      <c r="Z75" s="143">
        <v>435564</v>
      </c>
      <c r="AA75" s="143">
        <v>405902</v>
      </c>
      <c r="AB75" s="143">
        <v>376240</v>
      </c>
      <c r="AC75" s="129">
        <f t="shared" si="6"/>
        <v>-448</v>
      </c>
      <c r="AD75" s="129">
        <f t="shared" si="7"/>
        <v>-896</v>
      </c>
      <c r="AE75" s="129">
        <f t="shared" si="8"/>
        <v>-1344</v>
      </c>
      <c r="AF75" s="129">
        <f t="shared" si="9"/>
        <v>-1792</v>
      </c>
      <c r="AG75" s="129">
        <f t="shared" si="10"/>
        <v>-2240</v>
      </c>
      <c r="AH75" s="129">
        <f t="shared" si="11"/>
        <v>-2688</v>
      </c>
      <c r="AI75" s="129">
        <f t="shared" si="12"/>
        <v>-3136</v>
      </c>
      <c r="AJ75" s="129">
        <f t="shared" si="13"/>
        <v>-3584</v>
      </c>
      <c r="AK75" s="129">
        <f t="shared" si="14"/>
        <v>-4032</v>
      </c>
      <c r="AL75" s="127">
        <f t="shared" si="15"/>
        <v>-7.3019350127778715E-4</v>
      </c>
      <c r="AM75" s="127">
        <f t="shared" si="16"/>
        <v>-1.5345776657292864E-3</v>
      </c>
      <c r="AN75" s="127">
        <f t="shared" si="17"/>
        <v>-2.4250647766558275E-3</v>
      </c>
      <c r="AO75" s="127">
        <f t="shared" si="18"/>
        <v>-3.4162615575255018E-3</v>
      </c>
      <c r="AP75" s="127">
        <f t="shared" si="19"/>
        <v>-4.5262766524951648E-3</v>
      </c>
      <c r="AQ75" s="127">
        <f t="shared" si="20"/>
        <v>-5.7778370082497421E-3</v>
      </c>
      <c r="AR75" s="127">
        <f t="shared" si="21"/>
        <v>-7.1998604108696185E-3</v>
      </c>
      <c r="AS75" s="127">
        <f t="shared" si="22"/>
        <v>-8.8297175180216403E-3</v>
      </c>
      <c r="AT75" s="127">
        <f t="shared" si="23"/>
        <v>-1.0716563895385889E-2</v>
      </c>
      <c r="BX75" s="93"/>
      <c r="BY75" s="93"/>
      <c r="BZ75" s="93"/>
      <c r="CA75" s="93"/>
      <c r="CB75" s="93"/>
    </row>
    <row r="76" spans="1:88" s="18" customFormat="1" ht="13" x14ac:dyDescent="0.15">
      <c r="A76" s="29" t="s">
        <v>12</v>
      </c>
      <c r="B76" s="30">
        <f>IF(Data!D19=1, MAX(Data!AA19, $E$26) + INDEX(Duplicate!$E$39:$E$43, MATCH( Data!AD19, Duplicate!$B$39:$B$43, 0), 0), MAX(Data!AA19, $E$27) +  INDEX(Duplicate!$E$39:$E$43, MATCH( Data!AD19, Duplicate!$B$39:$B$43, 0), 0))</f>
        <v>0.20411000000000001</v>
      </c>
      <c r="C76" s="128">
        <f>ROUND(Data!R19/13*100, 2)</f>
        <v>46.15</v>
      </c>
      <c r="D76" s="141">
        <f>ROUND(Data!Q19*C76, 0)</f>
        <v>12876</v>
      </c>
      <c r="E76" s="142">
        <f>ROUND($E$22*Data!W19*B76, 0)</f>
        <v>1187640</v>
      </c>
      <c r="F76" s="143">
        <f>IF(E76=0, 0,IF($E$31="Yes", IF(Data!D19=1, MAX(Duplicate!D76+Duplicate!E76, Data!AE19), Duplicate!D76+Duplicate!E76), Duplicate!D76+Duplicate!E76))</f>
        <v>1200516</v>
      </c>
      <c r="G76" s="143">
        <v>1230758</v>
      </c>
      <c r="H76" s="129">
        <f>F76-Data!AL19</f>
        <v>-293726</v>
      </c>
      <c r="I76" s="127">
        <f>((F76)/(Data!AL19)) - 1</f>
        <v>-0.19657190736172592</v>
      </c>
      <c r="J76" s="127">
        <f t="shared" si="5"/>
        <v>-2.4571849218124164E-2</v>
      </c>
      <c r="K76" s="143">
        <f>ROUND(IF($E$31="Yes",IF(Data!AG19&gt;0,(Duplicate!$K$23*Data!AG19)+Data!AI19,(Duplicate!$K$24*Data!AG19)+Data!AI19),IF(Data!AF19&gt;0,(Duplicate!$K$23*Data!AF19)+Data!AI19,(Duplicate!$K$24*Data!AF19)+Data!AI19)),0)</f>
        <v>1552878</v>
      </c>
      <c r="L76" s="143">
        <f>ROUND(IF($E$31="Yes",IF(Data!$AG19&gt;0,(Duplicate!$L$23*Data!$AG19)+K76,(Duplicate!$L$24*Data!$AG19)+K76),IF(Data!$AF19&gt;0,(Duplicate!$L$23*Data!$AF19)+K76,(Duplicate!$L$24*Data!$AF19)+K76)),0)</f>
        <v>1529667</v>
      </c>
      <c r="M76" s="143">
        <f>ROUND(IF($E$31="Yes",IF(Data!$AG19&gt;0,(Duplicate!$M$23*Data!$AG19)+L76,(Duplicate!$M$24*Data!$AG19)+L76),IF(Data!$AF19&gt;0,(Duplicate!$M$23*Data!$AF19)+L76,(Duplicate!$M$24*Data!$AF19)+L76)),0)</f>
        <v>1506456</v>
      </c>
      <c r="N76" s="143">
        <f>ROUND(IF($E$31="Yes",IF(Data!$AG19&gt;0,(Duplicate!$N$23*Data!$AG19)+M76,(Duplicate!$N$24*Data!$AG19)+M76),IF(Data!$AF19&gt;0,(Duplicate!$N$23*Data!$AF19)+M76,(Duplicate!$N$24*Data!$AF19)+M76)),0)</f>
        <v>1483245</v>
      </c>
      <c r="O76" s="143">
        <f>ROUND(IF($E$31="Yes",IF(Data!$AG19&gt;0,(Duplicate!$O$23*Data!$AG19)+N76,(Duplicate!$O$24*Data!$AG19)+N76),IF(Data!$AF19&gt;0,(Duplicate!$O$23*Data!$AF19)+N76,(Duplicate!$O$24*Data!$AF19)+N76)),0)</f>
        <v>1460034</v>
      </c>
      <c r="P76" s="143">
        <f>ROUND(IF($E$31="Yes",IF(Data!$AG19&gt;0,(Duplicate!$P$23*Data!$AG19)+O76,(Duplicate!$P$24*Data!$AG19)+O76),IF(Data!$AF19&gt;0,(Duplicate!$P$23*Data!$AF19)+O76,(Duplicate!$P$24*Data!$AF19)+O76)),0)</f>
        <v>1436823</v>
      </c>
      <c r="Q76" s="143">
        <f>ROUND(IF($E$31="Yes",IF(Data!$AG19&gt;0,(Duplicate!$Q$23*Data!$AG19)+P76,(Duplicate!$Q$24*Data!$AG19)+P76),IF(Data!$AF19&gt;0,(Duplicate!$Q$23*Data!$AF19)+P76,(Duplicate!$Q$24*Data!$AF19)+P76)),0)</f>
        <v>1413612</v>
      </c>
      <c r="R76" s="143">
        <f>ROUND(IF($E$31="Yes",IF(Data!$AG19&gt;0,(Duplicate!$R$23*Data!$AG19)+Q76,(Duplicate!$R$24*Data!$AG19)+Q76),IF(Data!$AF19&gt;0,(Duplicate!$R$23*Data!$AF19)+Q76,(Duplicate!$R$24*Data!$AF19)+Q76)),0)</f>
        <v>1390401</v>
      </c>
      <c r="S76" s="143">
        <f>ROUND(IF($E$31="Yes",IF(Data!$AG19&gt;0,(Duplicate!$S$23*Data!$AG19)+R76,(Duplicate!$S$24*Data!$AG19)+R76),IF(Data!$AF19&gt;0,(Duplicate!$S$23*Data!$AF19)+R76,(Duplicate!$S$24*Data!$AF19)+R76)),0)</f>
        <v>1367190</v>
      </c>
      <c r="T76" s="143">
        <v>1542525</v>
      </c>
      <c r="U76" s="143">
        <v>1508961</v>
      </c>
      <c r="V76" s="143">
        <v>1475397</v>
      </c>
      <c r="W76" s="143">
        <v>1441833</v>
      </c>
      <c r="X76" s="143">
        <v>1408269</v>
      </c>
      <c r="Y76" s="143">
        <v>1374705</v>
      </c>
      <c r="Z76" s="143">
        <v>1341141</v>
      </c>
      <c r="AA76" s="143">
        <v>1307577</v>
      </c>
      <c r="AB76" s="143">
        <v>1274013</v>
      </c>
      <c r="AC76" s="129">
        <f t="shared" si="6"/>
        <v>10353</v>
      </c>
      <c r="AD76" s="129">
        <f t="shared" si="7"/>
        <v>20706</v>
      </c>
      <c r="AE76" s="129">
        <f t="shared" si="8"/>
        <v>31059</v>
      </c>
      <c r="AF76" s="129">
        <f t="shared" si="9"/>
        <v>41412</v>
      </c>
      <c r="AG76" s="129">
        <f t="shared" si="10"/>
        <v>51765</v>
      </c>
      <c r="AH76" s="129">
        <f t="shared" si="11"/>
        <v>62118</v>
      </c>
      <c r="AI76" s="129">
        <f t="shared" si="12"/>
        <v>72471</v>
      </c>
      <c r="AJ76" s="129">
        <f t="shared" si="13"/>
        <v>82824</v>
      </c>
      <c r="AK76" s="129">
        <f t="shared" si="14"/>
        <v>93177</v>
      </c>
      <c r="AL76" s="127">
        <f t="shared" si="15"/>
        <v>6.7117226625175164E-3</v>
      </c>
      <c r="AM76" s="127">
        <f t="shared" si="16"/>
        <v>1.3722024624890805E-2</v>
      </c>
      <c r="AN76" s="127">
        <f t="shared" si="17"/>
        <v>2.1051283146163335E-2</v>
      </c>
      <c r="AO76" s="127">
        <f t="shared" si="18"/>
        <v>2.8721772909900078E-2</v>
      </c>
      <c r="AP76" s="127">
        <f t="shared" si="19"/>
        <v>3.6757892135664383E-2</v>
      </c>
      <c r="AQ76" s="127">
        <f t="shared" si="20"/>
        <v>4.5186421814134681E-2</v>
      </c>
      <c r="AR76" s="127">
        <f t="shared" si="21"/>
        <v>5.403682386863129E-2</v>
      </c>
      <c r="AS76" s="127">
        <f t="shared" si="22"/>
        <v>6.3341585237427722E-2</v>
      </c>
      <c r="AT76" s="127">
        <f t="shared" si="23"/>
        <v>7.3136616345359062E-2</v>
      </c>
      <c r="BX76" s="93"/>
      <c r="BY76" s="93"/>
      <c r="BZ76" s="93"/>
      <c r="CA76" s="93"/>
      <c r="CB76" s="93"/>
    </row>
    <row r="77" spans="1:88" s="18" customFormat="1" ht="13" x14ac:dyDescent="0.15">
      <c r="A77" s="29" t="s">
        <v>13</v>
      </c>
      <c r="B77" s="30">
        <f>IF(Data!D20=1, MAX(Data!AA20, $E$26) + INDEX(Duplicate!$E$39:$E$43, MATCH( Data!AD20, Duplicate!$B$39:$B$43, 0), 0), MAX(Data!AA20, $E$27) +  INDEX(Duplicate!$E$39:$E$43, MATCH( Data!AD20, Duplicate!$B$39:$B$43, 0), 0))</f>
        <v>0.359288</v>
      </c>
      <c r="C77" s="128">
        <f>ROUND(Data!R20/13*100, 2)</f>
        <v>100</v>
      </c>
      <c r="D77" s="141">
        <f>ROUND(Data!Q20*C77, 0)</f>
        <v>72500</v>
      </c>
      <c r="E77" s="142">
        <f>ROUND($E$22*Data!W20*B77, 0)</f>
        <v>3246465</v>
      </c>
      <c r="F77" s="143">
        <f>IF(E77=0, 0,IF($E$31="Yes", IF(Data!D20=1, MAX(Duplicate!D77+Duplicate!E77, Data!AE20), Duplicate!D77+Duplicate!E77), Duplicate!D77+Duplicate!E77))</f>
        <v>3318965</v>
      </c>
      <c r="G77" s="143">
        <v>3747080</v>
      </c>
      <c r="H77" s="129">
        <f>F77-Data!AL20</f>
        <v>-627595</v>
      </c>
      <c r="I77" s="127">
        <f>((F77)/(Data!AL20)) - 1</f>
        <v>-0.15902330130544073</v>
      </c>
      <c r="J77" s="127">
        <f t="shared" si="5"/>
        <v>-0.11425296497539417</v>
      </c>
      <c r="K77" s="143">
        <f>ROUND(IF($E$31="Yes",IF(Data!AG20&gt;0,(Duplicate!$K$23*Data!AG20)+Data!AI20,(Duplicate!$K$24*Data!AG20)+Data!AI20),IF(Data!AF20&gt;0,(Duplicate!$K$23*Data!AF20)+Data!AI20,(Duplicate!$K$24*Data!AF20)+Data!AI20)),0)</f>
        <v>4034759</v>
      </c>
      <c r="L77" s="143">
        <f>ROUND(IF($E$31="Yes",IF(Data!$AG20&gt;0,(Duplicate!$L$23*Data!$AG20)+K77,(Duplicate!$L$24*Data!$AG20)+K77),IF(Data!$AF20&gt;0,(Duplicate!$L$23*Data!$AF20)+K77,(Duplicate!$L$24*Data!$AF20)+K77)),0)</f>
        <v>4047662</v>
      </c>
      <c r="M77" s="143">
        <f>ROUND(IF($E$31="Yes",IF(Data!$AG20&gt;0,(Duplicate!$M$23*Data!$AG20)+L77,(Duplicate!$M$24*Data!$AG20)+L77),IF(Data!$AF20&gt;0,(Duplicate!$M$23*Data!$AF20)+L77,(Duplicate!$M$24*Data!$AF20)+L77)),0)</f>
        <v>4060565</v>
      </c>
      <c r="N77" s="143">
        <f>ROUND(IF($E$31="Yes",IF(Data!$AG20&gt;0,(Duplicate!$N$23*Data!$AG20)+M77,(Duplicate!$N$24*Data!$AG20)+M77),IF(Data!$AF20&gt;0,(Duplicate!$N$23*Data!$AF20)+M77,(Duplicate!$N$24*Data!$AF20)+M77)),0)</f>
        <v>4073468</v>
      </c>
      <c r="O77" s="143">
        <f>ROUND(IF($E$31="Yes",IF(Data!$AG20&gt;0,(Duplicate!$O$23*Data!$AG20)+N77,(Duplicate!$O$24*Data!$AG20)+N77),IF(Data!$AF20&gt;0,(Duplicate!$O$23*Data!$AF20)+N77,(Duplicate!$O$24*Data!$AF20)+N77)),0)</f>
        <v>4086371</v>
      </c>
      <c r="P77" s="143">
        <f>ROUND(IF($E$31="Yes",IF(Data!$AG20&gt;0,(Duplicate!$P$23*Data!$AG20)+O77,(Duplicate!$P$24*Data!$AG20)+O77),IF(Data!$AF20&gt;0,(Duplicate!$P$23*Data!$AF20)+O77,(Duplicate!$P$24*Data!$AF20)+O77)),0)</f>
        <v>4099274</v>
      </c>
      <c r="Q77" s="143">
        <f>ROUND(IF($E$31="Yes",IF(Data!$AG20&gt;0,(Duplicate!$Q$23*Data!$AG20)+P77,(Duplicate!$Q$24*Data!$AG20)+P77),IF(Data!$AF20&gt;0,(Duplicate!$Q$23*Data!$AF20)+P77,(Duplicate!$Q$24*Data!$AF20)+P77)),0)</f>
        <v>4112177</v>
      </c>
      <c r="R77" s="143">
        <f>ROUND(IF($E$31="Yes",IF(Data!$AG20&gt;0,(Duplicate!$R$23*Data!$AG20)+Q77,(Duplicate!$R$24*Data!$AG20)+Q77),IF(Data!$AF20&gt;0,(Duplicate!$R$23*Data!$AF20)+Q77,(Duplicate!$R$24*Data!$AF20)+Q77)),0)</f>
        <v>4125080</v>
      </c>
      <c r="S77" s="143">
        <f>ROUND(IF($E$31="Yes",IF(Data!$AG20&gt;0,(Duplicate!$S$23*Data!$AG20)+R77,(Duplicate!$S$24*Data!$AG20)+R77),IF(Data!$AF20&gt;0,(Duplicate!$S$23*Data!$AF20)+R77,(Duplicate!$S$24*Data!$AF20)+R77)),0)</f>
        <v>4137983</v>
      </c>
      <c r="T77" s="143">
        <v>3995130</v>
      </c>
      <c r="U77" s="143">
        <v>3968404</v>
      </c>
      <c r="V77" s="143">
        <v>3941678</v>
      </c>
      <c r="W77" s="143">
        <v>3914952</v>
      </c>
      <c r="X77" s="143">
        <v>3888226</v>
      </c>
      <c r="Y77" s="143">
        <v>3861500</v>
      </c>
      <c r="Z77" s="143">
        <v>3834774</v>
      </c>
      <c r="AA77" s="143">
        <v>3808048</v>
      </c>
      <c r="AB77" s="143">
        <v>3781322</v>
      </c>
      <c r="AC77" s="129">
        <f t="shared" si="6"/>
        <v>39629</v>
      </c>
      <c r="AD77" s="129">
        <f t="shared" si="7"/>
        <v>79258</v>
      </c>
      <c r="AE77" s="129">
        <f t="shared" si="8"/>
        <v>118887</v>
      </c>
      <c r="AF77" s="129">
        <f t="shared" si="9"/>
        <v>158516</v>
      </c>
      <c r="AG77" s="129">
        <f t="shared" si="10"/>
        <v>198145</v>
      </c>
      <c r="AH77" s="129">
        <f t="shared" si="11"/>
        <v>237774</v>
      </c>
      <c r="AI77" s="129">
        <f t="shared" si="12"/>
        <v>277403</v>
      </c>
      <c r="AJ77" s="129">
        <f t="shared" si="13"/>
        <v>317032</v>
      </c>
      <c r="AK77" s="129">
        <f t="shared" si="14"/>
        <v>356661</v>
      </c>
      <c r="AL77" s="127">
        <f t="shared" si="15"/>
        <v>9.9193267803550089E-3</v>
      </c>
      <c r="AM77" s="127">
        <f t="shared" si="16"/>
        <v>1.9972260888760252E-2</v>
      </c>
      <c r="AN77" s="127">
        <f t="shared" si="17"/>
        <v>3.0161520042986778E-2</v>
      </c>
      <c r="AO77" s="127">
        <f t="shared" si="18"/>
        <v>4.048989617241805E-2</v>
      </c>
      <c r="AP77" s="127">
        <f t="shared" si="19"/>
        <v>5.0960257968543976E-2</v>
      </c>
      <c r="AQ77" s="127">
        <f t="shared" si="20"/>
        <v>6.1575553541370009E-2</v>
      </c>
      <c r="AR77" s="127">
        <f t="shared" si="21"/>
        <v>7.2338813186904938E-2</v>
      </c>
      <c r="AS77" s="127">
        <f t="shared" si="22"/>
        <v>8.3253152271189901E-2</v>
      </c>
      <c r="AT77" s="127">
        <f t="shared" si="23"/>
        <v>9.4321774236629352E-2</v>
      </c>
      <c r="BX77" s="93"/>
      <c r="BY77" s="93"/>
      <c r="BZ77" s="93"/>
      <c r="CA77" s="93"/>
      <c r="CB77" s="93"/>
    </row>
    <row r="78" spans="1:88" s="18" customFormat="1" ht="13" x14ac:dyDescent="0.15">
      <c r="A78" s="29" t="s">
        <v>15</v>
      </c>
      <c r="B78" s="30">
        <f>IF(Data!D21=1, MAX(Data!AA21, $E$26) + INDEX(Duplicate!$E$39:$E$43, MATCH( Data!AD21, Duplicate!$B$39:$B$43, 0), 0), MAX(Data!AA21, $E$27) +  INDEX(Duplicate!$E$39:$E$43, MATCH( Data!AD21, Duplicate!$B$39:$B$43, 0), 0))</f>
        <v>0.16744600000000001</v>
      </c>
      <c r="C78" s="128">
        <f>ROUND(Data!R21/13*100, 2)</f>
        <v>0</v>
      </c>
      <c r="D78" s="141">
        <f>ROUND(Data!Q21*C78, 0)</f>
        <v>0</v>
      </c>
      <c r="E78" s="142">
        <f>ROUND($E$22*Data!W21*B78, 0)</f>
        <v>5662251</v>
      </c>
      <c r="F78" s="143">
        <f>IF(E78=0, 0,IF($E$31="Yes", IF(Data!D21=1, MAX(Duplicate!D78+Duplicate!E78, Data!AE21), Duplicate!D78+Duplicate!E78), Duplicate!D78+Duplicate!E78))</f>
        <v>5662251</v>
      </c>
      <c r="G78" s="143">
        <v>5169320</v>
      </c>
      <c r="H78" s="129">
        <f>F78-Data!AL21</f>
        <v>-208349</v>
      </c>
      <c r="I78" s="127">
        <f>((F78)/(Data!AL21)) - 1</f>
        <v>-3.5490239498518039E-2</v>
      </c>
      <c r="J78" s="127">
        <f t="shared" si="5"/>
        <v>9.5357029551275563E-2</v>
      </c>
      <c r="K78" s="143">
        <f>ROUND(IF($E$31="Yes",IF(Data!AG21&gt;0,(Duplicate!$K$23*Data!AG21)+Data!AI21,(Duplicate!$K$24*Data!AG21)+Data!AI21),IF(Data!AF21&gt;0,(Duplicate!$K$23*Data!AF21)+Data!AI21,(Duplicate!$K$24*Data!AF21)+Data!AI21)),0)</f>
        <v>5991770</v>
      </c>
      <c r="L78" s="143">
        <f>ROUND(IF($E$31="Yes",IF(Data!$AG21&gt;0,(Duplicate!$L$23*Data!$AG21)+K78,(Duplicate!$L$24*Data!$AG21)+K78),IF(Data!$AF21&gt;0,(Duplicate!$L$23*Data!$AF21)+K78,(Duplicate!$L$24*Data!$AF21)+K78)),0)</f>
        <v>5945667</v>
      </c>
      <c r="M78" s="143">
        <f>ROUND(IF($E$31="Yes",IF(Data!$AG21&gt;0,(Duplicate!$M$23*Data!$AG21)+L78,(Duplicate!$M$24*Data!$AG21)+L78),IF(Data!$AF21&gt;0,(Duplicate!$M$23*Data!$AF21)+L78,(Duplicate!$M$24*Data!$AF21)+L78)),0)</f>
        <v>5899564</v>
      </c>
      <c r="N78" s="143">
        <f>ROUND(IF($E$31="Yes",IF(Data!$AG21&gt;0,(Duplicate!$N$23*Data!$AG21)+M78,(Duplicate!$N$24*Data!$AG21)+M78),IF(Data!$AF21&gt;0,(Duplicate!$N$23*Data!$AF21)+M78,(Duplicate!$N$24*Data!$AF21)+M78)),0)</f>
        <v>5853461</v>
      </c>
      <c r="O78" s="143">
        <f>ROUND(IF($E$31="Yes",IF(Data!$AG21&gt;0,(Duplicate!$O$23*Data!$AG21)+N78,(Duplicate!$O$24*Data!$AG21)+N78),IF(Data!$AF21&gt;0,(Duplicate!$O$23*Data!$AF21)+N78,(Duplicate!$O$24*Data!$AF21)+N78)),0)</f>
        <v>5807358</v>
      </c>
      <c r="P78" s="143">
        <f>ROUND(IF($E$31="Yes",IF(Data!$AG21&gt;0,(Duplicate!$P$23*Data!$AG21)+O78,(Duplicate!$P$24*Data!$AG21)+O78),IF(Data!$AF21&gt;0,(Duplicate!$P$23*Data!$AF21)+O78,(Duplicate!$P$24*Data!$AF21)+O78)),0)</f>
        <v>5761255</v>
      </c>
      <c r="Q78" s="143">
        <f>ROUND(IF($E$31="Yes",IF(Data!$AG21&gt;0,(Duplicate!$Q$23*Data!$AG21)+P78,(Duplicate!$Q$24*Data!$AG21)+P78),IF(Data!$AF21&gt;0,(Duplicate!$Q$23*Data!$AF21)+P78,(Duplicate!$Q$24*Data!$AF21)+P78)),0)</f>
        <v>5715152</v>
      </c>
      <c r="R78" s="143">
        <f>ROUND(IF($E$31="Yes",IF(Data!$AG21&gt;0,(Duplicate!$R$23*Data!$AG21)+Q78,(Duplicate!$R$24*Data!$AG21)+Q78),IF(Data!$AF21&gt;0,(Duplicate!$R$23*Data!$AF21)+Q78,(Duplicate!$R$24*Data!$AF21)+Q78)),0)</f>
        <v>5669049</v>
      </c>
      <c r="S78" s="143">
        <f>ROUND(IF($E$31="Yes",IF(Data!$AG21&gt;0,(Duplicate!$S$23*Data!$AG21)+R78,(Duplicate!$S$24*Data!$AG21)+R78),IF(Data!$AF21&gt;0,(Duplicate!$S$23*Data!$AF21)+R78,(Duplicate!$S$24*Data!$AF21)+R78)),0)</f>
        <v>5622946</v>
      </c>
      <c r="T78" s="143">
        <v>5950709</v>
      </c>
      <c r="U78" s="143">
        <v>5863545</v>
      </c>
      <c r="V78" s="143">
        <v>5776381</v>
      </c>
      <c r="W78" s="143">
        <v>5689217</v>
      </c>
      <c r="X78" s="143">
        <v>5602053</v>
      </c>
      <c r="Y78" s="143">
        <v>5514889</v>
      </c>
      <c r="Z78" s="143">
        <v>5427725</v>
      </c>
      <c r="AA78" s="143">
        <v>5340561</v>
      </c>
      <c r="AB78" s="143">
        <v>5253397</v>
      </c>
      <c r="AC78" s="129">
        <f t="shared" si="6"/>
        <v>41061</v>
      </c>
      <c r="AD78" s="129">
        <f t="shared" si="7"/>
        <v>82122</v>
      </c>
      <c r="AE78" s="129">
        <f t="shared" si="8"/>
        <v>123183</v>
      </c>
      <c r="AF78" s="129">
        <f t="shared" si="9"/>
        <v>164244</v>
      </c>
      <c r="AG78" s="129">
        <f t="shared" si="10"/>
        <v>205305</v>
      </c>
      <c r="AH78" s="129">
        <f t="shared" si="11"/>
        <v>246366</v>
      </c>
      <c r="AI78" s="129">
        <f t="shared" si="12"/>
        <v>287427</v>
      </c>
      <c r="AJ78" s="129">
        <f t="shared" si="13"/>
        <v>328488</v>
      </c>
      <c r="AK78" s="129">
        <f t="shared" si="14"/>
        <v>369549</v>
      </c>
      <c r="AL78" s="127">
        <f t="shared" si="15"/>
        <v>6.9001861794955044E-3</v>
      </c>
      <c r="AM78" s="127">
        <f t="shared" si="16"/>
        <v>1.4005520551134243E-2</v>
      </c>
      <c r="AN78" s="127">
        <f t="shared" si="17"/>
        <v>2.1325290004243103E-2</v>
      </c>
      <c r="AO78" s="127">
        <f t="shared" si="18"/>
        <v>2.8869350562652052E-2</v>
      </c>
      <c r="AP78" s="127">
        <f t="shared" si="19"/>
        <v>3.6648171661353368E-2</v>
      </c>
      <c r="AQ78" s="127">
        <f t="shared" si="20"/>
        <v>4.4672884621975273E-2</v>
      </c>
      <c r="AR78" s="127">
        <f t="shared" si="21"/>
        <v>5.2955335799068637E-2</v>
      </c>
      <c r="AS78" s="127">
        <f t="shared" si="22"/>
        <v>6.1508144930841446E-2</v>
      </c>
      <c r="AT78" s="127">
        <f t="shared" si="23"/>
        <v>7.0344769298798404E-2</v>
      </c>
      <c r="BX78" s="93"/>
      <c r="BY78" s="93"/>
      <c r="BZ78" s="93"/>
      <c r="CA78" s="93"/>
      <c r="CB78" s="93"/>
    </row>
    <row r="79" spans="1:88" s="18" customFormat="1" ht="13" x14ac:dyDescent="0.15">
      <c r="A79" s="29" t="s">
        <v>16</v>
      </c>
      <c r="B79" s="30">
        <f>IF(Data!D22=1, MAX(Data!AA22, $E$26) + INDEX(Duplicate!$E$39:$E$43, MATCH( Data!AD22, Duplicate!$B$39:$B$43, 0), 0), MAX(Data!AA22, $E$27) +  INDEX(Duplicate!$E$39:$E$43, MATCH( Data!AD22, Duplicate!$B$39:$B$43, 0), 0))</f>
        <v>0.15720500000000001</v>
      </c>
      <c r="C79" s="128">
        <f>ROUND(Data!R22/13*100, 2)</f>
        <v>46.15</v>
      </c>
      <c r="D79" s="141">
        <f>ROUND(Data!Q22*C79, 0)</f>
        <v>17999</v>
      </c>
      <c r="E79" s="142">
        <f>ROUND($E$22*Data!W22*B79, 0)</f>
        <v>1419155</v>
      </c>
      <c r="F79" s="143">
        <f>IF(E79=0, 0,IF($E$31="Yes", IF(Data!D22=1, MAX(Duplicate!D79+Duplicate!E79, Data!AE22), Duplicate!D79+Duplicate!E79), Duplicate!D79+Duplicate!E79))</f>
        <v>1437154</v>
      </c>
      <c r="G79" s="143">
        <v>1305676</v>
      </c>
      <c r="H79" s="129">
        <f>F79-Data!AL22</f>
        <v>-327420</v>
      </c>
      <c r="I79" s="127">
        <f>((F79)/(Data!AL22)) - 1</f>
        <v>-0.18555186690952041</v>
      </c>
      <c r="J79" s="127">
        <f t="shared" si="5"/>
        <v>0.10069726333332318</v>
      </c>
      <c r="K79" s="143">
        <f>ROUND(IF($E$31="Yes",IF(Data!AG22&gt;0,(Duplicate!$K$23*Data!AG22)+Data!AI22,(Duplicate!$K$24*Data!AG22)+Data!AI22),IF(Data!AF22&gt;0,(Duplicate!$K$23*Data!AF22)+Data!AI22,(Duplicate!$K$24*Data!AF22)+Data!AI22)),0)</f>
        <v>1848724</v>
      </c>
      <c r="L79" s="143">
        <f>ROUND(IF($E$31="Yes",IF(Data!$AG22&gt;0,(Duplicate!$L$23*Data!$AG22)+K79,(Duplicate!$L$24*Data!$AG22)+K79),IF(Data!$AF22&gt;0,(Duplicate!$L$23*Data!$AF22)+K79,(Duplicate!$L$24*Data!$AF22)+K79)),0)</f>
        <v>1819814</v>
      </c>
      <c r="M79" s="143">
        <f>ROUND(IF($E$31="Yes",IF(Data!$AG22&gt;0,(Duplicate!$M$23*Data!$AG22)+L79,(Duplicate!$M$24*Data!$AG22)+L79),IF(Data!$AF22&gt;0,(Duplicate!$M$23*Data!$AF22)+L79,(Duplicate!$M$24*Data!$AF22)+L79)),0)</f>
        <v>1790904</v>
      </c>
      <c r="N79" s="143">
        <f>ROUND(IF($E$31="Yes",IF(Data!$AG22&gt;0,(Duplicate!$N$23*Data!$AG22)+M79,(Duplicate!$N$24*Data!$AG22)+M79),IF(Data!$AF22&gt;0,(Duplicate!$N$23*Data!$AF22)+M79,(Duplicate!$N$24*Data!$AF22)+M79)),0)</f>
        <v>1761994</v>
      </c>
      <c r="O79" s="143">
        <f>ROUND(IF($E$31="Yes",IF(Data!$AG22&gt;0,(Duplicate!$O$23*Data!$AG22)+N79,(Duplicate!$O$24*Data!$AG22)+N79),IF(Data!$AF22&gt;0,(Duplicate!$O$23*Data!$AF22)+N79,(Duplicate!$O$24*Data!$AF22)+N79)),0)</f>
        <v>1733084</v>
      </c>
      <c r="P79" s="143">
        <f>ROUND(IF($E$31="Yes",IF(Data!$AG22&gt;0,(Duplicate!$P$23*Data!$AG22)+O79,(Duplicate!$P$24*Data!$AG22)+O79),IF(Data!$AF22&gt;0,(Duplicate!$P$23*Data!$AF22)+O79,(Duplicate!$P$24*Data!$AF22)+O79)),0)</f>
        <v>1704174</v>
      </c>
      <c r="Q79" s="143">
        <f>ROUND(IF($E$31="Yes",IF(Data!$AG22&gt;0,(Duplicate!$Q$23*Data!$AG22)+P79,(Duplicate!$Q$24*Data!$AG22)+P79),IF(Data!$AF22&gt;0,(Duplicate!$Q$23*Data!$AF22)+P79,(Duplicate!$Q$24*Data!$AF22)+P79)),0)</f>
        <v>1675264</v>
      </c>
      <c r="R79" s="143">
        <f>ROUND(IF($E$31="Yes",IF(Data!$AG22&gt;0,(Duplicate!$R$23*Data!$AG22)+Q79,(Duplicate!$R$24*Data!$AG22)+Q79),IF(Data!$AF22&gt;0,(Duplicate!$R$23*Data!$AF22)+Q79,(Duplicate!$R$24*Data!$AF22)+Q79)),0)</f>
        <v>1646354</v>
      </c>
      <c r="S79" s="143">
        <f>ROUND(IF($E$31="Yes",IF(Data!$AG22&gt;0,(Duplicate!$S$23*Data!$AG22)+R79,(Duplicate!$S$24*Data!$AG22)+R79),IF(Data!$AF22&gt;0,(Duplicate!$S$23*Data!$AF22)+R79,(Duplicate!$S$24*Data!$AF22)+R79)),0)</f>
        <v>1617444</v>
      </c>
      <c r="T79" s="143">
        <v>1819779</v>
      </c>
      <c r="U79" s="143">
        <v>1761924</v>
      </c>
      <c r="V79" s="143">
        <v>1704069</v>
      </c>
      <c r="W79" s="143">
        <v>1646214</v>
      </c>
      <c r="X79" s="143">
        <v>1588359</v>
      </c>
      <c r="Y79" s="143">
        <v>1530504</v>
      </c>
      <c r="Z79" s="143">
        <v>1472649</v>
      </c>
      <c r="AA79" s="143">
        <v>1414794</v>
      </c>
      <c r="AB79" s="143">
        <v>1356939</v>
      </c>
      <c r="AC79" s="129">
        <f t="shared" si="6"/>
        <v>28945</v>
      </c>
      <c r="AD79" s="129">
        <f t="shared" si="7"/>
        <v>57890</v>
      </c>
      <c r="AE79" s="129">
        <f t="shared" si="8"/>
        <v>86835</v>
      </c>
      <c r="AF79" s="129">
        <f t="shared" si="9"/>
        <v>115780</v>
      </c>
      <c r="AG79" s="129">
        <f t="shared" si="10"/>
        <v>144725</v>
      </c>
      <c r="AH79" s="129">
        <f t="shared" si="11"/>
        <v>173670</v>
      </c>
      <c r="AI79" s="129">
        <f t="shared" si="12"/>
        <v>202615</v>
      </c>
      <c r="AJ79" s="129">
        <f t="shared" si="13"/>
        <v>231560</v>
      </c>
      <c r="AK79" s="129">
        <f t="shared" si="14"/>
        <v>260505</v>
      </c>
      <c r="AL79" s="127">
        <f t="shared" si="15"/>
        <v>1.5905777569693802E-2</v>
      </c>
      <c r="AM79" s="127">
        <f t="shared" si="16"/>
        <v>3.2856127733091878E-2</v>
      </c>
      <c r="AN79" s="127">
        <f t="shared" si="17"/>
        <v>5.0957443624642051E-2</v>
      </c>
      <c r="AO79" s="127">
        <f t="shared" si="18"/>
        <v>7.0331074817733263E-2</v>
      </c>
      <c r="AP79" s="127">
        <f t="shared" si="19"/>
        <v>9.1116051220158756E-2</v>
      </c>
      <c r="AQ79" s="127">
        <f t="shared" si="20"/>
        <v>0.11347242476987973</v>
      </c>
      <c r="AR79" s="127">
        <f t="shared" si="21"/>
        <v>0.13758539882891307</v>
      </c>
      <c r="AS79" s="127">
        <f t="shared" si="22"/>
        <v>0.16367047075404617</v>
      </c>
      <c r="AT79" s="127">
        <f t="shared" si="23"/>
        <v>0.19197989003190274</v>
      </c>
      <c r="BX79" s="93"/>
      <c r="BY79" s="93"/>
      <c r="BZ79" s="93"/>
      <c r="CA79" s="93"/>
      <c r="CB79" s="93"/>
    </row>
    <row r="80" spans="1:88" s="18" customFormat="1" ht="13" x14ac:dyDescent="0.15">
      <c r="A80" s="29" t="s">
        <v>17</v>
      </c>
      <c r="B80" s="30">
        <f>IF(Data!D23=1, MAX(Data!AA23, $E$26) + INDEX(Duplicate!$E$39:$E$43, MATCH( Data!AD23, Duplicate!$B$39:$B$43, 0), 0), MAX(Data!AA23, $E$27) +  INDEX(Duplicate!$E$39:$E$43, MATCH( Data!AD23, Duplicate!$B$39:$B$43, 0), 0))</f>
        <v>0.19427700000000001</v>
      </c>
      <c r="C80" s="128">
        <f>ROUND(Data!R23/13*100, 2)</f>
        <v>0</v>
      </c>
      <c r="D80" s="141">
        <f>ROUND(Data!Q23*C80, 0)</f>
        <v>0</v>
      </c>
      <c r="E80" s="142">
        <f>ROUND($E$22*Data!W23*B80, 0)</f>
        <v>7611670</v>
      </c>
      <c r="F80" s="143">
        <f>IF(E80=0, 0,IF($E$31="Yes", IF(Data!D23=1, MAX(Duplicate!D80+Duplicate!E80, Data!AE23), Duplicate!D80+Duplicate!E80), Duplicate!D80+Duplicate!E80))</f>
        <v>7611670</v>
      </c>
      <c r="G80" s="143">
        <v>7597107</v>
      </c>
      <c r="H80" s="129">
        <f>F80-Data!AL23</f>
        <v>-269059</v>
      </c>
      <c r="I80" s="127">
        <f>((F80)/(Data!AL23)) - 1</f>
        <v>-3.4141384635863026E-2</v>
      </c>
      <c r="J80" s="127">
        <f t="shared" si="5"/>
        <v>1.9169138989354462E-3</v>
      </c>
      <c r="K80" s="143">
        <f>ROUND(IF($E$31="Yes",IF(Data!AG23&gt;0,(Duplicate!$K$23*Data!AG23)+Data!AI23,(Duplicate!$K$24*Data!AG23)+Data!AI23),IF(Data!AF23&gt;0,(Duplicate!$K$23*Data!AF23)+Data!AI23,(Duplicate!$K$24*Data!AF23)+Data!AI23)),0)</f>
        <v>7874643</v>
      </c>
      <c r="L80" s="143">
        <f>ROUND(IF($E$31="Yes",IF(Data!$AG23&gt;0,(Duplicate!$L$23*Data!$AG23)+K80,(Duplicate!$L$24*Data!$AG23)+K80),IF(Data!$AF23&gt;0,(Duplicate!$L$23*Data!$AF23)+K80,(Duplicate!$L$24*Data!$AF23)+K80)),0)</f>
        <v>7834987</v>
      </c>
      <c r="M80" s="143">
        <f>ROUND(IF($E$31="Yes",IF(Data!$AG23&gt;0,(Duplicate!$M$23*Data!$AG23)+L80,(Duplicate!$M$24*Data!$AG23)+L80),IF(Data!$AF23&gt;0,(Duplicate!$M$23*Data!$AF23)+L80,(Duplicate!$M$24*Data!$AF23)+L80)),0)</f>
        <v>7795331</v>
      </c>
      <c r="N80" s="143">
        <f>ROUND(IF($E$31="Yes",IF(Data!$AG23&gt;0,(Duplicate!$N$23*Data!$AG23)+M80,(Duplicate!$N$24*Data!$AG23)+M80),IF(Data!$AF23&gt;0,(Duplicate!$N$23*Data!$AF23)+M80,(Duplicate!$N$24*Data!$AF23)+M80)),0)</f>
        <v>7755675</v>
      </c>
      <c r="O80" s="143">
        <f>ROUND(IF($E$31="Yes",IF(Data!$AG23&gt;0,(Duplicate!$O$23*Data!$AG23)+N80,(Duplicate!$O$24*Data!$AG23)+N80),IF(Data!$AF23&gt;0,(Duplicate!$O$23*Data!$AF23)+N80,(Duplicate!$O$24*Data!$AF23)+N80)),0)</f>
        <v>7716019</v>
      </c>
      <c r="P80" s="143">
        <f>ROUND(IF($E$31="Yes",IF(Data!$AG23&gt;0,(Duplicate!$P$23*Data!$AG23)+O80,(Duplicate!$P$24*Data!$AG23)+O80),IF(Data!$AF23&gt;0,(Duplicate!$P$23*Data!$AF23)+O80,(Duplicate!$P$24*Data!$AF23)+O80)),0)</f>
        <v>7676363</v>
      </c>
      <c r="Q80" s="143">
        <f>ROUND(IF($E$31="Yes",IF(Data!$AG23&gt;0,(Duplicate!$Q$23*Data!$AG23)+P80,(Duplicate!$Q$24*Data!$AG23)+P80),IF(Data!$AF23&gt;0,(Duplicate!$Q$23*Data!$AF23)+P80,(Duplicate!$Q$24*Data!$AF23)+P80)),0)</f>
        <v>7636707</v>
      </c>
      <c r="R80" s="143">
        <f>ROUND(IF($E$31="Yes",IF(Data!$AG23&gt;0,(Duplicate!$R$23*Data!$AG23)+Q80,(Duplicate!$R$24*Data!$AG23)+Q80),IF(Data!$AF23&gt;0,(Duplicate!$R$23*Data!$AF23)+Q80,(Duplicate!$R$24*Data!$AF23)+Q80)),0)</f>
        <v>7597051</v>
      </c>
      <c r="S80" s="143">
        <f>ROUND(IF($E$31="Yes",IF(Data!$AG23&gt;0,(Duplicate!$S$23*Data!$AG23)+R80,(Duplicate!$S$24*Data!$AG23)+R80),IF(Data!$AF23&gt;0,(Duplicate!$S$23*Data!$AF23)+R80,(Duplicate!$S$24*Data!$AF23)+R80)),0)</f>
        <v>7557395</v>
      </c>
      <c r="T80" s="143">
        <v>7873429</v>
      </c>
      <c r="U80" s="143">
        <v>7832560</v>
      </c>
      <c r="V80" s="143">
        <v>7791691</v>
      </c>
      <c r="W80" s="143">
        <v>7750822</v>
      </c>
      <c r="X80" s="143">
        <v>7709953</v>
      </c>
      <c r="Y80" s="143">
        <v>7669084</v>
      </c>
      <c r="Z80" s="143">
        <v>7628215</v>
      </c>
      <c r="AA80" s="143">
        <v>7587346</v>
      </c>
      <c r="AB80" s="143">
        <v>7546477</v>
      </c>
      <c r="AC80" s="129">
        <f t="shared" si="6"/>
        <v>1214</v>
      </c>
      <c r="AD80" s="129">
        <f t="shared" si="7"/>
        <v>2427</v>
      </c>
      <c r="AE80" s="129">
        <f t="shared" si="8"/>
        <v>3640</v>
      </c>
      <c r="AF80" s="129">
        <f t="shared" si="9"/>
        <v>4853</v>
      </c>
      <c r="AG80" s="129">
        <f t="shared" si="10"/>
        <v>6066</v>
      </c>
      <c r="AH80" s="129">
        <f t="shared" si="11"/>
        <v>7279</v>
      </c>
      <c r="AI80" s="129">
        <f t="shared" si="12"/>
        <v>8492</v>
      </c>
      <c r="AJ80" s="129">
        <f t="shared" si="13"/>
        <v>9705</v>
      </c>
      <c r="AK80" s="129">
        <f t="shared" si="14"/>
        <v>10918</v>
      </c>
      <c r="AL80" s="127">
        <f t="shared" si="15"/>
        <v>1.541894897381102E-4</v>
      </c>
      <c r="AM80" s="127">
        <f t="shared" si="16"/>
        <v>3.0986037770541763E-4</v>
      </c>
      <c r="AN80" s="127">
        <f t="shared" si="17"/>
        <v>4.671643164493311E-4</v>
      </c>
      <c r="AO80" s="127">
        <f t="shared" si="18"/>
        <v>6.2612713851506463E-4</v>
      </c>
      <c r="AP80" s="127">
        <f t="shared" si="19"/>
        <v>7.8677522418102441E-4</v>
      </c>
      <c r="AQ80" s="127">
        <f t="shared" si="20"/>
        <v>9.4913551605380064E-4</v>
      </c>
      <c r="AR80" s="127">
        <f t="shared" si="21"/>
        <v>1.1132355341321176E-3</v>
      </c>
      <c r="AS80" s="127">
        <f t="shared" si="22"/>
        <v>1.2791033913570615E-3</v>
      </c>
      <c r="AT80" s="127">
        <f t="shared" si="23"/>
        <v>1.4467678096679037E-3</v>
      </c>
      <c r="BX80" s="93"/>
      <c r="BY80" s="93"/>
      <c r="BZ80" s="93"/>
      <c r="CA80" s="93"/>
      <c r="CB80" s="93"/>
    </row>
    <row r="81" spans="1:80" s="18" customFormat="1" ht="13" x14ac:dyDescent="0.15">
      <c r="A81" s="29" t="s">
        <v>18</v>
      </c>
      <c r="B81" s="30">
        <f>IF(Data!D24=1, MAX(Data!AA24, $E$26) + INDEX(Duplicate!$E$39:$E$43, MATCH( Data!AD24, Duplicate!$B$39:$B$43, 0), 0), MAX(Data!AA24, $E$27) +  INDEX(Duplicate!$E$39:$E$43, MATCH( Data!AD24, Duplicate!$B$39:$B$43, 0), 0))</f>
        <v>0.21557100000000001</v>
      </c>
      <c r="C81" s="128">
        <f>ROUND(Data!R24/13*100, 2)</f>
        <v>100</v>
      </c>
      <c r="D81" s="141">
        <f>ROUND(Data!Q24*C81, 0)</f>
        <v>36300</v>
      </c>
      <c r="E81" s="142">
        <f>ROUND($E$22*Data!W24*B81, 0)</f>
        <v>978602</v>
      </c>
      <c r="F81" s="143">
        <f>IF(E81=0, 0,IF($E$31="Yes", IF(Data!D24=1, MAX(Duplicate!D81+Duplicate!E81, Data!AE24), Duplicate!D81+Duplicate!E81), Duplicate!D81+Duplicate!E81))</f>
        <v>1014902</v>
      </c>
      <c r="G81" s="143">
        <v>963995</v>
      </c>
      <c r="H81" s="129">
        <f>F81-Data!AL24</f>
        <v>-113625</v>
      </c>
      <c r="I81" s="127">
        <f>((F81)/(Data!AL24)) - 1</f>
        <v>-0.10068434339630328</v>
      </c>
      <c r="J81" s="127">
        <f t="shared" si="5"/>
        <v>5.2808365188616202E-2</v>
      </c>
      <c r="K81" s="143">
        <f>ROUND(IF($E$31="Yes",IF(Data!AG24&gt;0,(Duplicate!$K$23*Data!AG24)+Data!AI24,(Duplicate!$K$24*Data!AG24)+Data!AI24),IF(Data!AF24&gt;0,(Duplicate!$K$23*Data!AF24)+Data!AI24,(Duplicate!$K$24*Data!AF24)+Data!AI24)),0)</f>
        <v>1202996</v>
      </c>
      <c r="L81" s="143">
        <f>ROUND(IF($E$31="Yes",IF(Data!$AG24&gt;0,(Duplicate!$L$23*Data!$AG24)+K81,(Duplicate!$L$24*Data!$AG24)+K81),IF(Data!$AF24&gt;0,(Duplicate!$L$23*Data!$AF24)+K81,(Duplicate!$L$24*Data!$AF24)+K81)),0)</f>
        <v>1221295</v>
      </c>
      <c r="M81" s="143">
        <f>ROUND(IF($E$31="Yes",IF(Data!$AG24&gt;0,(Duplicate!$M$23*Data!$AG24)+L81,(Duplicate!$M$24*Data!$AG24)+L81),IF(Data!$AF24&gt;0,(Duplicate!$M$23*Data!$AF24)+L81,(Duplicate!$M$24*Data!$AF24)+L81)),0)</f>
        <v>1239594</v>
      </c>
      <c r="N81" s="143">
        <f>ROUND(IF($E$31="Yes",IF(Data!$AG24&gt;0,(Duplicate!$N$23*Data!$AG24)+M81,(Duplicate!$N$24*Data!$AG24)+M81),IF(Data!$AF24&gt;0,(Duplicate!$N$23*Data!$AF24)+M81,(Duplicate!$N$24*Data!$AF24)+M81)),0)</f>
        <v>1257893</v>
      </c>
      <c r="O81" s="143">
        <f>ROUND(IF($E$31="Yes",IF(Data!$AG24&gt;0,(Duplicate!$O$23*Data!$AG24)+N81,(Duplicate!$O$24*Data!$AG24)+N81),IF(Data!$AF24&gt;0,(Duplicate!$O$23*Data!$AF24)+N81,(Duplicate!$O$24*Data!$AF24)+N81)),0)</f>
        <v>1276192</v>
      </c>
      <c r="P81" s="143">
        <f>ROUND(IF($E$31="Yes",IF(Data!$AG24&gt;0,(Duplicate!$P$23*Data!$AG24)+O81,(Duplicate!$P$24*Data!$AG24)+O81),IF(Data!$AF24&gt;0,(Duplicate!$P$23*Data!$AF24)+O81,(Duplicate!$P$24*Data!$AF24)+O81)),0)</f>
        <v>1294491</v>
      </c>
      <c r="Q81" s="143">
        <f>ROUND(IF($E$31="Yes",IF(Data!$AG24&gt;0,(Duplicate!$Q$23*Data!$AG24)+P81,(Duplicate!$Q$24*Data!$AG24)+P81),IF(Data!$AF24&gt;0,(Duplicate!$Q$23*Data!$AF24)+P81,(Duplicate!$Q$24*Data!$AF24)+P81)),0)</f>
        <v>1312790</v>
      </c>
      <c r="R81" s="143">
        <f>ROUND(IF($E$31="Yes",IF(Data!$AG24&gt;0,(Duplicate!$R$23*Data!$AG24)+Q81,(Duplicate!$R$24*Data!$AG24)+Q81),IF(Data!$AF24&gt;0,(Duplicate!$R$23*Data!$AF24)+Q81,(Duplicate!$R$24*Data!$AF24)+Q81)),0)</f>
        <v>1331089</v>
      </c>
      <c r="S81" s="143">
        <f>ROUND(IF($E$31="Yes",IF(Data!$AG24&gt;0,(Duplicate!$S$23*Data!$AG24)+R81,(Duplicate!$S$24*Data!$AG24)+R81),IF(Data!$AF24&gt;0,(Duplicate!$S$23*Data!$AF24)+R81,(Duplicate!$S$24*Data!$AF24)+R81)),0)</f>
        <v>1349388</v>
      </c>
      <c r="T81" s="143">
        <v>1158471</v>
      </c>
      <c r="U81" s="143">
        <v>1132245</v>
      </c>
      <c r="V81" s="143">
        <v>1106019</v>
      </c>
      <c r="W81" s="143">
        <v>1079793</v>
      </c>
      <c r="X81" s="143">
        <v>1053567</v>
      </c>
      <c r="Y81" s="143">
        <v>1027341</v>
      </c>
      <c r="Z81" s="143">
        <v>1001115</v>
      </c>
      <c r="AA81" s="143">
        <v>974889</v>
      </c>
      <c r="AB81" s="143">
        <v>948663</v>
      </c>
      <c r="AC81" s="129">
        <f t="shared" si="6"/>
        <v>44525</v>
      </c>
      <c r="AD81" s="129">
        <f t="shared" si="7"/>
        <v>89050</v>
      </c>
      <c r="AE81" s="129">
        <f t="shared" si="8"/>
        <v>133575</v>
      </c>
      <c r="AF81" s="129">
        <f t="shared" si="9"/>
        <v>178100</v>
      </c>
      <c r="AG81" s="129">
        <f t="shared" si="10"/>
        <v>222625</v>
      </c>
      <c r="AH81" s="129">
        <f t="shared" si="11"/>
        <v>267150</v>
      </c>
      <c r="AI81" s="129">
        <f t="shared" si="12"/>
        <v>311675</v>
      </c>
      <c r="AJ81" s="129">
        <f t="shared" si="13"/>
        <v>356200</v>
      </c>
      <c r="AK81" s="129">
        <f t="shared" si="14"/>
        <v>400725</v>
      </c>
      <c r="AL81" s="127">
        <f t="shared" si="15"/>
        <v>3.84342810480367E-2</v>
      </c>
      <c r="AM81" s="127">
        <f t="shared" si="16"/>
        <v>7.8649055637251664E-2</v>
      </c>
      <c r="AN81" s="127">
        <f t="shared" si="17"/>
        <v>0.12077098133033881</v>
      </c>
      <c r="AO81" s="127">
        <f t="shared" si="18"/>
        <v>0.16493902071971211</v>
      </c>
      <c r="AP81" s="127">
        <f t="shared" si="19"/>
        <v>0.21130597294714049</v>
      </c>
      <c r="AQ81" s="127">
        <f t="shared" si="20"/>
        <v>0.26004023980353175</v>
      </c>
      <c r="AR81" s="127">
        <f t="shared" si="21"/>
        <v>0.31132786942559054</v>
      </c>
      <c r="AS81" s="127">
        <f t="shared" si="22"/>
        <v>0.36537492986381004</v>
      </c>
      <c r="AT81" s="127">
        <f t="shared" si="23"/>
        <v>0.42241027635735762</v>
      </c>
      <c r="BX81" s="93"/>
      <c r="BY81" s="93"/>
      <c r="BZ81" s="93"/>
      <c r="CA81" s="93"/>
      <c r="CB81" s="93"/>
    </row>
    <row r="82" spans="1:80" s="18" customFormat="1" ht="13" x14ac:dyDescent="0.15">
      <c r="A82" s="29" t="s">
        <v>20</v>
      </c>
      <c r="B82" s="30">
        <f>IF(Data!D25=1, MAX(Data!AA25, $E$26) + INDEX(Duplicate!$E$39:$E$43, MATCH( Data!AD25, Duplicate!$B$39:$B$43, 0), 0), MAX(Data!AA25, $E$27) +  INDEX(Duplicate!$E$39:$E$43, MATCH( Data!AD25, Duplicate!$B$39:$B$43, 0), 0))</f>
        <v>0.245285</v>
      </c>
      <c r="C82" s="128">
        <f>ROUND(Data!R25/13*100, 2)</f>
        <v>0</v>
      </c>
      <c r="D82" s="141">
        <f>ROUND(Data!Q25*C82, 0)</f>
        <v>0</v>
      </c>
      <c r="E82" s="142">
        <f>ROUND($E$22*Data!W25*B82, 0)</f>
        <v>7697251</v>
      </c>
      <c r="F82" s="143">
        <f>IF(E82=0, 0,IF($E$31="Yes", IF(Data!D25=1, MAX(Duplicate!D82+Duplicate!E82, Data!AE25), Duplicate!D82+Duplicate!E82), Duplicate!D82+Duplicate!E82))</f>
        <v>7697251</v>
      </c>
      <c r="G82" s="143">
        <v>8002923</v>
      </c>
      <c r="H82" s="129">
        <f>F82-Data!AL25</f>
        <v>996568</v>
      </c>
      <c r="I82" s="127">
        <f>((F82)/(Data!AL25)) - 1</f>
        <v>0.14872633133070168</v>
      </c>
      <c r="J82" s="127">
        <f t="shared" si="5"/>
        <v>-3.8195044485621055E-2</v>
      </c>
      <c r="K82" s="143">
        <f>ROUND(IF($E$31="Yes",IF(Data!AG25&gt;0,(Duplicate!$K$23*Data!AG25)+Data!AI25,(Duplicate!$K$24*Data!AG25)+Data!AI25),IF(Data!AF25&gt;0,(Duplicate!$K$23*Data!AF25)+Data!AI25,(Duplicate!$K$24*Data!AF25)+Data!AI25)),0)</f>
        <v>6389183</v>
      </c>
      <c r="L82" s="143">
        <f>ROUND(IF($E$31="Yes",IF(Data!$AG25&gt;0,(Duplicate!$L$23*Data!$AG25)+K82,(Duplicate!$L$24*Data!$AG25)+K82),IF(Data!$AF25&gt;0,(Duplicate!$L$23*Data!$AF25)+K82,(Duplicate!$L$24*Data!$AF25)+K82)),0)</f>
        <v>6552965</v>
      </c>
      <c r="M82" s="143">
        <f>ROUND(IF($E$31="Yes",IF(Data!$AG25&gt;0,(Duplicate!$M$23*Data!$AG25)+L82,(Duplicate!$M$24*Data!$AG25)+L82),IF(Data!$AF25&gt;0,(Duplicate!$M$23*Data!$AF25)+L82,(Duplicate!$M$24*Data!$AF25)+L82)),0)</f>
        <v>6716747</v>
      </c>
      <c r="N82" s="143">
        <f>ROUND(IF($E$31="Yes",IF(Data!$AG25&gt;0,(Duplicate!$N$23*Data!$AG25)+M82,(Duplicate!$N$24*Data!$AG25)+M82),IF(Data!$AF25&gt;0,(Duplicate!$N$23*Data!$AF25)+M82,(Duplicate!$N$24*Data!$AF25)+M82)),0)</f>
        <v>6880529</v>
      </c>
      <c r="O82" s="143">
        <f>ROUND(IF($E$31="Yes",IF(Data!$AG25&gt;0,(Duplicate!$O$23*Data!$AG25)+N82,(Duplicate!$O$24*Data!$AG25)+N82),IF(Data!$AF25&gt;0,(Duplicate!$O$23*Data!$AF25)+N82,(Duplicate!$O$24*Data!$AF25)+N82)),0)</f>
        <v>7044311</v>
      </c>
      <c r="P82" s="143">
        <f>ROUND(IF($E$31="Yes",IF(Data!$AG25&gt;0,(Duplicate!$P$23*Data!$AG25)+O82,(Duplicate!$P$24*Data!$AG25)+O82),IF(Data!$AF25&gt;0,(Duplicate!$P$23*Data!$AF25)+O82,(Duplicate!$P$24*Data!$AF25)+O82)),0)</f>
        <v>7208093</v>
      </c>
      <c r="Q82" s="143">
        <f>ROUND(IF($E$31="Yes",IF(Data!$AG25&gt;0,(Duplicate!$Q$23*Data!$AG25)+P82,(Duplicate!$Q$24*Data!$AG25)+P82),IF(Data!$AF25&gt;0,(Duplicate!$Q$23*Data!$AF25)+P82,(Duplicate!$Q$24*Data!$AF25)+P82)),0)</f>
        <v>7371875</v>
      </c>
      <c r="R82" s="143">
        <f>ROUND(IF($E$31="Yes",IF(Data!$AG25&gt;0,(Duplicate!$R$23*Data!$AG25)+Q82,(Duplicate!$R$24*Data!$AG25)+Q82),IF(Data!$AF25&gt;0,(Duplicate!$R$23*Data!$AF25)+Q82,(Duplicate!$R$24*Data!$AF25)+Q82)),0)</f>
        <v>7535657</v>
      </c>
      <c r="S82" s="143">
        <f>ROUND(IF($E$31="Yes",IF(Data!$AG25&gt;0,(Duplicate!$S$23*Data!$AG25)+R82,(Duplicate!$S$24*Data!$AG25)+R82),IF(Data!$AF25&gt;0,(Duplicate!$S$23*Data!$AF25)+R82,(Duplicate!$S$24*Data!$AF25)+R82)),0)</f>
        <v>7699439</v>
      </c>
      <c r="T82" s="143">
        <v>6421768</v>
      </c>
      <c r="U82" s="143">
        <v>6618134</v>
      </c>
      <c r="V82" s="143">
        <v>6814500</v>
      </c>
      <c r="W82" s="143">
        <v>7010866</v>
      </c>
      <c r="X82" s="143">
        <v>7207232</v>
      </c>
      <c r="Y82" s="143">
        <v>7403598</v>
      </c>
      <c r="Z82" s="143">
        <v>7599964</v>
      </c>
      <c r="AA82" s="143">
        <v>7796330</v>
      </c>
      <c r="AB82" s="143">
        <v>7992696</v>
      </c>
      <c r="AC82" s="129">
        <f t="shared" si="6"/>
        <v>-32585</v>
      </c>
      <c r="AD82" s="129">
        <f t="shared" si="7"/>
        <v>-65169</v>
      </c>
      <c r="AE82" s="129">
        <f t="shared" si="8"/>
        <v>-97753</v>
      </c>
      <c r="AF82" s="129">
        <f t="shared" si="9"/>
        <v>-130337</v>
      </c>
      <c r="AG82" s="129">
        <f t="shared" si="10"/>
        <v>-162921</v>
      </c>
      <c r="AH82" s="129">
        <f t="shared" si="11"/>
        <v>-195505</v>
      </c>
      <c r="AI82" s="129">
        <f t="shared" si="12"/>
        <v>-228089</v>
      </c>
      <c r="AJ82" s="129">
        <f t="shared" si="13"/>
        <v>-260673</v>
      </c>
      <c r="AK82" s="129">
        <f t="shared" si="14"/>
        <v>-293257</v>
      </c>
      <c r="AL82" s="127">
        <f t="shared" si="15"/>
        <v>-5.0741478047789945E-3</v>
      </c>
      <c r="AM82" s="127">
        <f t="shared" si="16"/>
        <v>-9.847035433250495E-3</v>
      </c>
      <c r="AN82" s="127">
        <f t="shared" si="17"/>
        <v>-1.4344852887225756E-2</v>
      </c>
      <c r="AO82" s="127">
        <f t="shared" si="18"/>
        <v>-1.8590713329851072E-2</v>
      </c>
      <c r="AP82" s="127">
        <f t="shared" si="19"/>
        <v>-2.260521098807422E-2</v>
      </c>
      <c r="AQ82" s="127">
        <f t="shared" si="20"/>
        <v>-2.6406755201997756E-2</v>
      </c>
      <c r="AR82" s="127">
        <f t="shared" si="21"/>
        <v>-3.0011852687723217E-2</v>
      </c>
      <c r="AS82" s="127">
        <f t="shared" si="22"/>
        <v>-3.343534714410501E-2</v>
      </c>
      <c r="AT82" s="127">
        <f t="shared" si="23"/>
        <v>-3.6690623539291423E-2</v>
      </c>
      <c r="BX82" s="93"/>
      <c r="BY82" s="93"/>
      <c r="BZ82" s="93"/>
      <c r="CA82" s="93"/>
      <c r="CB82" s="93"/>
    </row>
    <row r="83" spans="1:80" s="18" customFormat="1" x14ac:dyDescent="0.15">
      <c r="A83" s="29" t="s">
        <v>21</v>
      </c>
      <c r="B83" s="30">
        <f>IF(Data!D26=1, MAX(Data!AA26, $E$26) + INDEX(Duplicate!$E$39:$E$43, MATCH( Data!AD26, Duplicate!$B$39:$B$43, 0), 0), MAX(Data!AA26, $E$27) +  INDEX(Duplicate!$E$39:$E$43, MATCH( Data!AD26, Duplicate!$B$39:$B$43, 0), 0))</f>
        <v>0.270121</v>
      </c>
      <c r="C83" s="128">
        <f>ROUND(Data!R26/13*100, 2)</f>
        <v>0</v>
      </c>
      <c r="D83" s="141">
        <f>ROUND(Data!Q26*C83, 0)</f>
        <v>0</v>
      </c>
      <c r="E83" s="142">
        <f>ROUND($E$22*Data!W26*B83, 0)</f>
        <v>2323713</v>
      </c>
      <c r="F83" s="143">
        <f>IF(E83=0, 0,IF($E$31="Yes", IF(Data!D26=1, MAX(Duplicate!D83+Duplicate!E83, Data!AE26), Duplicate!D83+Duplicate!E83), Duplicate!D83+Duplicate!E83))</f>
        <v>2323713</v>
      </c>
      <c r="G83" s="143">
        <v>2397143</v>
      </c>
      <c r="H83" s="129">
        <f>F83-Data!AL26</f>
        <v>-359503</v>
      </c>
      <c r="I83" s="127">
        <f>((F83)/(Data!AL26)) - 1</f>
        <v>-0.13398213188949382</v>
      </c>
      <c r="J83" s="127">
        <f t="shared" si="5"/>
        <v>-3.0632298532044189E-2</v>
      </c>
      <c r="K83" s="143">
        <f>ROUND(IF($E$31="Yes",IF(Data!AG26&gt;0,(Duplicate!$K$23*Data!AG26)+Data!AI26,(Duplicate!$K$24*Data!AG26)+Data!AI26),IF(Data!AF26&gt;0,(Duplicate!$K$23*Data!AF26)+Data!AI26,(Duplicate!$K$24*Data!AF26)+Data!AI26)),0)</f>
        <v>2740940</v>
      </c>
      <c r="L83" s="143">
        <f>ROUND(IF($E$31="Yes",IF(Data!$AG26&gt;0,(Duplicate!$L$23*Data!$AG26)+K83,(Duplicate!$L$24*Data!$AG26)+K83),IF(Data!$AF26&gt;0,(Duplicate!$L$23*Data!$AF26)+K83,(Duplicate!$L$24*Data!$AF26)+K83)),0)</f>
        <v>2685992</v>
      </c>
      <c r="M83" s="143">
        <f>ROUND(IF($E$31="Yes",IF(Data!$AG26&gt;0,(Duplicate!$M$23*Data!$AG26)+L83,(Duplicate!$M$24*Data!$AG26)+L83),IF(Data!$AF26&gt;0,(Duplicate!$M$23*Data!$AF26)+L83,(Duplicate!$M$24*Data!$AF26)+L83)),0)</f>
        <v>2631044</v>
      </c>
      <c r="N83" s="143">
        <f>ROUND(IF($E$31="Yes",IF(Data!$AG26&gt;0,(Duplicate!$N$23*Data!$AG26)+M83,(Duplicate!$N$24*Data!$AG26)+M83),IF(Data!$AF26&gt;0,(Duplicate!$N$23*Data!$AF26)+M83,(Duplicate!$N$24*Data!$AF26)+M83)),0)</f>
        <v>2576096</v>
      </c>
      <c r="O83" s="143">
        <f>ROUND(IF($E$31="Yes",IF(Data!$AG26&gt;0,(Duplicate!$O$23*Data!$AG26)+N83,(Duplicate!$O$24*Data!$AG26)+N83),IF(Data!$AF26&gt;0,(Duplicate!$O$23*Data!$AF26)+N83,(Duplicate!$O$24*Data!$AF26)+N83)),0)</f>
        <v>2521148</v>
      </c>
      <c r="P83" s="143">
        <f>ROUND(IF($E$31="Yes",IF(Data!$AG26&gt;0,(Duplicate!$P$23*Data!$AG26)+O83,(Duplicate!$P$24*Data!$AG26)+O83),IF(Data!$AF26&gt;0,(Duplicate!$P$23*Data!$AF26)+O83,(Duplicate!$P$24*Data!$AF26)+O83)),0)</f>
        <v>2466200</v>
      </c>
      <c r="Q83" s="143">
        <f>ROUND(IF($E$31="Yes",IF(Data!$AG26&gt;0,(Duplicate!$Q$23*Data!$AG26)+P83,(Duplicate!$Q$24*Data!$AG26)+P83),IF(Data!$AF26&gt;0,(Duplicate!$Q$23*Data!$AF26)+P83,(Duplicate!$Q$24*Data!$AF26)+P83)),0)</f>
        <v>2411252</v>
      </c>
      <c r="R83" s="143">
        <f>ROUND(IF($E$31="Yes",IF(Data!$AG26&gt;0,(Duplicate!$R$23*Data!$AG26)+Q83,(Duplicate!$R$24*Data!$AG26)+Q83),IF(Data!$AF26&gt;0,(Duplicate!$R$23*Data!$AF26)+Q83,(Duplicate!$R$24*Data!$AF26)+Q83)),0)</f>
        <v>2356304</v>
      </c>
      <c r="S83" s="143">
        <f>ROUND(IF($E$31="Yes",IF(Data!$AG26&gt;0,(Duplicate!$S$23*Data!$AG26)+R83,(Duplicate!$S$24*Data!$AG26)+R83),IF(Data!$AF26&gt;0,(Duplicate!$S$23*Data!$AF26)+R83,(Duplicate!$S$24*Data!$AF26)+R83)),0)</f>
        <v>2301356</v>
      </c>
      <c r="T83" s="143">
        <v>2747057</v>
      </c>
      <c r="U83" s="143">
        <v>2698226</v>
      </c>
      <c r="V83" s="143">
        <v>2649395</v>
      </c>
      <c r="W83" s="143">
        <v>2600564</v>
      </c>
      <c r="X83" s="143">
        <v>2551733</v>
      </c>
      <c r="Y83" s="143">
        <v>2502902</v>
      </c>
      <c r="Z83" s="143">
        <v>2454071</v>
      </c>
      <c r="AA83" s="143">
        <v>2405240</v>
      </c>
      <c r="AB83" s="143">
        <v>2356409</v>
      </c>
      <c r="AC83" s="129">
        <f t="shared" si="6"/>
        <v>-6117</v>
      </c>
      <c r="AD83" s="129">
        <f t="shared" si="7"/>
        <v>-12234</v>
      </c>
      <c r="AE83" s="129">
        <f t="shared" si="8"/>
        <v>-18351</v>
      </c>
      <c r="AF83" s="129">
        <f t="shared" si="9"/>
        <v>-24468</v>
      </c>
      <c r="AG83" s="129">
        <f t="shared" si="10"/>
        <v>-30585</v>
      </c>
      <c r="AH83" s="129">
        <f t="shared" si="11"/>
        <v>-36702</v>
      </c>
      <c r="AI83" s="129">
        <f t="shared" si="12"/>
        <v>-42819</v>
      </c>
      <c r="AJ83" s="129">
        <f t="shared" si="13"/>
        <v>-48936</v>
      </c>
      <c r="AK83" s="129">
        <f t="shared" si="14"/>
        <v>-55053</v>
      </c>
      <c r="AL83" s="127">
        <f t="shared" si="15"/>
        <v>-2.2267466601529895E-3</v>
      </c>
      <c r="AM83" s="127">
        <f t="shared" si="16"/>
        <v>-4.534090176286143E-3</v>
      </c>
      <c r="AN83" s="127">
        <f t="shared" si="17"/>
        <v>-6.926486990426084E-3</v>
      </c>
      <c r="AO83" s="127">
        <f t="shared" si="18"/>
        <v>-9.4087282604849998E-3</v>
      </c>
      <c r="AP83" s="127">
        <f t="shared" si="19"/>
        <v>-1.1985971886557145E-2</v>
      </c>
      <c r="AQ83" s="127">
        <f t="shared" si="20"/>
        <v>-1.4663778286165385E-2</v>
      </c>
      <c r="AR83" s="127">
        <f t="shared" si="21"/>
        <v>-1.7448150440635191E-2</v>
      </c>
      <c r="AS83" s="127">
        <f t="shared" si="22"/>
        <v>-2.0345578819577215E-2</v>
      </c>
      <c r="AT83" s="127">
        <f t="shared" si="23"/>
        <v>-2.3363091891093646E-2</v>
      </c>
      <c r="BX83" s="172"/>
      <c r="BY83" s="172"/>
      <c r="BZ83" s="172"/>
      <c r="CA83" s="172"/>
      <c r="CB83" s="172"/>
    </row>
    <row r="84" spans="1:80" s="18" customFormat="1" ht="13" x14ac:dyDescent="0.15">
      <c r="A84" s="29" t="s">
        <v>22</v>
      </c>
      <c r="B84" s="30">
        <f>IF(Data!D27=1, MAX(Data!AA27, $E$26) + INDEX(Duplicate!$E$39:$E$43, MATCH( Data!AD27, Duplicate!$B$39:$B$43, 0), 0), MAX(Data!AA27, $E$27) +  INDEX(Duplicate!$E$39:$E$43, MATCH( Data!AD27, Duplicate!$B$39:$B$43, 0), 0))</f>
        <v>0.296402</v>
      </c>
      <c r="C84" s="128">
        <f>ROUND(Data!R27/13*100, 2)</f>
        <v>0</v>
      </c>
      <c r="D84" s="141">
        <f>ROUND(Data!Q27*C84, 0)</f>
        <v>0</v>
      </c>
      <c r="E84" s="142">
        <f>ROUND($E$22*Data!W27*B84, 0)</f>
        <v>987609</v>
      </c>
      <c r="F84" s="143">
        <f>IF(E84=0, 0,IF($E$31="Yes", IF(Data!D27=1, MAX(Duplicate!D84+Duplicate!E84, Data!AE27), Duplicate!D84+Duplicate!E84), Duplicate!D84+Duplicate!E84))</f>
        <v>987609</v>
      </c>
      <c r="G84" s="143">
        <v>1042704</v>
      </c>
      <c r="H84" s="129">
        <f>F84-Data!AL27</f>
        <v>-202486</v>
      </c>
      <c r="I84" s="127">
        <f>((F84)/(Data!AL27)) - 1</f>
        <v>-0.17014271969884753</v>
      </c>
      <c r="J84" s="127">
        <f t="shared" si="5"/>
        <v>-5.2838581227270587E-2</v>
      </c>
      <c r="K84" s="143">
        <f>ROUND(IF($E$31="Yes",IF(Data!AG27&gt;0,(Duplicate!$K$23*Data!AG27)+Data!AI27,(Duplicate!$K$24*Data!AG27)+Data!AI27),IF(Data!AF27&gt;0,(Duplicate!$K$23*Data!AF27)+Data!AI27,(Duplicate!$K$24*Data!AF27)+Data!AI27)),0)</f>
        <v>1205095</v>
      </c>
      <c r="L84" s="143">
        <f>ROUND(IF($E$31="Yes",IF(Data!$AG27&gt;0,(Duplicate!$L$23*Data!$AG27)+K84,(Duplicate!$L$24*Data!$AG27)+K84),IF(Data!$AF27&gt;0,(Duplicate!$L$23*Data!$AF27)+K84,(Duplicate!$L$24*Data!$AF27)+K84)),0)</f>
        <v>1187517</v>
      </c>
      <c r="M84" s="143">
        <f>ROUND(IF($E$31="Yes",IF(Data!$AG27&gt;0,(Duplicate!$M$23*Data!$AG27)+L84,(Duplicate!$M$24*Data!$AG27)+L84),IF(Data!$AF27&gt;0,(Duplicate!$M$23*Data!$AF27)+L84,(Duplicate!$M$24*Data!$AF27)+L84)),0)</f>
        <v>1169939</v>
      </c>
      <c r="N84" s="143">
        <f>ROUND(IF($E$31="Yes",IF(Data!$AG27&gt;0,(Duplicate!$N$23*Data!$AG27)+M84,(Duplicate!$N$24*Data!$AG27)+M84),IF(Data!$AF27&gt;0,(Duplicate!$N$23*Data!$AF27)+M84,(Duplicate!$N$24*Data!$AF27)+M84)),0)</f>
        <v>1152361</v>
      </c>
      <c r="O84" s="143">
        <f>ROUND(IF($E$31="Yes",IF(Data!$AG27&gt;0,(Duplicate!$O$23*Data!$AG27)+N84,(Duplicate!$O$24*Data!$AG27)+N84),IF(Data!$AF27&gt;0,(Duplicate!$O$23*Data!$AF27)+N84,(Duplicate!$O$24*Data!$AF27)+N84)),0)</f>
        <v>1134783</v>
      </c>
      <c r="P84" s="143">
        <f>ROUND(IF($E$31="Yes",IF(Data!$AG27&gt;0,(Duplicate!$P$23*Data!$AG27)+O84,(Duplicate!$P$24*Data!$AG27)+O84),IF(Data!$AF27&gt;0,(Duplicate!$P$23*Data!$AF27)+O84,(Duplicate!$P$24*Data!$AF27)+O84)),0)</f>
        <v>1117205</v>
      </c>
      <c r="Q84" s="143">
        <f>ROUND(IF($E$31="Yes",IF(Data!$AG27&gt;0,(Duplicate!$Q$23*Data!$AG27)+P84,(Duplicate!$Q$24*Data!$AG27)+P84),IF(Data!$AF27&gt;0,(Duplicate!$Q$23*Data!$AF27)+P84,(Duplicate!$Q$24*Data!$AF27)+P84)),0)</f>
        <v>1099627</v>
      </c>
      <c r="R84" s="143">
        <f>ROUND(IF($E$31="Yes",IF(Data!$AG27&gt;0,(Duplicate!$R$23*Data!$AG27)+Q84,(Duplicate!$R$24*Data!$AG27)+Q84),IF(Data!$AF27&gt;0,(Duplicate!$R$23*Data!$AF27)+Q84,(Duplicate!$R$24*Data!$AF27)+Q84)),0)</f>
        <v>1082049</v>
      </c>
      <c r="S84" s="143">
        <f>ROUND(IF($E$31="Yes",IF(Data!$AG27&gt;0,(Duplicate!$S$23*Data!$AG27)+R84,(Duplicate!$S$24*Data!$AG27)+R84),IF(Data!$AF27&gt;0,(Duplicate!$S$23*Data!$AF27)+R84,(Duplicate!$S$24*Data!$AF27)+R84)),0)</f>
        <v>1064471</v>
      </c>
      <c r="T84" s="143">
        <v>1207585</v>
      </c>
      <c r="U84" s="143">
        <v>1192497</v>
      </c>
      <c r="V84" s="143">
        <v>1177409</v>
      </c>
      <c r="W84" s="143">
        <v>1162321</v>
      </c>
      <c r="X84" s="143">
        <v>1147233</v>
      </c>
      <c r="Y84" s="143">
        <v>1132145</v>
      </c>
      <c r="Z84" s="143">
        <v>1117057</v>
      </c>
      <c r="AA84" s="143">
        <v>1101969</v>
      </c>
      <c r="AB84" s="143">
        <v>1086881</v>
      </c>
      <c r="AC84" s="129">
        <f t="shared" si="6"/>
        <v>-2490</v>
      </c>
      <c r="AD84" s="129">
        <f t="shared" si="7"/>
        <v>-4980</v>
      </c>
      <c r="AE84" s="129">
        <f t="shared" si="8"/>
        <v>-7470</v>
      </c>
      <c r="AF84" s="129">
        <f t="shared" si="9"/>
        <v>-9960</v>
      </c>
      <c r="AG84" s="129">
        <f t="shared" si="10"/>
        <v>-12450</v>
      </c>
      <c r="AH84" s="129">
        <f t="shared" si="11"/>
        <v>-14940</v>
      </c>
      <c r="AI84" s="129">
        <f t="shared" si="12"/>
        <v>-17430</v>
      </c>
      <c r="AJ84" s="129">
        <f t="shared" si="13"/>
        <v>-19920</v>
      </c>
      <c r="AK84" s="129">
        <f t="shared" si="14"/>
        <v>-22410</v>
      </c>
      <c r="AL84" s="127">
        <f t="shared" si="15"/>
        <v>-2.0619666524509528E-3</v>
      </c>
      <c r="AM84" s="127">
        <f t="shared" si="16"/>
        <v>-4.1761111348708191E-3</v>
      </c>
      <c r="AN84" s="127">
        <f t="shared" si="17"/>
        <v>-6.3444393579461522E-3</v>
      </c>
      <c r="AO84" s="127">
        <f t="shared" si="18"/>
        <v>-8.5690613866564735E-3</v>
      </c>
      <c r="AP84" s="127">
        <f t="shared" si="19"/>
        <v>-1.0852198289275194E-2</v>
      </c>
      <c r="AQ84" s="127">
        <f t="shared" si="20"/>
        <v>-1.3196189534026126E-2</v>
      </c>
      <c r="AR84" s="127">
        <f t="shared" si="21"/>
        <v>-1.5603500985178043E-2</v>
      </c>
      <c r="AS84" s="127">
        <f t="shared" si="22"/>
        <v>-1.807673355602557E-2</v>
      </c>
      <c r="AT84" s="127">
        <f t="shared" si="23"/>
        <v>-2.0618632582591889E-2</v>
      </c>
      <c r="BX84" s="93"/>
      <c r="BY84" s="93"/>
      <c r="BZ84" s="93"/>
      <c r="CA84" s="93"/>
      <c r="CB84" s="93"/>
    </row>
    <row r="85" spans="1:80" s="18" customFormat="1" ht="13" x14ac:dyDescent="0.15">
      <c r="A85" s="29" t="s">
        <v>23</v>
      </c>
      <c r="B85" s="30">
        <f>IF(Data!D28=1, MAX(Data!AA28, $E$26) + INDEX(Duplicate!$E$39:$E$43, MATCH( Data!AD28, Duplicate!$B$39:$B$43, 0), 0), MAX(Data!AA28, $E$27) +  INDEX(Duplicate!$E$39:$E$43, MATCH( Data!AD28, Duplicate!$B$39:$B$43, 0), 0))</f>
        <v>0.10338</v>
      </c>
      <c r="C85" s="128">
        <f>ROUND(Data!R28/13*100, 2)</f>
        <v>0</v>
      </c>
      <c r="D85" s="141">
        <f>ROUND(Data!Q28*C85, 0)</f>
        <v>0</v>
      </c>
      <c r="E85" s="142">
        <f>ROUND($E$22*Data!W28*B85, 0)</f>
        <v>3509465</v>
      </c>
      <c r="F85" s="143">
        <f>IF(E85=0, 0,IF($E$31="Yes", IF(Data!D28=1, MAX(Duplicate!D85+Duplicate!E85, Data!AE28), Duplicate!D85+Duplicate!E85), Duplicate!D85+Duplicate!E85))</f>
        <v>3509465</v>
      </c>
      <c r="G85" s="143">
        <v>4044750</v>
      </c>
      <c r="H85" s="129">
        <f>F85-Data!AL28</f>
        <v>890378</v>
      </c>
      <c r="I85" s="127">
        <f>((F85)/(Data!AL28)) - 1</f>
        <v>0.33995739736786135</v>
      </c>
      <c r="J85" s="127">
        <f t="shared" si="5"/>
        <v>-0.13234068854688175</v>
      </c>
      <c r="K85" s="143">
        <f>ROUND(IF($E$31="Yes",IF(Data!AG28&gt;0,(Duplicate!$K$23*Data!AG28)+Data!AI28,(Duplicate!$K$24*Data!AG28)+Data!AI28),IF(Data!AF28&gt;0,(Duplicate!$K$23*Data!AF28)+Data!AI28,(Duplicate!$K$24*Data!AF28)+Data!AI28)),0)</f>
        <v>2426748</v>
      </c>
      <c r="L85" s="143">
        <f>ROUND(IF($E$31="Yes",IF(Data!$AG28&gt;0,(Duplicate!$L$23*Data!$AG28)+K85,(Duplicate!$L$24*Data!$AG28)+K85),IF(Data!$AF28&gt;0,(Duplicate!$L$23*Data!$AF28)+K85,(Duplicate!$L$24*Data!$AF28)+K85)),0)</f>
        <v>2565074</v>
      </c>
      <c r="M85" s="143">
        <f>ROUND(IF($E$31="Yes",IF(Data!$AG28&gt;0,(Duplicate!$M$23*Data!$AG28)+L85,(Duplicate!$M$24*Data!$AG28)+L85),IF(Data!$AF28&gt;0,(Duplicate!$M$23*Data!$AF28)+L85,(Duplicate!$M$24*Data!$AF28)+L85)),0)</f>
        <v>2703400</v>
      </c>
      <c r="N85" s="143">
        <f>ROUND(IF($E$31="Yes",IF(Data!$AG28&gt;0,(Duplicate!$N$23*Data!$AG28)+M85,(Duplicate!$N$24*Data!$AG28)+M85),IF(Data!$AF28&gt;0,(Duplicate!$N$23*Data!$AF28)+M85,(Duplicate!$N$24*Data!$AF28)+M85)),0)</f>
        <v>2841726</v>
      </c>
      <c r="O85" s="143">
        <f>ROUND(IF($E$31="Yes",IF(Data!$AG28&gt;0,(Duplicate!$O$23*Data!$AG28)+N85,(Duplicate!$O$24*Data!$AG28)+N85),IF(Data!$AF28&gt;0,(Duplicate!$O$23*Data!$AF28)+N85,(Duplicate!$O$24*Data!$AF28)+N85)),0)</f>
        <v>2980052</v>
      </c>
      <c r="P85" s="143">
        <f>ROUND(IF($E$31="Yes",IF(Data!$AG28&gt;0,(Duplicate!$P$23*Data!$AG28)+O85,(Duplicate!$P$24*Data!$AG28)+O85),IF(Data!$AF28&gt;0,(Duplicate!$P$23*Data!$AF28)+O85,(Duplicate!$P$24*Data!$AF28)+O85)),0)</f>
        <v>3118378</v>
      </c>
      <c r="Q85" s="143">
        <f>ROUND(IF($E$31="Yes",IF(Data!$AG28&gt;0,(Duplicate!$Q$23*Data!$AG28)+P85,(Duplicate!$Q$24*Data!$AG28)+P85),IF(Data!$AF28&gt;0,(Duplicate!$Q$23*Data!$AF28)+P85,(Duplicate!$Q$24*Data!$AF28)+P85)),0)</f>
        <v>3256704</v>
      </c>
      <c r="R85" s="143">
        <f>ROUND(IF($E$31="Yes",IF(Data!$AG28&gt;0,(Duplicate!$R$23*Data!$AG28)+Q85,(Duplicate!$R$24*Data!$AG28)+Q85),IF(Data!$AF28&gt;0,(Duplicate!$R$23*Data!$AF28)+Q85,(Duplicate!$R$24*Data!$AF28)+Q85)),0)</f>
        <v>3395030</v>
      </c>
      <c r="S85" s="143">
        <f>ROUND(IF($E$31="Yes",IF(Data!$AG28&gt;0,(Duplicate!$S$23*Data!$AG28)+R85,(Duplicate!$S$24*Data!$AG28)+R85),IF(Data!$AF28&gt;0,(Duplicate!$S$23*Data!$AF28)+R85,(Duplicate!$S$24*Data!$AF28)+R85)),0)</f>
        <v>3533356</v>
      </c>
      <c r="T85" s="143">
        <v>2483809</v>
      </c>
      <c r="U85" s="143">
        <v>2679196</v>
      </c>
      <c r="V85" s="143">
        <v>2874583</v>
      </c>
      <c r="W85" s="143">
        <v>3069970</v>
      </c>
      <c r="X85" s="143">
        <v>3265357</v>
      </c>
      <c r="Y85" s="143">
        <v>3460744</v>
      </c>
      <c r="Z85" s="143">
        <v>3656131</v>
      </c>
      <c r="AA85" s="143">
        <v>3851518</v>
      </c>
      <c r="AB85" s="143">
        <v>4046905</v>
      </c>
      <c r="AC85" s="129">
        <f t="shared" si="6"/>
        <v>-57061</v>
      </c>
      <c r="AD85" s="129">
        <f t="shared" si="7"/>
        <v>-114122</v>
      </c>
      <c r="AE85" s="129">
        <f t="shared" si="8"/>
        <v>-171183</v>
      </c>
      <c r="AF85" s="129">
        <f t="shared" si="9"/>
        <v>-228244</v>
      </c>
      <c r="AG85" s="129">
        <f t="shared" si="10"/>
        <v>-285305</v>
      </c>
      <c r="AH85" s="129">
        <f t="shared" si="11"/>
        <v>-342366</v>
      </c>
      <c r="AI85" s="129">
        <f t="shared" si="12"/>
        <v>-399427</v>
      </c>
      <c r="AJ85" s="129">
        <f t="shared" si="13"/>
        <v>-456488</v>
      </c>
      <c r="AK85" s="129">
        <f t="shared" si="14"/>
        <v>-513549</v>
      </c>
      <c r="AL85" s="127">
        <f t="shared" si="15"/>
        <v>-2.2973183525786367E-2</v>
      </c>
      <c r="AM85" s="127">
        <f t="shared" si="16"/>
        <v>-4.259561450524707E-2</v>
      </c>
      <c r="AN85" s="127">
        <f t="shared" si="17"/>
        <v>-5.9550550462449725E-2</v>
      </c>
      <c r="AO85" s="127">
        <f t="shared" si="18"/>
        <v>-7.4347306325468931E-2</v>
      </c>
      <c r="AP85" s="127">
        <f t="shared" si="19"/>
        <v>-8.7373294864849349E-2</v>
      </c>
      <c r="AQ85" s="127">
        <f t="shared" si="20"/>
        <v>-9.8928438509176098E-2</v>
      </c>
      <c r="AR85" s="127">
        <f t="shared" si="21"/>
        <v>-0.10924854716638988</v>
      </c>
      <c r="AS85" s="127">
        <f t="shared" si="22"/>
        <v>-0.11852158032235605</v>
      </c>
      <c r="AT85" s="127">
        <f t="shared" si="23"/>
        <v>-0.12689919827621354</v>
      </c>
      <c r="BX85" s="93"/>
      <c r="BY85" s="93"/>
      <c r="BZ85" s="93"/>
      <c r="CA85" s="93"/>
      <c r="CB85" s="93"/>
    </row>
    <row r="86" spans="1:80" s="18" customFormat="1" ht="13" x14ac:dyDescent="0.15">
      <c r="A86" s="29" t="s">
        <v>25</v>
      </c>
      <c r="B86" s="30">
        <f>IF(Data!D29=1, MAX(Data!AA29, $E$26) + INDEX(Duplicate!$E$39:$E$43, MATCH( Data!AD29, Duplicate!$B$39:$B$43, 0), 0), MAX(Data!AA29, $E$27) +  INDEX(Duplicate!$E$39:$E$43, MATCH( Data!AD29, Duplicate!$B$39:$B$43, 0), 0))</f>
        <v>0.69878499999999999</v>
      </c>
      <c r="C86" s="128">
        <f>ROUND(Data!R29/13*100, 2)</f>
        <v>0</v>
      </c>
      <c r="D86" s="141">
        <f>ROUND(Data!Q29*C86, 0)</f>
        <v>0</v>
      </c>
      <c r="E86" s="142">
        <f>ROUND($E$22*Data!W29*B86, 0)</f>
        <v>195458672</v>
      </c>
      <c r="F86" s="143">
        <f>IF(E86=0, 0,IF($E$31="Yes", IF(Data!D29=1, MAX(Duplicate!D86+Duplicate!E86, Data!AE29), Duplicate!D86+Duplicate!E86), Duplicate!D86+Duplicate!E86))</f>
        <v>195458672</v>
      </c>
      <c r="G86" s="143">
        <v>207930131</v>
      </c>
      <c r="H86" s="129">
        <f>F86-Data!AL29</f>
        <v>8044294</v>
      </c>
      <c r="I86" s="127">
        <f>((F86)/(Data!AL29)) - 1</f>
        <v>4.2922501922451284E-2</v>
      </c>
      <c r="J86" s="127">
        <f t="shared" si="5"/>
        <v>-5.9979084993699194E-2</v>
      </c>
      <c r="K86" s="143">
        <f>ROUND(IF($E$31="Yes",IF(Data!AG29&gt;0,(Duplicate!$K$23*Data!AG29)+Data!AI29,(Duplicate!$K$24*Data!AG29)+Data!AI29),IF(Data!AF29&gt;0,(Duplicate!$K$23*Data!AF29)+Data!AI29,(Duplicate!$K$24*Data!AF29)+Data!AI29)),0)</f>
        <v>183761416</v>
      </c>
      <c r="L86" s="143">
        <f>ROUND(IF($E$31="Yes",IF(Data!$AG29&gt;0,(Duplicate!$L$23*Data!$AG29)+K86,(Duplicate!$L$24*Data!$AG29)+K86),IF(Data!$AF29&gt;0,(Duplicate!$L$23*Data!$AF29)+K86,(Duplicate!$L$24*Data!$AF29)+K86)),0)</f>
        <v>185291476</v>
      </c>
      <c r="M86" s="143">
        <f>ROUND(IF($E$31="Yes",IF(Data!$AG29&gt;0,(Duplicate!$M$23*Data!$AG29)+L86,(Duplicate!$M$24*Data!$AG29)+L86),IF(Data!$AF29&gt;0,(Duplicate!$M$23*Data!$AF29)+L86,(Duplicate!$M$24*Data!$AF29)+L86)),0)</f>
        <v>186821536</v>
      </c>
      <c r="N86" s="143">
        <f>ROUND(IF($E$31="Yes",IF(Data!$AG29&gt;0,(Duplicate!$N$23*Data!$AG29)+M86,(Duplicate!$N$24*Data!$AG29)+M86),IF(Data!$AF29&gt;0,(Duplicate!$N$23*Data!$AF29)+M86,(Duplicate!$N$24*Data!$AF29)+M86)),0)</f>
        <v>188351596</v>
      </c>
      <c r="O86" s="143">
        <f>ROUND(IF($E$31="Yes",IF(Data!$AG29&gt;0,(Duplicate!$O$23*Data!$AG29)+N86,(Duplicate!$O$24*Data!$AG29)+N86),IF(Data!$AF29&gt;0,(Duplicate!$O$23*Data!$AF29)+N86,(Duplicate!$O$24*Data!$AF29)+N86)),0)</f>
        <v>189881656</v>
      </c>
      <c r="P86" s="143">
        <f>ROUND(IF($E$31="Yes",IF(Data!$AG29&gt;0,(Duplicate!$P$23*Data!$AG29)+O86,(Duplicate!$P$24*Data!$AG29)+O86),IF(Data!$AF29&gt;0,(Duplicate!$P$23*Data!$AF29)+O86,(Duplicate!$P$24*Data!$AF29)+O86)),0)</f>
        <v>191411716</v>
      </c>
      <c r="Q86" s="143">
        <f>ROUND(IF($E$31="Yes",IF(Data!$AG29&gt;0,(Duplicate!$Q$23*Data!$AG29)+P86,(Duplicate!$Q$24*Data!$AG29)+P86),IF(Data!$AF29&gt;0,(Duplicate!$Q$23*Data!$AF29)+P86,(Duplicate!$Q$24*Data!$AF29)+P86)),0)</f>
        <v>192941776</v>
      </c>
      <c r="R86" s="143">
        <f>ROUND(IF($E$31="Yes",IF(Data!$AG29&gt;0,(Duplicate!$R$23*Data!$AG29)+Q86,(Duplicate!$R$24*Data!$AG29)+Q86),IF(Data!$AF29&gt;0,(Duplicate!$R$23*Data!$AF29)+Q86,(Duplicate!$R$24*Data!$AF29)+Q86)),0)</f>
        <v>194471836</v>
      </c>
      <c r="S86" s="143">
        <f>ROUND(IF($E$31="Yes",IF(Data!$AG29&gt;0,(Duplicate!$S$23*Data!$AG29)+R86,(Duplicate!$S$24*Data!$AG29)+R86),IF(Data!$AF29&gt;0,(Duplicate!$S$23*Data!$AF29)+R86,(Duplicate!$S$24*Data!$AF29)+R86)),0)</f>
        <v>196001896</v>
      </c>
      <c r="T86" s="143">
        <v>185090874</v>
      </c>
      <c r="U86" s="143">
        <v>187950391</v>
      </c>
      <c r="V86" s="143">
        <v>190809908</v>
      </c>
      <c r="W86" s="143">
        <v>193669425</v>
      </c>
      <c r="X86" s="143">
        <v>196528942</v>
      </c>
      <c r="Y86" s="143">
        <v>199388459</v>
      </c>
      <c r="Z86" s="143">
        <v>202247976</v>
      </c>
      <c r="AA86" s="143">
        <v>205107493</v>
      </c>
      <c r="AB86" s="143">
        <v>207967010</v>
      </c>
      <c r="AC86" s="129">
        <f t="shared" si="6"/>
        <v>-1329458</v>
      </c>
      <c r="AD86" s="129">
        <f t="shared" si="7"/>
        <v>-2658915</v>
      </c>
      <c r="AE86" s="129">
        <f t="shared" si="8"/>
        <v>-3988372</v>
      </c>
      <c r="AF86" s="129">
        <f t="shared" si="9"/>
        <v>-5317829</v>
      </c>
      <c r="AG86" s="129">
        <f t="shared" si="10"/>
        <v>-6647286</v>
      </c>
      <c r="AH86" s="129">
        <f t="shared" si="11"/>
        <v>-7976743</v>
      </c>
      <c r="AI86" s="129">
        <f t="shared" si="12"/>
        <v>-9306200</v>
      </c>
      <c r="AJ86" s="129">
        <f t="shared" si="13"/>
        <v>-10635657</v>
      </c>
      <c r="AK86" s="129">
        <f t="shared" si="14"/>
        <v>-11965114</v>
      </c>
      <c r="AL86" s="127">
        <f t="shared" si="15"/>
        <v>-7.1827312242309649E-3</v>
      </c>
      <c r="AM86" s="127">
        <f t="shared" si="16"/>
        <v>-1.4146897943936754E-2</v>
      </c>
      <c r="AN86" s="127">
        <f t="shared" si="17"/>
        <v>-2.0902331759417914E-2</v>
      </c>
      <c r="AO86" s="127">
        <f t="shared" si="18"/>
        <v>-2.7458278455672613E-2</v>
      </c>
      <c r="AP86" s="127">
        <f t="shared" si="19"/>
        <v>-3.3823445709080358E-2</v>
      </c>
      <c r="AQ86" s="127">
        <f t="shared" si="20"/>
        <v>-4.0006041673655734E-2</v>
      </c>
      <c r="AR86" s="127">
        <f t="shared" si="21"/>
        <v>-4.6013810293953239E-2</v>
      </c>
      <c r="AS86" s="127">
        <f t="shared" si="22"/>
        <v>-5.1854063664070971E-2</v>
      </c>
      <c r="AT86" s="127">
        <f t="shared" si="23"/>
        <v>-5.7533711717065117E-2</v>
      </c>
      <c r="BX86" s="93"/>
      <c r="BY86" s="93"/>
      <c r="BZ86" s="93"/>
      <c r="CA86" s="93"/>
      <c r="CB86" s="93"/>
    </row>
    <row r="87" spans="1:80" s="18" customFormat="1" ht="13" x14ac:dyDescent="0.15">
      <c r="A87" s="29" t="s">
        <v>26</v>
      </c>
      <c r="B87" s="30">
        <f>IF(Data!D30=1, MAX(Data!AA30, $E$26) + INDEX(Duplicate!$E$39:$E$43, MATCH( Data!AD30, Duplicate!$B$39:$B$43, 0), 0), MAX(Data!AA30, $E$27) +  INDEX(Duplicate!$E$39:$E$43, MATCH( Data!AD30, Duplicate!$B$39:$B$43, 0), 0))</f>
        <v>0.01</v>
      </c>
      <c r="C87" s="128">
        <f>ROUND(Data!R30/13*100, 2)</f>
        <v>100</v>
      </c>
      <c r="D87" s="141">
        <f>ROUND(Data!Q30*C87, 0)</f>
        <v>11200</v>
      </c>
      <c r="E87" s="142">
        <f>ROUND($E$22*Data!W30*B87, 0)</f>
        <v>13288</v>
      </c>
      <c r="F87" s="143">
        <f>IF(E87=0, 0,IF($E$31="Yes", IF(Data!D30=1, MAX(Duplicate!D87+Duplicate!E87, Data!AE30), Duplicate!D87+Duplicate!E87), Duplicate!D87+Duplicate!E87))</f>
        <v>24488</v>
      </c>
      <c r="G87" s="143">
        <v>24778</v>
      </c>
      <c r="H87" s="129">
        <f>F87-Data!AL30</f>
        <v>924</v>
      </c>
      <c r="I87" s="127">
        <f>((F87)/(Data!AL30)) - 1</f>
        <v>3.9212357833984024E-2</v>
      </c>
      <c r="J87" s="127">
        <f t="shared" si="5"/>
        <v>-1.1703930906449278E-2</v>
      </c>
      <c r="K87" s="143">
        <f>ROUND(IF($E$31="Yes",IF(Data!AG30&gt;0,(Duplicate!$K$23*Data!AG30)+Data!AI30,(Duplicate!$K$24*Data!AG30)+Data!AI30),IF(Data!AF30&gt;0,(Duplicate!$K$23*Data!AF30)+Data!AI30,(Duplicate!$K$24*Data!AF30)+Data!AI30)),0)</f>
        <v>37563</v>
      </c>
      <c r="L87" s="143">
        <f>ROUND(IF($E$31="Yes",IF(Data!$AG30&gt;0,(Duplicate!$L$23*Data!$AG30)+K87,(Duplicate!$L$24*Data!$AG30)+K87),IF(Data!$AF30&gt;0,(Duplicate!$L$23*Data!$AF30)+K87,(Duplicate!$L$24*Data!$AF30)+K87)),0)</f>
        <v>52047</v>
      </c>
      <c r="M87" s="143">
        <f>ROUND(IF($E$31="Yes",IF(Data!$AG30&gt;0,(Duplicate!$M$23*Data!$AG30)+L87,(Duplicate!$M$24*Data!$AG30)+L87),IF(Data!$AF30&gt;0,(Duplicate!$M$23*Data!$AF30)+L87,(Duplicate!$M$24*Data!$AF30)+L87)),0)</f>
        <v>66531</v>
      </c>
      <c r="N87" s="143">
        <f>ROUND(IF($E$31="Yes",IF(Data!$AG30&gt;0,(Duplicate!$N$23*Data!$AG30)+M87,(Duplicate!$N$24*Data!$AG30)+M87),IF(Data!$AF30&gt;0,(Duplicate!$N$23*Data!$AF30)+M87,(Duplicate!$N$24*Data!$AF30)+M87)),0)</f>
        <v>81015</v>
      </c>
      <c r="O87" s="143">
        <f>ROUND(IF($E$31="Yes",IF(Data!$AG30&gt;0,(Duplicate!$O$23*Data!$AG30)+N87,(Duplicate!$O$24*Data!$AG30)+N87),IF(Data!$AF30&gt;0,(Duplicate!$O$23*Data!$AF30)+N87,(Duplicate!$O$24*Data!$AF30)+N87)),0)</f>
        <v>95499</v>
      </c>
      <c r="P87" s="143">
        <f>ROUND(IF($E$31="Yes",IF(Data!$AG30&gt;0,(Duplicate!$P$23*Data!$AG30)+O87,(Duplicate!$P$24*Data!$AG30)+O87),IF(Data!$AF30&gt;0,(Duplicate!$P$23*Data!$AF30)+O87,(Duplicate!$P$24*Data!$AF30)+O87)),0)</f>
        <v>109983</v>
      </c>
      <c r="Q87" s="143">
        <f>ROUND(IF($E$31="Yes",IF(Data!$AG30&gt;0,(Duplicate!$Q$23*Data!$AG30)+P87,(Duplicate!$Q$24*Data!$AG30)+P87),IF(Data!$AF30&gt;0,(Duplicate!$Q$23*Data!$AF30)+P87,(Duplicate!$Q$24*Data!$AF30)+P87)),0)</f>
        <v>124467</v>
      </c>
      <c r="R87" s="143">
        <f>ROUND(IF($E$31="Yes",IF(Data!$AG30&gt;0,(Duplicate!$R$23*Data!$AG30)+Q87,(Duplicate!$R$24*Data!$AG30)+Q87),IF(Data!$AF30&gt;0,(Duplicate!$R$23*Data!$AF30)+Q87,(Duplicate!$R$24*Data!$AF30)+Q87)),0)</f>
        <v>138951</v>
      </c>
      <c r="S87" s="143">
        <f>ROUND(IF($E$31="Yes",IF(Data!$AG30&gt;0,(Duplicate!$S$23*Data!$AG30)+R87,(Duplicate!$S$24*Data!$AG30)+R87),IF(Data!$AF30&gt;0,(Duplicate!$S$23*Data!$AF30)+R87,(Duplicate!$S$24*Data!$AF30)+R87)),0)</f>
        <v>153435</v>
      </c>
      <c r="T87" s="143">
        <v>23267</v>
      </c>
      <c r="U87" s="143">
        <v>23455</v>
      </c>
      <c r="V87" s="143">
        <v>23643</v>
      </c>
      <c r="W87" s="143">
        <v>23831</v>
      </c>
      <c r="X87" s="143">
        <v>24019</v>
      </c>
      <c r="Y87" s="143">
        <v>24207</v>
      </c>
      <c r="Z87" s="143">
        <v>24395</v>
      </c>
      <c r="AA87" s="143">
        <v>24583</v>
      </c>
      <c r="AB87" s="143">
        <v>24771</v>
      </c>
      <c r="AC87" s="129">
        <f t="shared" si="6"/>
        <v>14296</v>
      </c>
      <c r="AD87" s="129">
        <f t="shared" si="7"/>
        <v>28592</v>
      </c>
      <c r="AE87" s="129">
        <f t="shared" si="8"/>
        <v>42888</v>
      </c>
      <c r="AF87" s="129">
        <f t="shared" si="9"/>
        <v>57184</v>
      </c>
      <c r="AG87" s="129">
        <f t="shared" si="10"/>
        <v>71480</v>
      </c>
      <c r="AH87" s="129">
        <f t="shared" si="11"/>
        <v>85776</v>
      </c>
      <c r="AI87" s="129">
        <f t="shared" si="12"/>
        <v>100072</v>
      </c>
      <c r="AJ87" s="129">
        <f t="shared" si="13"/>
        <v>114368</v>
      </c>
      <c r="AK87" s="129">
        <f t="shared" si="14"/>
        <v>128664</v>
      </c>
      <c r="AL87" s="127">
        <f t="shared" si="15"/>
        <v>0.61443245798770785</v>
      </c>
      <c r="AM87" s="127">
        <f t="shared" si="16"/>
        <v>1.2190151353655936</v>
      </c>
      <c r="AN87" s="127">
        <f t="shared" si="17"/>
        <v>1.8139829970815886</v>
      </c>
      <c r="AO87" s="127">
        <f t="shared" si="18"/>
        <v>2.399563593638538</v>
      </c>
      <c r="AP87" s="127">
        <f t="shared" si="19"/>
        <v>2.975977351263583</v>
      </c>
      <c r="AQ87" s="127">
        <f t="shared" si="20"/>
        <v>3.543437848556203</v>
      </c>
      <c r="AR87" s="127">
        <f t="shared" si="21"/>
        <v>4.1021520803443332</v>
      </c>
      <c r="AS87" s="127">
        <f t="shared" si="22"/>
        <v>4.6523207094333481</v>
      </c>
      <c r="AT87" s="127">
        <f t="shared" si="23"/>
        <v>5.1941383068911229</v>
      </c>
      <c r="BX87" s="93"/>
      <c r="BY87" s="93"/>
      <c r="BZ87" s="93"/>
      <c r="CA87" s="93"/>
      <c r="CB87" s="93"/>
    </row>
    <row r="88" spans="1:80" s="18" customFormat="1" ht="13" x14ac:dyDescent="0.15">
      <c r="A88" s="29" t="s">
        <v>27</v>
      </c>
      <c r="B88" s="30">
        <f>IF(Data!D31=1, MAX(Data!AA31, $E$26) + INDEX(Duplicate!$E$39:$E$43, MATCH( Data!AD31, Duplicate!$B$39:$B$43, 0), 0), MAX(Data!AA31, $E$27) +  INDEX(Duplicate!$E$39:$E$43, MATCH( Data!AD31, Duplicate!$B$39:$B$43, 0), 0))</f>
        <v>0.47968699999999997</v>
      </c>
      <c r="C88" s="128">
        <f>ROUND(Data!R31/13*100, 2)</f>
        <v>0</v>
      </c>
      <c r="D88" s="141">
        <f>ROUND(Data!Q31*C88, 0)</f>
        <v>0</v>
      </c>
      <c r="E88" s="142">
        <f>ROUND($E$22*Data!W31*B88, 0)</f>
        <v>51585156</v>
      </c>
      <c r="F88" s="143">
        <f>IF(E88=0, 0,IF($E$31="Yes", IF(Data!D31=1, MAX(Duplicate!D88+Duplicate!E88, Data!AE31), Duplicate!D88+Duplicate!E88), Duplicate!D88+Duplicate!E88))</f>
        <v>51585156</v>
      </c>
      <c r="G88" s="143">
        <v>54440835</v>
      </c>
      <c r="H88" s="129">
        <f>F88-Data!AL31</f>
        <v>4160590</v>
      </c>
      <c r="I88" s="127">
        <f>((F88)/(Data!AL31)) - 1</f>
        <v>8.7730692148031419E-2</v>
      </c>
      <c r="J88" s="127">
        <f t="shared" si="5"/>
        <v>-5.245472447290711E-2</v>
      </c>
      <c r="K88" s="143">
        <f>ROUND(IF($E$31="Yes",IF(Data!AG31&gt;0,(Duplicate!$K$23*Data!AG31)+Data!AI31,(Duplicate!$K$24*Data!AG31)+Data!AI31),IF(Data!AF31&gt;0,(Duplicate!$K$23*Data!AF31)+Data!AI31,(Duplicate!$K$24*Data!AF31)+Data!AI31)),0)</f>
        <v>45982085</v>
      </c>
      <c r="L88" s="143">
        <f>ROUND(IF($E$31="Yes",IF(Data!$AG31&gt;0,(Duplicate!$L$23*Data!$AG31)+K88,(Duplicate!$L$24*Data!$AG31)+K88),IF(Data!$AF31&gt;0,(Duplicate!$L$23*Data!$AF31)+K88,(Duplicate!$L$24*Data!$AF31)+K88)),0)</f>
        <v>46699661</v>
      </c>
      <c r="M88" s="143">
        <f>ROUND(IF($E$31="Yes",IF(Data!$AG31&gt;0,(Duplicate!$M$23*Data!$AG31)+L88,(Duplicate!$M$24*Data!$AG31)+L88),IF(Data!$AF31&gt;0,(Duplicate!$M$23*Data!$AF31)+L88,(Duplicate!$M$24*Data!$AF31)+L88)),0)</f>
        <v>47417237</v>
      </c>
      <c r="N88" s="143">
        <f>ROUND(IF($E$31="Yes",IF(Data!$AG31&gt;0,(Duplicate!$N$23*Data!$AG31)+M88,(Duplicate!$N$24*Data!$AG31)+M88),IF(Data!$AF31&gt;0,(Duplicate!$N$23*Data!$AF31)+M88,(Duplicate!$N$24*Data!$AF31)+M88)),0)</f>
        <v>48134813</v>
      </c>
      <c r="O88" s="143">
        <f>ROUND(IF($E$31="Yes",IF(Data!$AG31&gt;0,(Duplicate!$O$23*Data!$AG31)+N88,(Duplicate!$O$24*Data!$AG31)+N88),IF(Data!$AF31&gt;0,(Duplicate!$O$23*Data!$AF31)+N88,(Duplicate!$O$24*Data!$AF31)+N88)),0)</f>
        <v>48852389</v>
      </c>
      <c r="P88" s="143">
        <f>ROUND(IF($E$31="Yes",IF(Data!$AG31&gt;0,(Duplicate!$P$23*Data!$AG31)+O88,(Duplicate!$P$24*Data!$AG31)+O88),IF(Data!$AF31&gt;0,(Duplicate!$P$23*Data!$AF31)+O88,(Duplicate!$P$24*Data!$AF31)+O88)),0)</f>
        <v>49569965</v>
      </c>
      <c r="Q88" s="143">
        <f>ROUND(IF($E$31="Yes",IF(Data!$AG31&gt;0,(Duplicate!$Q$23*Data!$AG31)+P88,(Duplicate!$Q$24*Data!$AG31)+P88),IF(Data!$AF31&gt;0,(Duplicate!$Q$23*Data!$AF31)+P88,(Duplicate!$Q$24*Data!$AF31)+P88)),0)</f>
        <v>50287541</v>
      </c>
      <c r="R88" s="143">
        <f>ROUND(IF($E$31="Yes",IF(Data!$AG31&gt;0,(Duplicate!$R$23*Data!$AG31)+Q88,(Duplicate!$R$24*Data!$AG31)+Q88),IF(Data!$AF31&gt;0,(Duplicate!$R$23*Data!$AF31)+Q88,(Duplicate!$R$24*Data!$AF31)+Q88)),0)</f>
        <v>51005117</v>
      </c>
      <c r="S88" s="143">
        <f>ROUND(IF($E$31="Yes",IF(Data!$AG31&gt;0,(Duplicate!$S$23*Data!$AG31)+R88,(Duplicate!$S$24*Data!$AG31)+R88),IF(Data!$AF31&gt;0,(Duplicate!$S$23*Data!$AF31)+R88,(Duplicate!$S$24*Data!$AF31)+R88)),0)</f>
        <v>51722693</v>
      </c>
      <c r="T88" s="143">
        <v>46286500</v>
      </c>
      <c r="U88" s="143">
        <v>47308491</v>
      </c>
      <c r="V88" s="143">
        <v>48330482</v>
      </c>
      <c r="W88" s="143">
        <v>49352473</v>
      </c>
      <c r="X88" s="143">
        <v>50374464</v>
      </c>
      <c r="Y88" s="143">
        <v>51396455</v>
      </c>
      <c r="Z88" s="143">
        <v>52418446</v>
      </c>
      <c r="AA88" s="143">
        <v>53440437</v>
      </c>
      <c r="AB88" s="143">
        <v>54462428</v>
      </c>
      <c r="AC88" s="129">
        <f t="shared" si="6"/>
        <v>-304415</v>
      </c>
      <c r="AD88" s="129">
        <f t="shared" si="7"/>
        <v>-608830</v>
      </c>
      <c r="AE88" s="129">
        <f t="shared" si="8"/>
        <v>-913245</v>
      </c>
      <c r="AF88" s="129">
        <f t="shared" si="9"/>
        <v>-1217660</v>
      </c>
      <c r="AG88" s="129">
        <f t="shared" si="10"/>
        <v>-1522075</v>
      </c>
      <c r="AH88" s="129">
        <f t="shared" si="11"/>
        <v>-1826490</v>
      </c>
      <c r="AI88" s="129">
        <f t="shared" si="12"/>
        <v>-2130905</v>
      </c>
      <c r="AJ88" s="129">
        <f t="shared" si="13"/>
        <v>-2435320</v>
      </c>
      <c r="AK88" s="129">
        <f t="shared" si="14"/>
        <v>-2739735</v>
      </c>
      <c r="AL88" s="127">
        <f t="shared" si="15"/>
        <v>-6.5767556414937367E-3</v>
      </c>
      <c r="AM88" s="127">
        <f t="shared" si="16"/>
        <v>-1.2869359963309734E-2</v>
      </c>
      <c r="AN88" s="127">
        <f t="shared" si="17"/>
        <v>-1.8895838862107772E-2</v>
      </c>
      <c r="AO88" s="127">
        <f t="shared" si="18"/>
        <v>-2.4672725113491278E-2</v>
      </c>
      <c r="AP88" s="127">
        <f t="shared" si="19"/>
        <v>-3.0215209833299617E-2</v>
      </c>
      <c r="AQ88" s="127">
        <f t="shared" si="20"/>
        <v>-3.5537275868539941E-2</v>
      </c>
      <c r="AR88" s="127">
        <f t="shared" si="21"/>
        <v>-4.0651815584155204E-2</v>
      </c>
      <c r="AS88" s="127">
        <f t="shared" si="22"/>
        <v>-4.5570735134519924E-2</v>
      </c>
      <c r="AT88" s="127">
        <f t="shared" si="23"/>
        <v>-5.0305046994966851E-2</v>
      </c>
      <c r="BX88" s="93"/>
      <c r="BY88" s="93"/>
      <c r="BZ88" s="93"/>
      <c r="CA88" s="93"/>
      <c r="CB88" s="93"/>
    </row>
    <row r="89" spans="1:80" s="18" customFormat="1" ht="13" x14ac:dyDescent="0.15">
      <c r="A89" s="29" t="s">
        <v>28</v>
      </c>
      <c r="B89" s="30">
        <f>IF(Data!D32=1, MAX(Data!AA32, $E$26) + INDEX(Duplicate!$E$39:$E$43, MATCH( Data!AD32, Duplicate!$B$39:$B$43, 0), 0), MAX(Data!AA32, $E$27) +  INDEX(Duplicate!$E$39:$E$43, MATCH( Data!AD32, Duplicate!$B$39:$B$43, 0), 0))</f>
        <v>0.01</v>
      </c>
      <c r="C89" s="128">
        <f>ROUND(Data!R32/13*100, 2)</f>
        <v>0</v>
      </c>
      <c r="D89" s="141">
        <f>ROUND(Data!Q32*C89, 0)</f>
        <v>0</v>
      </c>
      <c r="E89" s="142">
        <f>ROUND($E$22*Data!W32*B89, 0)</f>
        <v>321144</v>
      </c>
      <c r="F89" s="143">
        <f>IF(E89=0, 0,IF($E$31="Yes", IF(Data!D32=1, MAX(Duplicate!D89+Duplicate!E89, Data!AE32), Duplicate!D89+Duplicate!E89), Duplicate!D89+Duplicate!E89))</f>
        <v>321144</v>
      </c>
      <c r="G89" s="143">
        <v>326570</v>
      </c>
      <c r="H89" s="129">
        <f>F89-Data!AL32</f>
        <v>-641173</v>
      </c>
      <c r="I89" s="127">
        <f>((F89)/(Data!AL32)) - 1</f>
        <v>-0.6662804460484435</v>
      </c>
      <c r="J89" s="127">
        <f t="shared" si="5"/>
        <v>-1.6615120801053318E-2</v>
      </c>
      <c r="K89" s="143">
        <f>ROUND(IF($E$31="Yes",IF(Data!AG32&gt;0,(Duplicate!$K$23*Data!AG32)+Data!AI32,(Duplicate!$K$24*Data!AG32)+Data!AI32),IF(Data!AF32&gt;0,(Duplicate!$K$23*Data!AF32)+Data!AI32,(Duplicate!$K$24*Data!AF32)+Data!AI32)),0)</f>
        <v>1052490</v>
      </c>
      <c r="L89" s="143">
        <f>ROUND(IF($E$31="Yes",IF(Data!$AG32&gt;0,(Duplicate!$L$23*Data!$AG32)+K89,(Duplicate!$L$24*Data!$AG32)+K89),IF(Data!$AF32&gt;0,(Duplicate!$L$23*Data!$AF32)+K89,(Duplicate!$L$24*Data!$AF32)+K89)),0)</f>
        <v>961157</v>
      </c>
      <c r="M89" s="143">
        <f>ROUND(IF($E$31="Yes",IF(Data!$AG32&gt;0,(Duplicate!$M$23*Data!$AG32)+L89,(Duplicate!$M$24*Data!$AG32)+L89),IF(Data!$AF32&gt;0,(Duplicate!$M$23*Data!$AF32)+L89,(Duplicate!$M$24*Data!$AF32)+L89)),0)</f>
        <v>869824</v>
      </c>
      <c r="N89" s="143">
        <f>ROUND(IF($E$31="Yes",IF(Data!$AG32&gt;0,(Duplicate!$N$23*Data!$AG32)+M89,(Duplicate!$N$24*Data!$AG32)+M89),IF(Data!$AF32&gt;0,(Duplicate!$N$23*Data!$AF32)+M89,(Duplicate!$N$24*Data!$AF32)+M89)),0)</f>
        <v>778491</v>
      </c>
      <c r="O89" s="143">
        <f>ROUND(IF($E$31="Yes",IF(Data!$AG32&gt;0,(Duplicate!$O$23*Data!$AG32)+N89,(Duplicate!$O$24*Data!$AG32)+N89),IF(Data!$AF32&gt;0,(Duplicate!$O$23*Data!$AF32)+N89,(Duplicate!$O$24*Data!$AF32)+N89)),0)</f>
        <v>687158</v>
      </c>
      <c r="P89" s="143">
        <f>ROUND(IF($E$31="Yes",IF(Data!$AG32&gt;0,(Duplicate!$P$23*Data!$AG32)+O89,(Duplicate!$P$24*Data!$AG32)+O89),IF(Data!$AF32&gt;0,(Duplicate!$P$23*Data!$AF32)+O89,(Duplicate!$P$24*Data!$AF32)+O89)),0)</f>
        <v>595825</v>
      </c>
      <c r="Q89" s="143">
        <f>ROUND(IF($E$31="Yes",IF(Data!$AG32&gt;0,(Duplicate!$Q$23*Data!$AG32)+P89,(Duplicate!$Q$24*Data!$AG32)+P89),IF(Data!$AF32&gt;0,(Duplicate!$Q$23*Data!$AF32)+P89,(Duplicate!$Q$24*Data!$AF32)+P89)),0)</f>
        <v>504492</v>
      </c>
      <c r="R89" s="143">
        <f>ROUND(IF($E$31="Yes",IF(Data!$AG32&gt;0,(Duplicate!$R$23*Data!$AG32)+Q89,(Duplicate!$R$24*Data!$AG32)+Q89),IF(Data!$AF32&gt;0,(Duplicate!$R$23*Data!$AF32)+Q89,(Duplicate!$R$24*Data!$AF32)+Q89)),0)</f>
        <v>413159</v>
      </c>
      <c r="S89" s="143">
        <f>ROUND(IF($E$31="Yes",IF(Data!$AG32&gt;0,(Duplicate!$S$23*Data!$AG32)+R89,(Duplicate!$S$24*Data!$AG32)+R89),IF(Data!$AF32&gt;0,(Duplicate!$S$23*Data!$AF32)+R89,(Duplicate!$S$24*Data!$AF32)+R89)),0)</f>
        <v>321826</v>
      </c>
      <c r="T89" s="143">
        <v>1052942</v>
      </c>
      <c r="U89" s="143">
        <v>962061</v>
      </c>
      <c r="V89" s="143">
        <v>871180</v>
      </c>
      <c r="W89" s="143">
        <v>780299</v>
      </c>
      <c r="X89" s="143">
        <v>689418</v>
      </c>
      <c r="Y89" s="143">
        <v>598537</v>
      </c>
      <c r="Z89" s="143">
        <v>507656</v>
      </c>
      <c r="AA89" s="143">
        <v>416775</v>
      </c>
      <c r="AB89" s="143">
        <v>325894</v>
      </c>
      <c r="AC89" s="129">
        <f t="shared" si="6"/>
        <v>-452</v>
      </c>
      <c r="AD89" s="129">
        <f t="shared" si="7"/>
        <v>-904</v>
      </c>
      <c r="AE89" s="129">
        <f t="shared" si="8"/>
        <v>-1356</v>
      </c>
      <c r="AF89" s="129">
        <f t="shared" si="9"/>
        <v>-1808</v>
      </c>
      <c r="AG89" s="129">
        <f t="shared" si="10"/>
        <v>-2260</v>
      </c>
      <c r="AH89" s="129">
        <f t="shared" si="11"/>
        <v>-2712</v>
      </c>
      <c r="AI89" s="129">
        <f t="shared" si="12"/>
        <v>-3164</v>
      </c>
      <c r="AJ89" s="129">
        <f t="shared" si="13"/>
        <v>-3616</v>
      </c>
      <c r="AK89" s="129">
        <f t="shared" si="14"/>
        <v>-4068</v>
      </c>
      <c r="AL89" s="127">
        <f t="shared" si="15"/>
        <v>-4.2927340727216823E-4</v>
      </c>
      <c r="AM89" s="127">
        <f t="shared" si="16"/>
        <v>-9.3964935695345364E-4</v>
      </c>
      <c r="AN89" s="127">
        <f t="shared" si="17"/>
        <v>-1.5565095617438018E-3</v>
      </c>
      <c r="AO89" s="127">
        <f t="shared" si="18"/>
        <v>-2.3170605114193332E-3</v>
      </c>
      <c r="AP89" s="127">
        <f t="shared" si="19"/>
        <v>-3.2781273479949302E-3</v>
      </c>
      <c r="AQ89" s="127">
        <f t="shared" si="20"/>
        <v>-4.5310482058753543E-3</v>
      </c>
      <c r="AR89" s="127">
        <f t="shared" si="21"/>
        <v>-6.2325669350898893E-3</v>
      </c>
      <c r="AS89" s="127">
        <f t="shared" si="22"/>
        <v>-8.6761442025073965E-3</v>
      </c>
      <c r="AT89" s="127">
        <f t="shared" si="23"/>
        <v>-1.2482586362436821E-2</v>
      </c>
      <c r="BX89" s="93"/>
      <c r="BY89" s="93"/>
      <c r="BZ89" s="93"/>
      <c r="CA89" s="93"/>
      <c r="CB89" s="93"/>
    </row>
    <row r="90" spans="1:80" s="18" customFormat="1" ht="13" x14ac:dyDescent="0.15">
      <c r="A90" s="29" t="s">
        <v>29</v>
      </c>
      <c r="B90" s="30">
        <f>IF(Data!D33=1, MAX(Data!AA33, $E$26) + INDEX(Duplicate!$E$39:$E$43, MATCH( Data!AD33, Duplicate!$B$39:$B$43, 0), 0), MAX(Data!AA33, $E$27) +  INDEX(Duplicate!$E$39:$E$43, MATCH( Data!AD33, Duplicate!$B$39:$B$43, 0), 0))</f>
        <v>0.42213000000000001</v>
      </c>
      <c r="C90" s="128">
        <f>ROUND(Data!R33/13*100, 2)</f>
        <v>0</v>
      </c>
      <c r="D90" s="141">
        <f>ROUND(Data!Q33*C90, 0)</f>
        <v>0</v>
      </c>
      <c r="E90" s="142">
        <f>ROUND($E$22*Data!W33*B90, 0)</f>
        <v>6186298</v>
      </c>
      <c r="F90" s="143">
        <f>IF(E90=0, 0,IF($E$31="Yes", IF(Data!D33=1, MAX(Duplicate!D90+Duplicate!E90, Data!AE33), Duplicate!D90+Duplicate!E90), Duplicate!D90+Duplicate!E90))</f>
        <v>6186298</v>
      </c>
      <c r="G90" s="143">
        <v>6657378</v>
      </c>
      <c r="H90" s="129">
        <f>F90-Data!AL33</f>
        <v>-739797</v>
      </c>
      <c r="I90" s="127">
        <f>((F90)/(Data!AL33)) - 1</f>
        <v>-0.1068130021317929</v>
      </c>
      <c r="J90" s="127">
        <f t="shared" si="5"/>
        <v>-7.0760590731065554E-2</v>
      </c>
      <c r="K90" s="143">
        <f>ROUND(IF($E$31="Yes",IF(Data!AG33&gt;0,(Duplicate!$K$23*Data!AG33)+Data!AI33,(Duplicate!$K$24*Data!AG33)+Data!AI33),IF(Data!AF33&gt;0,(Duplicate!$K$23*Data!AF33)+Data!AI33,(Duplicate!$K$24*Data!AF33)+Data!AI33)),0)</f>
        <v>6923947</v>
      </c>
      <c r="L90" s="143">
        <f>ROUND(IF($E$31="Yes",IF(Data!$AG33&gt;0,(Duplicate!$L$23*Data!$AG33)+K90,(Duplicate!$L$24*Data!$AG33)+K90),IF(Data!$AF33&gt;0,(Duplicate!$L$23*Data!$AF33)+K90,(Duplicate!$L$24*Data!$AF33)+K90)),0)</f>
        <v>6864948</v>
      </c>
      <c r="M90" s="143">
        <f>ROUND(IF($E$31="Yes",IF(Data!$AG33&gt;0,(Duplicate!$M$23*Data!$AG33)+L90,(Duplicate!$M$24*Data!$AG33)+L90),IF(Data!$AF33&gt;0,(Duplicate!$M$23*Data!$AF33)+L90,(Duplicate!$M$24*Data!$AF33)+L90)),0)</f>
        <v>6805949</v>
      </c>
      <c r="N90" s="143">
        <f>ROUND(IF($E$31="Yes",IF(Data!$AG33&gt;0,(Duplicate!$N$23*Data!$AG33)+M90,(Duplicate!$N$24*Data!$AG33)+M90),IF(Data!$AF33&gt;0,(Duplicate!$N$23*Data!$AF33)+M90,(Duplicate!$N$24*Data!$AF33)+M90)),0)</f>
        <v>6746950</v>
      </c>
      <c r="O90" s="143">
        <f>ROUND(IF($E$31="Yes",IF(Data!$AG33&gt;0,(Duplicate!$O$23*Data!$AG33)+N90,(Duplicate!$O$24*Data!$AG33)+N90),IF(Data!$AF33&gt;0,(Duplicate!$O$23*Data!$AF33)+N90,(Duplicate!$O$24*Data!$AF33)+N90)),0)</f>
        <v>6687951</v>
      </c>
      <c r="P90" s="143">
        <f>ROUND(IF($E$31="Yes",IF(Data!$AG33&gt;0,(Duplicate!$P$23*Data!$AG33)+O90,(Duplicate!$P$24*Data!$AG33)+O90),IF(Data!$AF33&gt;0,(Duplicate!$P$23*Data!$AF33)+O90,(Duplicate!$P$24*Data!$AF33)+O90)),0)</f>
        <v>6628952</v>
      </c>
      <c r="Q90" s="143">
        <f>ROUND(IF($E$31="Yes",IF(Data!$AG33&gt;0,(Duplicate!$Q$23*Data!$AG33)+P90,(Duplicate!$Q$24*Data!$AG33)+P90),IF(Data!$AF33&gt;0,(Duplicate!$Q$23*Data!$AF33)+P90,(Duplicate!$Q$24*Data!$AF33)+P90)),0)</f>
        <v>6569953</v>
      </c>
      <c r="R90" s="143">
        <f>ROUND(IF($E$31="Yes",IF(Data!$AG33&gt;0,(Duplicate!$R$23*Data!$AG33)+Q90,(Duplicate!$R$24*Data!$AG33)+Q90),IF(Data!$AF33&gt;0,(Duplicate!$R$23*Data!$AF33)+Q90,(Duplicate!$R$24*Data!$AF33)+Q90)),0)</f>
        <v>6510954</v>
      </c>
      <c r="S90" s="143">
        <f>ROUND(IF($E$31="Yes",IF(Data!$AG33&gt;0,(Duplicate!$S$23*Data!$AG33)+R90,(Duplicate!$S$24*Data!$AG33)+R90),IF(Data!$AF33&gt;0,(Duplicate!$S$23*Data!$AF33)+R90,(Duplicate!$S$24*Data!$AF33)+R90)),0)</f>
        <v>6451955</v>
      </c>
      <c r="T90" s="143">
        <v>6956457</v>
      </c>
      <c r="U90" s="143">
        <v>6929968</v>
      </c>
      <c r="V90" s="143">
        <v>6903479</v>
      </c>
      <c r="W90" s="143">
        <v>6876990</v>
      </c>
      <c r="X90" s="143">
        <v>6850501</v>
      </c>
      <c r="Y90" s="143">
        <v>6824012</v>
      </c>
      <c r="Z90" s="143">
        <v>6797523</v>
      </c>
      <c r="AA90" s="143">
        <v>6771034</v>
      </c>
      <c r="AB90" s="143">
        <v>6744545</v>
      </c>
      <c r="AC90" s="129">
        <f t="shared" si="6"/>
        <v>-32510</v>
      </c>
      <c r="AD90" s="129">
        <f t="shared" si="7"/>
        <v>-65020</v>
      </c>
      <c r="AE90" s="129">
        <f t="shared" si="8"/>
        <v>-97530</v>
      </c>
      <c r="AF90" s="129">
        <f t="shared" si="9"/>
        <v>-130040</v>
      </c>
      <c r="AG90" s="129">
        <f t="shared" si="10"/>
        <v>-162550</v>
      </c>
      <c r="AH90" s="129">
        <f t="shared" si="11"/>
        <v>-195060</v>
      </c>
      <c r="AI90" s="129">
        <f t="shared" si="12"/>
        <v>-227570</v>
      </c>
      <c r="AJ90" s="129">
        <f t="shared" si="13"/>
        <v>-260080</v>
      </c>
      <c r="AK90" s="129">
        <f t="shared" si="14"/>
        <v>-292590</v>
      </c>
      <c r="AL90" s="127">
        <f t="shared" si="15"/>
        <v>-4.6733559914191591E-3</v>
      </c>
      <c r="AM90" s="127">
        <f t="shared" si="16"/>
        <v>-9.3824387067876769E-3</v>
      </c>
      <c r="AN90" s="127">
        <f t="shared" si="17"/>
        <v>-1.4127659401875436E-2</v>
      </c>
      <c r="AO90" s="127">
        <f t="shared" si="18"/>
        <v>-1.8909435668802765E-2</v>
      </c>
      <c r="AP90" s="127">
        <f t="shared" si="19"/>
        <v>-2.3728191558544443E-2</v>
      </c>
      <c r="AQ90" s="127">
        <f t="shared" si="20"/>
        <v>-2.8584357706287755E-2</v>
      </c>
      <c r="AR90" s="127">
        <f t="shared" si="21"/>
        <v>-3.3478371459721434E-2</v>
      </c>
      <c r="AS90" s="127">
        <f t="shared" si="22"/>
        <v>-3.8410677010335514E-2</v>
      </c>
      <c r="AT90" s="127">
        <f t="shared" si="23"/>
        <v>-4.3381725527815496E-2</v>
      </c>
      <c r="BX90" s="93"/>
      <c r="BY90" s="93"/>
      <c r="BZ90" s="93"/>
      <c r="CA90" s="93"/>
      <c r="CB90" s="93"/>
    </row>
    <row r="91" spans="1:80" s="18" customFormat="1" ht="13" x14ac:dyDescent="0.15">
      <c r="A91" s="29" t="s">
        <v>30</v>
      </c>
      <c r="B91" s="30">
        <f>IF(Data!D34=1, MAX(Data!AA34, $E$26) + INDEX(Duplicate!$E$39:$E$43, MATCH( Data!AD34, Duplicate!$B$39:$B$43, 0), 0), MAX(Data!AA34, $E$27) +  INDEX(Duplicate!$E$39:$E$43, MATCH( Data!AD34, Duplicate!$B$39:$B$43, 0), 0))</f>
        <v>0.172874</v>
      </c>
      <c r="C91" s="128">
        <f>ROUND(Data!R34/13*100, 2)</f>
        <v>100</v>
      </c>
      <c r="D91" s="141">
        <f>ROUND(Data!Q34*C91, 0)</f>
        <v>149300</v>
      </c>
      <c r="E91" s="142">
        <f>ROUND($E$22*Data!W34*B91, 0)</f>
        <v>3090310</v>
      </c>
      <c r="F91" s="143">
        <f>IF(E91=0, 0,IF($E$31="Yes", IF(Data!D34=1, MAX(Duplicate!D91+Duplicate!E91, Data!AE34), Duplicate!D91+Duplicate!E91), Duplicate!D91+Duplicate!E91))</f>
        <v>3239610</v>
      </c>
      <c r="G91" s="143">
        <v>3216402</v>
      </c>
      <c r="H91" s="129">
        <f>F91-Data!AL34</f>
        <v>-684038</v>
      </c>
      <c r="I91" s="127">
        <f>((F91)/(Data!AL34)) - 1</f>
        <v>-0.17433724941686923</v>
      </c>
      <c r="J91" s="127">
        <f t="shared" si="5"/>
        <v>7.2155159709514916E-3</v>
      </c>
      <c r="K91" s="143">
        <f>ROUND(IF($E$31="Yes",IF(Data!AG34&gt;0,(Duplicate!$K$23*Data!AG34)+Data!AI34,(Duplicate!$K$24*Data!AG34)+Data!AI34),IF(Data!AF34&gt;0,(Duplicate!$K$23*Data!AF34)+Data!AI34,(Duplicate!$K$24*Data!AF34)+Data!AI34)),0)</f>
        <v>4189778</v>
      </c>
      <c r="L91" s="143">
        <f>ROUND(IF($E$31="Yes",IF(Data!$AG34&gt;0,(Duplicate!$L$23*Data!$AG34)+K91,(Duplicate!$L$24*Data!$AG34)+K91),IF(Data!$AF34&gt;0,(Duplicate!$L$23*Data!$AF34)+K91,(Duplicate!$L$24*Data!$AF34)+K91)),0)</f>
        <v>4261398</v>
      </c>
      <c r="M91" s="143">
        <f>ROUND(IF($E$31="Yes",IF(Data!$AG34&gt;0,(Duplicate!$M$23*Data!$AG34)+L91,(Duplicate!$M$24*Data!$AG34)+L91),IF(Data!$AF34&gt;0,(Duplicate!$M$23*Data!$AF34)+L91,(Duplicate!$M$24*Data!$AF34)+L91)),0)</f>
        <v>4333018</v>
      </c>
      <c r="N91" s="143">
        <f>ROUND(IF($E$31="Yes",IF(Data!$AG34&gt;0,(Duplicate!$N$23*Data!$AG34)+M91,(Duplicate!$N$24*Data!$AG34)+M91),IF(Data!$AF34&gt;0,(Duplicate!$N$23*Data!$AF34)+M91,(Duplicate!$N$24*Data!$AF34)+M91)),0)</f>
        <v>4404638</v>
      </c>
      <c r="O91" s="143">
        <f>ROUND(IF($E$31="Yes",IF(Data!$AG34&gt;0,(Duplicate!$O$23*Data!$AG34)+N91,(Duplicate!$O$24*Data!$AG34)+N91),IF(Data!$AF34&gt;0,(Duplicate!$O$23*Data!$AF34)+N91,(Duplicate!$O$24*Data!$AF34)+N91)),0)</f>
        <v>4476258</v>
      </c>
      <c r="P91" s="143">
        <f>ROUND(IF($E$31="Yes",IF(Data!$AG34&gt;0,(Duplicate!$P$23*Data!$AG34)+O91,(Duplicate!$P$24*Data!$AG34)+O91),IF(Data!$AF34&gt;0,(Duplicate!$P$23*Data!$AF34)+O91,(Duplicate!$P$24*Data!$AF34)+O91)),0)</f>
        <v>4547878</v>
      </c>
      <c r="Q91" s="143">
        <f>ROUND(IF($E$31="Yes",IF(Data!$AG34&gt;0,(Duplicate!$Q$23*Data!$AG34)+P91,(Duplicate!$Q$24*Data!$AG34)+P91),IF(Data!$AF34&gt;0,(Duplicate!$Q$23*Data!$AF34)+P91,(Duplicate!$Q$24*Data!$AF34)+P91)),0)</f>
        <v>4619498</v>
      </c>
      <c r="R91" s="143">
        <f>ROUND(IF($E$31="Yes",IF(Data!$AG34&gt;0,(Duplicate!$R$23*Data!$AG34)+Q91,(Duplicate!$R$24*Data!$AG34)+Q91),IF(Data!$AF34&gt;0,(Duplicate!$R$23*Data!$AF34)+Q91,(Duplicate!$R$24*Data!$AF34)+Q91)),0)</f>
        <v>4691118</v>
      </c>
      <c r="S91" s="143">
        <f>ROUND(IF($E$31="Yes",IF(Data!$AG34&gt;0,(Duplicate!$S$23*Data!$AG34)+R91,(Duplicate!$S$24*Data!$AG34)+R91),IF(Data!$AF34&gt;0,(Duplicate!$S$23*Data!$AF34)+R91,(Duplicate!$S$24*Data!$AF34)+R91)),0)</f>
        <v>4762738</v>
      </c>
      <c r="T91" s="143">
        <v>4022950</v>
      </c>
      <c r="U91" s="143">
        <v>3927742</v>
      </c>
      <c r="V91" s="143">
        <v>3832534</v>
      </c>
      <c r="W91" s="143">
        <v>3737326</v>
      </c>
      <c r="X91" s="143">
        <v>3642118</v>
      </c>
      <c r="Y91" s="143">
        <v>3546910</v>
      </c>
      <c r="Z91" s="143">
        <v>3451702</v>
      </c>
      <c r="AA91" s="143">
        <v>3356494</v>
      </c>
      <c r="AB91" s="143">
        <v>3261286</v>
      </c>
      <c r="AC91" s="129">
        <f t="shared" si="6"/>
        <v>166828</v>
      </c>
      <c r="AD91" s="129">
        <f t="shared" si="7"/>
        <v>333656</v>
      </c>
      <c r="AE91" s="129">
        <f t="shared" si="8"/>
        <v>500484</v>
      </c>
      <c r="AF91" s="129">
        <f t="shared" si="9"/>
        <v>667312</v>
      </c>
      <c r="AG91" s="129">
        <f t="shared" si="10"/>
        <v>834140</v>
      </c>
      <c r="AH91" s="129">
        <f t="shared" si="11"/>
        <v>1000968</v>
      </c>
      <c r="AI91" s="129">
        <f t="shared" si="12"/>
        <v>1167796</v>
      </c>
      <c r="AJ91" s="129">
        <f t="shared" si="13"/>
        <v>1334624</v>
      </c>
      <c r="AK91" s="129">
        <f t="shared" si="14"/>
        <v>1501452</v>
      </c>
      <c r="AL91" s="127">
        <f t="shared" si="15"/>
        <v>4.1469071203967145E-2</v>
      </c>
      <c r="AM91" s="127">
        <f t="shared" si="16"/>
        <v>8.4948553138164407E-2</v>
      </c>
      <c r="AN91" s="127">
        <f t="shared" si="17"/>
        <v>0.13058827397225969</v>
      </c>
      <c r="AO91" s="127">
        <f t="shared" si="18"/>
        <v>0.17855332930549817</v>
      </c>
      <c r="AP91" s="127">
        <f t="shared" si="19"/>
        <v>0.22902607768336991</v>
      </c>
      <c r="AQ91" s="127">
        <f t="shared" si="20"/>
        <v>0.28220845750244572</v>
      </c>
      <c r="AR91" s="127">
        <f t="shared" si="21"/>
        <v>0.33832468735713572</v>
      </c>
      <c r="AS91" s="127">
        <f t="shared" si="22"/>
        <v>0.39762442596352021</v>
      </c>
      <c r="AT91" s="127">
        <f t="shared" si="23"/>
        <v>0.46038648557654871</v>
      </c>
      <c r="BX91" s="93"/>
      <c r="BY91" s="93"/>
      <c r="BZ91" s="93"/>
      <c r="CA91" s="93"/>
      <c r="CB91" s="93"/>
    </row>
    <row r="92" spans="1:80" s="18" customFormat="1" ht="13" x14ac:dyDescent="0.15">
      <c r="A92" s="29" t="s">
        <v>31</v>
      </c>
      <c r="B92" s="30">
        <f>IF(Data!D35=1, MAX(Data!AA35, $E$26) + INDEX(Duplicate!$E$39:$E$43, MATCH( Data!AD35, Duplicate!$B$39:$B$43, 0), 0), MAX(Data!AA35, $E$27) +  INDEX(Duplicate!$E$39:$E$43, MATCH( Data!AD35, Duplicate!$B$39:$B$43, 0), 0))</f>
        <v>3.8871999999999997E-2</v>
      </c>
      <c r="C92" s="128">
        <f>ROUND(Data!R35/13*100, 2)</f>
        <v>30.77</v>
      </c>
      <c r="D92" s="141">
        <f>ROUND(Data!Q35*C92, 0)</f>
        <v>1046</v>
      </c>
      <c r="E92" s="142">
        <f>ROUND($E$22*Data!W35*B92, 0)</f>
        <v>49728</v>
      </c>
      <c r="F92" s="143">
        <f>IF(E92=0, 0,IF($E$31="Yes", IF(Data!D35=1, MAX(Duplicate!D92+Duplicate!E92, Data!AE35), Duplicate!D92+Duplicate!E92), Duplicate!D92+Duplicate!E92))</f>
        <v>50774</v>
      </c>
      <c r="G92" s="143">
        <v>51166</v>
      </c>
      <c r="H92" s="129">
        <f>F92-Data!AL35</f>
        <v>-74978</v>
      </c>
      <c r="I92" s="127">
        <f>((F92)/(Data!AL35)) - 1</f>
        <v>-0.59623703797951522</v>
      </c>
      <c r="J92" s="127">
        <f t="shared" si="5"/>
        <v>-7.6613376070046035E-3</v>
      </c>
      <c r="K92" s="143">
        <f>ROUND(IF($E$31="Yes",IF(Data!AG35&gt;0,(Duplicate!$K$23*Data!AG35)+Data!AI35,(Duplicate!$K$24*Data!AG35)+Data!AI35),IF(Data!AF35&gt;0,(Duplicate!$K$23*Data!AF35)+Data!AI35,(Duplicate!$K$24*Data!AF35)+Data!AI35)),0)</f>
        <v>140234</v>
      </c>
      <c r="L92" s="143">
        <f>ROUND(IF($E$31="Yes",IF(Data!$AG35&gt;0,(Duplicate!$L$23*Data!$AG35)+K92,(Duplicate!$L$24*Data!$AG35)+K92),IF(Data!$AF35&gt;0,(Duplicate!$L$23*Data!$AF35)+K92,(Duplicate!$L$24*Data!$AF35)+K92)),0)</f>
        <v>130747</v>
      </c>
      <c r="M92" s="143">
        <f>ROUND(IF($E$31="Yes",IF(Data!$AG35&gt;0,(Duplicate!$M$23*Data!$AG35)+L92,(Duplicate!$M$24*Data!$AG35)+L92),IF(Data!$AF35&gt;0,(Duplicate!$M$23*Data!$AF35)+L92,(Duplicate!$M$24*Data!$AF35)+L92)),0)</f>
        <v>121260</v>
      </c>
      <c r="N92" s="143">
        <f>ROUND(IF($E$31="Yes",IF(Data!$AG35&gt;0,(Duplicate!$N$23*Data!$AG35)+M92,(Duplicate!$N$24*Data!$AG35)+M92),IF(Data!$AF35&gt;0,(Duplicate!$N$23*Data!$AF35)+M92,(Duplicate!$N$24*Data!$AF35)+M92)),0)</f>
        <v>111773</v>
      </c>
      <c r="O92" s="143">
        <f>ROUND(IF($E$31="Yes",IF(Data!$AG35&gt;0,(Duplicate!$O$23*Data!$AG35)+N92,(Duplicate!$O$24*Data!$AG35)+N92),IF(Data!$AF35&gt;0,(Duplicate!$O$23*Data!$AF35)+N92,(Duplicate!$O$24*Data!$AF35)+N92)),0)</f>
        <v>102286</v>
      </c>
      <c r="P92" s="143">
        <f>ROUND(IF($E$31="Yes",IF(Data!$AG35&gt;0,(Duplicate!$P$23*Data!$AG35)+O92,(Duplicate!$P$24*Data!$AG35)+O92),IF(Data!$AF35&gt;0,(Duplicate!$P$23*Data!$AF35)+O92,(Duplicate!$P$24*Data!$AF35)+O92)),0)</f>
        <v>92799</v>
      </c>
      <c r="Q92" s="143">
        <f>ROUND(IF($E$31="Yes",IF(Data!$AG35&gt;0,(Duplicate!$Q$23*Data!$AG35)+P92,(Duplicate!$Q$24*Data!$AG35)+P92),IF(Data!$AF35&gt;0,(Duplicate!$Q$23*Data!$AF35)+P92,(Duplicate!$Q$24*Data!$AF35)+P92)),0)</f>
        <v>83312</v>
      </c>
      <c r="R92" s="143">
        <f>ROUND(IF($E$31="Yes",IF(Data!$AG35&gt;0,(Duplicate!$R$23*Data!$AG35)+Q92,(Duplicate!$R$24*Data!$AG35)+Q92),IF(Data!$AF35&gt;0,(Duplicate!$R$23*Data!$AF35)+Q92,(Duplicate!$R$24*Data!$AF35)+Q92)),0)</f>
        <v>73825</v>
      </c>
      <c r="S92" s="143">
        <f>ROUND(IF($E$31="Yes",IF(Data!$AG35&gt;0,(Duplicate!$S$23*Data!$AG35)+R92,(Duplicate!$S$24*Data!$AG35)+R92),IF(Data!$AF35&gt;0,(Duplicate!$S$23*Data!$AF35)+R92,(Duplicate!$S$24*Data!$AF35)+R92)),0)</f>
        <v>64338</v>
      </c>
      <c r="T92" s="143">
        <v>139221</v>
      </c>
      <c r="U92" s="143">
        <v>128721</v>
      </c>
      <c r="V92" s="143">
        <v>118221</v>
      </c>
      <c r="W92" s="143">
        <v>107721</v>
      </c>
      <c r="X92" s="143">
        <v>97221</v>
      </c>
      <c r="Y92" s="143">
        <v>86721</v>
      </c>
      <c r="Z92" s="143">
        <v>76221</v>
      </c>
      <c r="AA92" s="143">
        <v>65721</v>
      </c>
      <c r="AB92" s="143">
        <v>55221</v>
      </c>
      <c r="AC92" s="129">
        <f t="shared" si="6"/>
        <v>1013</v>
      </c>
      <c r="AD92" s="129">
        <f t="shared" si="7"/>
        <v>2026</v>
      </c>
      <c r="AE92" s="129">
        <f t="shared" si="8"/>
        <v>3039</v>
      </c>
      <c r="AF92" s="129">
        <f t="shared" si="9"/>
        <v>4052</v>
      </c>
      <c r="AG92" s="129">
        <f t="shared" si="10"/>
        <v>5065</v>
      </c>
      <c r="AH92" s="129">
        <f t="shared" si="11"/>
        <v>6078</v>
      </c>
      <c r="AI92" s="129">
        <f t="shared" si="12"/>
        <v>7091</v>
      </c>
      <c r="AJ92" s="129">
        <f t="shared" si="13"/>
        <v>8104</v>
      </c>
      <c r="AK92" s="129">
        <f t="shared" si="14"/>
        <v>9117</v>
      </c>
      <c r="AL92" s="127">
        <f t="shared" si="15"/>
        <v>7.2762011478153532E-3</v>
      </c>
      <c r="AM92" s="127">
        <f t="shared" si="16"/>
        <v>1.5739467530550666E-2</v>
      </c>
      <c r="AN92" s="127">
        <f t="shared" si="17"/>
        <v>2.5706092826147664E-2</v>
      </c>
      <c r="AO92" s="127">
        <f t="shared" si="18"/>
        <v>3.7615692390527311E-2</v>
      </c>
      <c r="AP92" s="127">
        <f t="shared" si="19"/>
        <v>5.2097797800886747E-2</v>
      </c>
      <c r="AQ92" s="127">
        <f t="shared" si="20"/>
        <v>7.0086830179541204E-2</v>
      </c>
      <c r="AR92" s="127">
        <f t="shared" si="21"/>
        <v>9.3032104013329731E-2</v>
      </c>
      <c r="AS92" s="127">
        <f t="shared" si="22"/>
        <v>0.12330914015307126</v>
      </c>
      <c r="AT92" s="127">
        <f t="shared" si="23"/>
        <v>0.16510023360677994</v>
      </c>
      <c r="BX92" s="93"/>
      <c r="BY92" s="93"/>
      <c r="BZ92" s="93"/>
      <c r="CA92" s="93"/>
      <c r="CB92" s="93"/>
    </row>
    <row r="93" spans="1:80" s="18" customFormat="1" ht="13" x14ac:dyDescent="0.15">
      <c r="A93" s="29" t="s">
        <v>33</v>
      </c>
      <c r="B93" s="30">
        <f>IF(Data!D36=1, MAX(Data!AA36, $E$26) + INDEX(Duplicate!$E$39:$E$43, MATCH( Data!AD36, Duplicate!$B$39:$B$43, 0), 0), MAX(Data!AA36, $E$27) +  INDEX(Duplicate!$E$39:$E$43, MATCH( Data!AD36, Duplicate!$B$39:$B$43, 0), 0))</f>
        <v>0.37407000000000001</v>
      </c>
      <c r="C93" s="128">
        <f>ROUND(Data!R36/13*100, 2)</f>
        <v>0</v>
      </c>
      <c r="D93" s="141">
        <f>ROUND(Data!Q36*C93, 0)</f>
        <v>0</v>
      </c>
      <c r="E93" s="142">
        <f>ROUND($E$22*Data!W36*B93, 0)</f>
        <v>2745129</v>
      </c>
      <c r="F93" s="143">
        <f>IF(E93=0, 0,IF($E$31="Yes", IF(Data!D36=1, MAX(Duplicate!D93+Duplicate!E93, Data!AE36), Duplicate!D93+Duplicate!E93), Duplicate!D93+Duplicate!E93))</f>
        <v>2745129</v>
      </c>
      <c r="G93" s="143">
        <v>3224794</v>
      </c>
      <c r="H93" s="129">
        <f>F93-Data!AL36</f>
        <v>-1259706</v>
      </c>
      <c r="I93" s="127">
        <f>((F93)/(Data!AL36)) - 1</f>
        <v>-0.31454629216934027</v>
      </c>
      <c r="J93" s="127">
        <f t="shared" si="5"/>
        <v>-0.14874283442601299</v>
      </c>
      <c r="K93" s="143">
        <f>ROUND(IF($E$31="Yes",IF(Data!AG36&gt;0,(Duplicate!$K$23*Data!AG36)+Data!AI36,(Duplicate!$K$24*Data!AG36)+Data!AI36),IF(Data!AF36&gt;0,(Duplicate!$K$23*Data!AF36)+Data!AI36,(Duplicate!$K$24*Data!AF36)+Data!AI36)),0)</f>
        <v>4101194</v>
      </c>
      <c r="L93" s="143">
        <f>ROUND(IF($E$31="Yes",IF(Data!$AG36&gt;0,(Duplicate!$L$23*Data!$AG36)+K93,(Duplicate!$L$24*Data!$AG36)+K93),IF(Data!$AF36&gt;0,(Duplicate!$L$23*Data!$AF36)+K93,(Duplicate!$L$24*Data!$AF36)+K93)),0)</f>
        <v>3946116</v>
      </c>
      <c r="M93" s="143">
        <f>ROUND(IF($E$31="Yes",IF(Data!$AG36&gt;0,(Duplicate!$M$23*Data!$AG36)+L93,(Duplicate!$M$24*Data!$AG36)+L93),IF(Data!$AF36&gt;0,(Duplicate!$M$23*Data!$AF36)+L93,(Duplicate!$M$24*Data!$AF36)+L93)),0)</f>
        <v>3791038</v>
      </c>
      <c r="N93" s="143">
        <f>ROUND(IF($E$31="Yes",IF(Data!$AG36&gt;0,(Duplicate!$N$23*Data!$AG36)+M93,(Duplicate!$N$24*Data!$AG36)+M93),IF(Data!$AF36&gt;0,(Duplicate!$N$23*Data!$AF36)+M93,(Duplicate!$N$24*Data!$AF36)+M93)),0)</f>
        <v>3635960</v>
      </c>
      <c r="O93" s="143">
        <f>ROUND(IF($E$31="Yes",IF(Data!$AG36&gt;0,(Duplicate!$O$23*Data!$AG36)+N93,(Duplicate!$O$24*Data!$AG36)+N93),IF(Data!$AF36&gt;0,(Duplicate!$O$23*Data!$AF36)+N93,(Duplicate!$O$24*Data!$AF36)+N93)),0)</f>
        <v>3480882</v>
      </c>
      <c r="P93" s="143">
        <f>ROUND(IF($E$31="Yes",IF(Data!$AG36&gt;0,(Duplicate!$P$23*Data!$AG36)+O93,(Duplicate!$P$24*Data!$AG36)+O93),IF(Data!$AF36&gt;0,(Duplicate!$P$23*Data!$AF36)+O93,(Duplicate!$P$24*Data!$AF36)+O93)),0)</f>
        <v>3325804</v>
      </c>
      <c r="Q93" s="143">
        <f>ROUND(IF($E$31="Yes",IF(Data!$AG36&gt;0,(Duplicate!$Q$23*Data!$AG36)+P93,(Duplicate!$Q$24*Data!$AG36)+P93),IF(Data!$AF36&gt;0,(Duplicate!$Q$23*Data!$AF36)+P93,(Duplicate!$Q$24*Data!$AF36)+P93)),0)</f>
        <v>3170726</v>
      </c>
      <c r="R93" s="143">
        <f>ROUND(IF($E$31="Yes",IF(Data!$AG36&gt;0,(Duplicate!$R$23*Data!$AG36)+Q93,(Duplicate!$R$24*Data!$AG36)+Q93),IF(Data!$AF36&gt;0,(Duplicate!$R$23*Data!$AF36)+Q93,(Duplicate!$R$24*Data!$AF36)+Q93)),0)</f>
        <v>3015648</v>
      </c>
      <c r="S93" s="143">
        <f>ROUND(IF($E$31="Yes",IF(Data!$AG36&gt;0,(Duplicate!$S$23*Data!$AG36)+R93,(Duplicate!$S$24*Data!$AG36)+R93),IF(Data!$AF36&gt;0,(Duplicate!$S$23*Data!$AF36)+R93,(Duplicate!$S$24*Data!$AF36)+R93)),0)</f>
        <v>2860570</v>
      </c>
      <c r="T93" s="143">
        <v>4136252</v>
      </c>
      <c r="U93" s="143">
        <v>4016232</v>
      </c>
      <c r="V93" s="143">
        <v>3896212</v>
      </c>
      <c r="W93" s="143">
        <v>3776192</v>
      </c>
      <c r="X93" s="143">
        <v>3656172</v>
      </c>
      <c r="Y93" s="143">
        <v>3536152</v>
      </c>
      <c r="Z93" s="143">
        <v>3416132</v>
      </c>
      <c r="AA93" s="143">
        <v>3296112</v>
      </c>
      <c r="AB93" s="143">
        <v>3176092</v>
      </c>
      <c r="AC93" s="129">
        <f t="shared" si="6"/>
        <v>-35058</v>
      </c>
      <c r="AD93" s="129">
        <f t="shared" si="7"/>
        <v>-70116</v>
      </c>
      <c r="AE93" s="129">
        <f t="shared" si="8"/>
        <v>-105174</v>
      </c>
      <c r="AF93" s="129">
        <f t="shared" si="9"/>
        <v>-140232</v>
      </c>
      <c r="AG93" s="129">
        <f t="shared" si="10"/>
        <v>-175290</v>
      </c>
      <c r="AH93" s="129">
        <f t="shared" si="11"/>
        <v>-210348</v>
      </c>
      <c r="AI93" s="129">
        <f t="shared" si="12"/>
        <v>-245406</v>
      </c>
      <c r="AJ93" s="129">
        <f t="shared" si="13"/>
        <v>-280464</v>
      </c>
      <c r="AK93" s="129">
        <f t="shared" si="14"/>
        <v>-315522</v>
      </c>
      <c r="AL93" s="127">
        <f t="shared" si="15"/>
        <v>-8.4757891927280671E-3</v>
      </c>
      <c r="AM93" s="127">
        <f t="shared" si="16"/>
        <v>-1.7458154807790005E-2</v>
      </c>
      <c r="AN93" s="127">
        <f t="shared" si="17"/>
        <v>-2.6993911008949212E-2</v>
      </c>
      <c r="AO93" s="127">
        <f t="shared" si="18"/>
        <v>-3.7135823602189699E-2</v>
      </c>
      <c r="AP93" s="127">
        <f t="shared" si="19"/>
        <v>-4.7943586899084623E-2</v>
      </c>
      <c r="AQ93" s="127">
        <f t="shared" si="20"/>
        <v>-5.9484999513595538E-2</v>
      </c>
      <c r="AR93" s="127">
        <f t="shared" si="21"/>
        <v>-7.1837388016622317E-2</v>
      </c>
      <c r="AS93" s="127">
        <f t="shared" si="22"/>
        <v>-8.5089341624313697E-2</v>
      </c>
      <c r="AT93" s="127">
        <f t="shared" si="23"/>
        <v>-9.9342840194805437E-2</v>
      </c>
      <c r="BX93" s="93"/>
      <c r="BY93" s="93"/>
      <c r="BZ93" s="93"/>
      <c r="CA93" s="93"/>
      <c r="CB93" s="93"/>
    </row>
    <row r="94" spans="1:80" s="18" customFormat="1" ht="13" x14ac:dyDescent="0.15">
      <c r="A94" s="29" t="s">
        <v>34</v>
      </c>
      <c r="B94" s="30">
        <f>IF(Data!D37=1, MAX(Data!AA37, $E$26) + INDEX(Duplicate!$E$39:$E$43, MATCH( Data!AD37, Duplicate!$B$39:$B$43, 0), 0), MAX(Data!AA37, $E$27) +  INDEX(Duplicate!$E$39:$E$43, MATCH( Data!AD37, Duplicate!$B$39:$B$43, 0), 0))</f>
        <v>0.230849</v>
      </c>
      <c r="C94" s="128">
        <f>ROUND(Data!R37/13*100, 2)</f>
        <v>0</v>
      </c>
      <c r="D94" s="141">
        <f>ROUND(Data!Q37*C94, 0)</f>
        <v>0</v>
      </c>
      <c r="E94" s="142">
        <f>ROUND($E$22*Data!W37*B94, 0)</f>
        <v>4119066</v>
      </c>
      <c r="F94" s="143">
        <f>IF(E94=0, 0,IF($E$31="Yes", IF(Data!D37=1, MAX(Duplicate!D94+Duplicate!E94, Data!AE37), Duplicate!D94+Duplicate!E94), Duplicate!D94+Duplicate!E94))</f>
        <v>4119066</v>
      </c>
      <c r="G94" s="143">
        <v>3505148</v>
      </c>
      <c r="H94" s="129">
        <f>F94-Data!AL37</f>
        <v>695858</v>
      </c>
      <c r="I94" s="127">
        <f>((F94)/(Data!AL37)) - 1</f>
        <v>0.20327657565651869</v>
      </c>
      <c r="J94" s="127">
        <f t="shared" si="5"/>
        <v>0.17514752586766669</v>
      </c>
      <c r="K94" s="143">
        <f>ROUND(IF($E$31="Yes",IF(Data!AG37&gt;0,(Duplicate!$K$23*Data!AG37)+Data!AI37,(Duplicate!$K$24*Data!AG37)+Data!AI37),IF(Data!AF37&gt;0,(Duplicate!$K$23*Data!AF37)+Data!AI37,(Duplicate!$K$24*Data!AF37)+Data!AI37)),0)</f>
        <v>3467569</v>
      </c>
      <c r="L94" s="143">
        <f>ROUND(IF($E$31="Yes",IF(Data!$AG37&gt;0,(Duplicate!$L$23*Data!$AG37)+K94,(Duplicate!$L$24*Data!$AG37)+K94),IF(Data!$AF37&gt;0,(Duplicate!$L$23*Data!$AF37)+K94,(Duplicate!$L$24*Data!$AF37)+K94)),0)</f>
        <v>3543806</v>
      </c>
      <c r="M94" s="143">
        <f>ROUND(IF($E$31="Yes",IF(Data!$AG37&gt;0,(Duplicate!$M$23*Data!$AG37)+L94,(Duplicate!$M$24*Data!$AG37)+L94),IF(Data!$AF37&gt;0,(Duplicate!$M$23*Data!$AF37)+L94,(Duplicate!$M$24*Data!$AF37)+L94)),0)</f>
        <v>3620043</v>
      </c>
      <c r="N94" s="143">
        <f>ROUND(IF($E$31="Yes",IF(Data!$AG37&gt;0,(Duplicate!$N$23*Data!$AG37)+M94,(Duplicate!$N$24*Data!$AG37)+M94),IF(Data!$AF37&gt;0,(Duplicate!$N$23*Data!$AF37)+M94,(Duplicate!$N$24*Data!$AF37)+M94)),0)</f>
        <v>3696280</v>
      </c>
      <c r="O94" s="143">
        <f>ROUND(IF($E$31="Yes",IF(Data!$AG37&gt;0,(Duplicate!$O$23*Data!$AG37)+N94,(Duplicate!$O$24*Data!$AG37)+N94),IF(Data!$AF37&gt;0,(Duplicate!$O$23*Data!$AF37)+N94,(Duplicate!$O$24*Data!$AF37)+N94)),0)</f>
        <v>3772517</v>
      </c>
      <c r="P94" s="143">
        <f>ROUND(IF($E$31="Yes",IF(Data!$AG37&gt;0,(Duplicate!$P$23*Data!$AG37)+O94,(Duplicate!$P$24*Data!$AG37)+O94),IF(Data!$AF37&gt;0,(Duplicate!$P$23*Data!$AF37)+O94,(Duplicate!$P$24*Data!$AF37)+O94)),0)</f>
        <v>3848754</v>
      </c>
      <c r="Q94" s="143">
        <f>ROUND(IF($E$31="Yes",IF(Data!$AG37&gt;0,(Duplicate!$Q$23*Data!$AG37)+P94,(Duplicate!$Q$24*Data!$AG37)+P94),IF(Data!$AF37&gt;0,(Duplicate!$Q$23*Data!$AF37)+P94,(Duplicate!$Q$24*Data!$AF37)+P94)),0)</f>
        <v>3924991</v>
      </c>
      <c r="R94" s="143">
        <f>ROUND(IF($E$31="Yes",IF(Data!$AG37&gt;0,(Duplicate!$R$23*Data!$AG37)+Q94,(Duplicate!$R$24*Data!$AG37)+Q94),IF(Data!$AF37&gt;0,(Duplicate!$R$23*Data!$AF37)+Q94,(Duplicate!$R$24*Data!$AF37)+Q94)),0)</f>
        <v>4001228</v>
      </c>
      <c r="S94" s="143">
        <f>ROUND(IF($E$31="Yes",IF(Data!$AG37&gt;0,(Duplicate!$S$23*Data!$AG37)+R94,(Duplicate!$S$24*Data!$AG37)+R94),IF(Data!$AF37&gt;0,(Duplicate!$S$23*Data!$AF37)+R94,(Duplicate!$S$24*Data!$AF37)+R94)),0)</f>
        <v>4077465</v>
      </c>
      <c r="T94" s="143">
        <v>3402126</v>
      </c>
      <c r="U94" s="143">
        <v>3412919</v>
      </c>
      <c r="V94" s="143">
        <v>3423712</v>
      </c>
      <c r="W94" s="143">
        <v>3434505</v>
      </c>
      <c r="X94" s="143">
        <v>3445298</v>
      </c>
      <c r="Y94" s="143">
        <v>3456091</v>
      </c>
      <c r="Z94" s="143">
        <v>3466884</v>
      </c>
      <c r="AA94" s="143">
        <v>3477677</v>
      </c>
      <c r="AB94" s="143">
        <v>3488470</v>
      </c>
      <c r="AC94" s="129">
        <f t="shared" si="6"/>
        <v>65443</v>
      </c>
      <c r="AD94" s="129">
        <f t="shared" si="7"/>
        <v>130887</v>
      </c>
      <c r="AE94" s="129">
        <f t="shared" si="8"/>
        <v>196331</v>
      </c>
      <c r="AF94" s="129">
        <f t="shared" si="9"/>
        <v>261775</v>
      </c>
      <c r="AG94" s="129">
        <f t="shared" si="10"/>
        <v>327219</v>
      </c>
      <c r="AH94" s="129">
        <f t="shared" si="11"/>
        <v>392663</v>
      </c>
      <c r="AI94" s="129">
        <f t="shared" si="12"/>
        <v>458107</v>
      </c>
      <c r="AJ94" s="129">
        <f t="shared" si="13"/>
        <v>523551</v>
      </c>
      <c r="AK94" s="129">
        <f t="shared" si="14"/>
        <v>588995</v>
      </c>
      <c r="AL94" s="127">
        <f t="shared" si="15"/>
        <v>1.923591307317829E-2</v>
      </c>
      <c r="AM94" s="127">
        <f t="shared" si="16"/>
        <v>3.8350456017268497E-2</v>
      </c>
      <c r="AN94" s="127">
        <f t="shared" si="17"/>
        <v>5.7344484582815269E-2</v>
      </c>
      <c r="AO94" s="127">
        <f t="shared" si="18"/>
        <v>7.6219134926284848E-2</v>
      </c>
      <c r="AP94" s="127">
        <f t="shared" si="19"/>
        <v>9.4975528967305545E-2</v>
      </c>
      <c r="AQ94" s="127">
        <f t="shared" si="20"/>
        <v>0.11361477461096947</v>
      </c>
      <c r="AR94" s="127">
        <f t="shared" si="21"/>
        <v>0.13213796596597982</v>
      </c>
      <c r="AS94" s="127">
        <f t="shared" si="22"/>
        <v>0.15054618355873761</v>
      </c>
      <c r="AT94" s="127">
        <f t="shared" si="23"/>
        <v>0.16884049454345318</v>
      </c>
    </row>
    <row r="95" spans="1:80" s="18" customFormat="1" ht="13" x14ac:dyDescent="0.15">
      <c r="A95" s="29" t="s">
        <v>35</v>
      </c>
      <c r="B95" s="30">
        <f>IF(Data!D38=1, MAX(Data!AA38, $E$26) + INDEX(Duplicate!$E$39:$E$43, MATCH( Data!AD38, Duplicate!$B$39:$B$43, 0), 0), MAX(Data!AA38, $E$27) +  INDEX(Duplicate!$E$39:$E$43, MATCH( Data!AD38, Duplicate!$B$39:$B$43, 0), 0))</f>
        <v>0.36745699999999998</v>
      </c>
      <c r="C95" s="128">
        <f>ROUND(Data!R38/13*100, 2)</f>
        <v>46.15</v>
      </c>
      <c r="D95" s="141">
        <f>ROUND(Data!Q38*C95, 0)</f>
        <v>4846</v>
      </c>
      <c r="E95" s="142">
        <f>ROUND($E$22*Data!W38*B95, 0)</f>
        <v>1143350</v>
      </c>
      <c r="F95" s="143">
        <f>IF(E95=0, 0,IF($E$31="Yes", IF(Data!D38=1, MAX(Duplicate!D95+Duplicate!E95, Data!AE38), Duplicate!D95+Duplicate!E95), Duplicate!D95+Duplicate!E95))</f>
        <v>1148196</v>
      </c>
      <c r="G95" s="143">
        <v>1200499</v>
      </c>
      <c r="H95" s="129">
        <f>F95-Data!AL38</f>
        <v>-503951</v>
      </c>
      <c r="I95" s="127">
        <f>((F95)/(Data!AL38)) - 1</f>
        <v>-0.30502794242885167</v>
      </c>
      <c r="J95" s="127">
        <f t="shared" si="5"/>
        <v>-4.3567716424586789E-2</v>
      </c>
      <c r="K95" s="143">
        <f>ROUND(IF($E$31="Yes",IF(Data!AG38&gt;0,(Duplicate!$K$23*Data!AG38)+Data!AI38,(Duplicate!$K$24*Data!AG38)+Data!AI38),IF(Data!AF38&gt;0,(Duplicate!$K$23*Data!AF38)+Data!AI38,(Duplicate!$K$24*Data!AF38)+Data!AI38)),0)</f>
        <v>1707612</v>
      </c>
      <c r="L95" s="143">
        <f>ROUND(IF($E$31="Yes",IF(Data!$AG38&gt;0,(Duplicate!$L$23*Data!$AG38)+K95,(Duplicate!$L$24*Data!$AG38)+K95),IF(Data!$AF38&gt;0,(Duplicate!$L$23*Data!$AF38)+K95,(Duplicate!$L$24*Data!$AF38)+K95)),0)</f>
        <v>1653414</v>
      </c>
      <c r="M95" s="143">
        <f>ROUND(IF($E$31="Yes",IF(Data!$AG38&gt;0,(Duplicate!$M$23*Data!$AG38)+L95,(Duplicate!$M$24*Data!$AG38)+L95),IF(Data!$AF38&gt;0,(Duplicate!$M$23*Data!$AF38)+L95,(Duplicate!$M$24*Data!$AF38)+L95)),0)</f>
        <v>1599216</v>
      </c>
      <c r="N95" s="143">
        <f>ROUND(IF($E$31="Yes",IF(Data!$AG38&gt;0,(Duplicate!$N$23*Data!$AG38)+M95,(Duplicate!$N$24*Data!$AG38)+M95),IF(Data!$AF38&gt;0,(Duplicate!$N$23*Data!$AF38)+M95,(Duplicate!$N$24*Data!$AF38)+M95)),0)</f>
        <v>1545018</v>
      </c>
      <c r="O95" s="143">
        <f>ROUND(IF($E$31="Yes",IF(Data!$AG38&gt;0,(Duplicate!$O$23*Data!$AG38)+N95,(Duplicate!$O$24*Data!$AG38)+N95),IF(Data!$AF38&gt;0,(Duplicate!$O$23*Data!$AF38)+N95,(Duplicate!$O$24*Data!$AF38)+N95)),0)</f>
        <v>1490820</v>
      </c>
      <c r="P95" s="143">
        <f>ROUND(IF($E$31="Yes",IF(Data!$AG38&gt;0,(Duplicate!$P$23*Data!$AG38)+O95,(Duplicate!$P$24*Data!$AG38)+O95),IF(Data!$AF38&gt;0,(Duplicate!$P$23*Data!$AF38)+O95,(Duplicate!$P$24*Data!$AF38)+O95)),0)</f>
        <v>1436622</v>
      </c>
      <c r="Q95" s="143">
        <f>ROUND(IF($E$31="Yes",IF(Data!$AG38&gt;0,(Duplicate!$Q$23*Data!$AG38)+P95,(Duplicate!$Q$24*Data!$AG38)+P95),IF(Data!$AF38&gt;0,(Duplicate!$Q$23*Data!$AF38)+P95,(Duplicate!$Q$24*Data!$AF38)+P95)),0)</f>
        <v>1382424</v>
      </c>
      <c r="R95" s="143">
        <f>ROUND(IF($E$31="Yes",IF(Data!$AG38&gt;0,(Duplicate!$R$23*Data!$AG38)+Q95,(Duplicate!$R$24*Data!$AG38)+Q95),IF(Data!$AF38&gt;0,(Duplicate!$R$23*Data!$AF38)+Q95,(Duplicate!$R$24*Data!$AF38)+Q95)),0)</f>
        <v>1328226</v>
      </c>
      <c r="S95" s="143">
        <f>ROUND(IF($E$31="Yes",IF(Data!$AG38&gt;0,(Duplicate!$S$23*Data!$AG38)+R95,(Duplicate!$S$24*Data!$AG38)+R95),IF(Data!$AF38&gt;0,(Duplicate!$S$23*Data!$AF38)+R95,(Duplicate!$S$24*Data!$AF38)+R95)),0)</f>
        <v>1274028</v>
      </c>
      <c r="T95" s="143">
        <v>1707125</v>
      </c>
      <c r="U95" s="143">
        <v>1652439</v>
      </c>
      <c r="V95" s="143">
        <v>1597753</v>
      </c>
      <c r="W95" s="143">
        <v>1543067</v>
      </c>
      <c r="X95" s="143">
        <v>1488381</v>
      </c>
      <c r="Y95" s="143">
        <v>1433695</v>
      </c>
      <c r="Z95" s="143">
        <v>1379009</v>
      </c>
      <c r="AA95" s="143">
        <v>1324323</v>
      </c>
      <c r="AB95" s="143">
        <v>1269637</v>
      </c>
      <c r="AC95" s="129">
        <f t="shared" si="6"/>
        <v>487</v>
      </c>
      <c r="AD95" s="129">
        <f t="shared" si="7"/>
        <v>975</v>
      </c>
      <c r="AE95" s="129">
        <f t="shared" si="8"/>
        <v>1463</v>
      </c>
      <c r="AF95" s="129">
        <f t="shared" si="9"/>
        <v>1951</v>
      </c>
      <c r="AG95" s="129">
        <f t="shared" si="10"/>
        <v>2439</v>
      </c>
      <c r="AH95" s="129">
        <f t="shared" si="11"/>
        <v>2927</v>
      </c>
      <c r="AI95" s="129">
        <f t="shared" si="12"/>
        <v>3415</v>
      </c>
      <c r="AJ95" s="129">
        <f t="shared" si="13"/>
        <v>3903</v>
      </c>
      <c r="AK95" s="129">
        <f t="shared" si="14"/>
        <v>4391</v>
      </c>
      <c r="AL95" s="127">
        <f t="shared" si="15"/>
        <v>2.8527495057484309E-4</v>
      </c>
      <c r="AM95" s="127">
        <f t="shared" si="16"/>
        <v>5.9003690907810658E-4</v>
      </c>
      <c r="AN95" s="127">
        <f t="shared" si="17"/>
        <v>9.1566093132033899E-4</v>
      </c>
      <c r="AO95" s="127">
        <f t="shared" si="18"/>
        <v>1.2643650599746259E-3</v>
      </c>
      <c r="AP95" s="127">
        <f t="shared" si="19"/>
        <v>1.6386933184446839E-3</v>
      </c>
      <c r="AQ95" s="127">
        <f t="shared" si="20"/>
        <v>2.0415778809299567E-3</v>
      </c>
      <c r="AR95" s="127">
        <f t="shared" si="21"/>
        <v>2.4764160349932673E-3</v>
      </c>
      <c r="AS95" s="127">
        <f t="shared" si="22"/>
        <v>2.9471662124722631E-3</v>
      </c>
      <c r="AT95" s="127">
        <f t="shared" si="23"/>
        <v>3.4584688379435402E-3</v>
      </c>
    </row>
    <row r="96" spans="1:80" s="18" customFormat="1" ht="13" x14ac:dyDescent="0.15">
      <c r="A96" s="29" t="s">
        <v>36</v>
      </c>
      <c r="B96" s="30">
        <f>IF(Data!D39=1, MAX(Data!AA39, $E$26) + INDEX(Duplicate!$E$39:$E$43, MATCH( Data!AD39, Duplicate!$B$39:$B$43, 0), 0), MAX(Data!AA39, $E$27) +  INDEX(Duplicate!$E$39:$E$43, MATCH( Data!AD39, Duplicate!$B$39:$B$43, 0), 0))</f>
        <v>0.206487</v>
      </c>
      <c r="C96" s="128">
        <f>ROUND(Data!R39/13*100, 2)</f>
        <v>0</v>
      </c>
      <c r="D96" s="141">
        <f>ROUND(Data!Q39*C96, 0)</f>
        <v>0</v>
      </c>
      <c r="E96" s="142">
        <f>ROUND($E$22*Data!W39*B96, 0)</f>
        <v>10194737</v>
      </c>
      <c r="F96" s="143">
        <f>IF(E96=0, 0,IF($E$31="Yes", IF(Data!D39=1, MAX(Duplicate!D96+Duplicate!E96, Data!AE39), Duplicate!D96+Duplicate!E96), Duplicate!D96+Duplicate!E96))</f>
        <v>10194737</v>
      </c>
      <c r="G96" s="143">
        <v>9072709</v>
      </c>
      <c r="H96" s="129">
        <f>F96-Data!AL39</f>
        <v>855325</v>
      </c>
      <c r="I96" s="127">
        <f>((F96)/(Data!AL39)) - 1</f>
        <v>9.1582318030299925E-2</v>
      </c>
      <c r="J96" s="127">
        <f t="shared" si="5"/>
        <v>0.12367066991788223</v>
      </c>
      <c r="K96" s="143">
        <f>ROUND(IF($E$31="Yes",IF(Data!AG39&gt;0,(Duplicate!$K$23*Data!AG39)+Data!AI39,(Duplicate!$K$24*Data!AG39)+Data!AI39),IF(Data!AF39&gt;0,(Duplicate!$K$23*Data!AF39)+Data!AI39,(Duplicate!$K$24*Data!AF39)+Data!AI39)),0)</f>
        <v>9424702</v>
      </c>
      <c r="L96" s="143">
        <f>ROUND(IF($E$31="Yes",IF(Data!$AG39&gt;0,(Duplicate!$L$23*Data!$AG39)+K96,(Duplicate!$L$24*Data!$AG39)+K96),IF(Data!$AF39&gt;0,(Duplicate!$L$23*Data!$AF39)+K96,(Duplicate!$L$24*Data!$AF39)+K96)),0)</f>
        <v>9505512</v>
      </c>
      <c r="M96" s="143">
        <f>ROUND(IF($E$31="Yes",IF(Data!$AG39&gt;0,(Duplicate!$M$23*Data!$AG39)+L96,(Duplicate!$M$24*Data!$AG39)+L96),IF(Data!$AF39&gt;0,(Duplicate!$M$23*Data!$AF39)+L96,(Duplicate!$M$24*Data!$AF39)+L96)),0)</f>
        <v>9586322</v>
      </c>
      <c r="N96" s="143">
        <f>ROUND(IF($E$31="Yes",IF(Data!$AG39&gt;0,(Duplicate!$N$23*Data!$AG39)+M96,(Duplicate!$N$24*Data!$AG39)+M96),IF(Data!$AF39&gt;0,(Duplicate!$N$23*Data!$AF39)+M96,(Duplicate!$N$24*Data!$AF39)+M96)),0)</f>
        <v>9667132</v>
      </c>
      <c r="O96" s="143">
        <f>ROUND(IF($E$31="Yes",IF(Data!$AG39&gt;0,(Duplicate!$O$23*Data!$AG39)+N96,(Duplicate!$O$24*Data!$AG39)+N96),IF(Data!$AF39&gt;0,(Duplicate!$O$23*Data!$AF39)+N96,(Duplicate!$O$24*Data!$AF39)+N96)),0)</f>
        <v>9747942</v>
      </c>
      <c r="P96" s="143">
        <f>ROUND(IF($E$31="Yes",IF(Data!$AG39&gt;0,(Duplicate!$P$23*Data!$AG39)+O96,(Duplicate!$P$24*Data!$AG39)+O96),IF(Data!$AF39&gt;0,(Duplicate!$P$23*Data!$AF39)+O96,(Duplicate!$P$24*Data!$AF39)+O96)),0)</f>
        <v>9828752</v>
      </c>
      <c r="Q96" s="143">
        <f>ROUND(IF($E$31="Yes",IF(Data!$AG39&gt;0,(Duplicate!$Q$23*Data!$AG39)+P96,(Duplicate!$Q$24*Data!$AG39)+P96),IF(Data!$AF39&gt;0,(Duplicate!$Q$23*Data!$AF39)+P96,(Duplicate!$Q$24*Data!$AF39)+P96)),0)</f>
        <v>9909562</v>
      </c>
      <c r="R96" s="143">
        <f>ROUND(IF($E$31="Yes",IF(Data!$AG39&gt;0,(Duplicate!$R$23*Data!$AG39)+Q96,(Duplicate!$R$24*Data!$AG39)+Q96),IF(Data!$AF39&gt;0,(Duplicate!$R$23*Data!$AF39)+Q96,(Duplicate!$R$24*Data!$AF39)+Q96)),0)</f>
        <v>9990372</v>
      </c>
      <c r="S96" s="143">
        <f>ROUND(IF($E$31="Yes",IF(Data!$AG39&gt;0,(Duplicate!$S$23*Data!$AG39)+R96,(Duplicate!$S$24*Data!$AG39)+R96),IF(Data!$AF39&gt;0,(Duplicate!$S$23*Data!$AF39)+R96,(Duplicate!$S$24*Data!$AF39)+R96)),0)</f>
        <v>10071182</v>
      </c>
      <c r="T96" s="143">
        <v>9313574</v>
      </c>
      <c r="U96" s="143">
        <v>9283256</v>
      </c>
      <c r="V96" s="143">
        <v>9252938</v>
      </c>
      <c r="W96" s="143">
        <v>9222620</v>
      </c>
      <c r="X96" s="143">
        <v>9192302</v>
      </c>
      <c r="Y96" s="143">
        <v>9161984</v>
      </c>
      <c r="Z96" s="143">
        <v>9131666</v>
      </c>
      <c r="AA96" s="143">
        <v>9101348</v>
      </c>
      <c r="AB96" s="143">
        <v>9071030</v>
      </c>
      <c r="AC96" s="129">
        <f t="shared" si="6"/>
        <v>111128</v>
      </c>
      <c r="AD96" s="129">
        <f t="shared" si="7"/>
        <v>222256</v>
      </c>
      <c r="AE96" s="129">
        <f t="shared" si="8"/>
        <v>333384</v>
      </c>
      <c r="AF96" s="129">
        <f t="shared" si="9"/>
        <v>444512</v>
      </c>
      <c r="AG96" s="129">
        <f t="shared" si="10"/>
        <v>555640</v>
      </c>
      <c r="AH96" s="129">
        <f t="shared" si="11"/>
        <v>666768</v>
      </c>
      <c r="AI96" s="129">
        <f t="shared" si="12"/>
        <v>777896</v>
      </c>
      <c r="AJ96" s="129">
        <f t="shared" si="13"/>
        <v>889024</v>
      </c>
      <c r="AK96" s="129">
        <f t="shared" si="14"/>
        <v>1000152</v>
      </c>
      <c r="AL96" s="127">
        <f t="shared" si="15"/>
        <v>1.193183196912373E-2</v>
      </c>
      <c r="AM96" s="127">
        <f t="shared" si="16"/>
        <v>2.3941599800759494E-2</v>
      </c>
      <c r="AN96" s="127">
        <f t="shared" si="17"/>
        <v>3.6030069584384927E-2</v>
      </c>
      <c r="AO96" s="127">
        <f t="shared" si="18"/>
        <v>4.8198017483101374E-2</v>
      </c>
      <c r="AP96" s="127">
        <f t="shared" si="19"/>
        <v>6.0446229899757453E-2</v>
      </c>
      <c r="AQ96" s="127">
        <f t="shared" si="20"/>
        <v>7.2775503646371753E-2</v>
      </c>
      <c r="AR96" s="127">
        <f t="shared" si="21"/>
        <v>8.5186646116929721E-2</v>
      </c>
      <c r="AS96" s="127">
        <f t="shared" si="22"/>
        <v>9.7680475463634675E-2</v>
      </c>
      <c r="AT96" s="127">
        <f t="shared" si="23"/>
        <v>0.11025782077669244</v>
      </c>
    </row>
    <row r="97" spans="1:46" s="18" customFormat="1" ht="13" x14ac:dyDescent="0.15">
      <c r="A97" s="29" t="s">
        <v>37</v>
      </c>
      <c r="B97" s="30">
        <f>IF(Data!D40=1, MAX(Data!AA40, $E$26) + INDEX(Duplicate!$E$39:$E$43, MATCH( Data!AD40, Duplicate!$B$39:$B$43, 0), 0), MAX(Data!AA40, $E$27) +  INDEX(Duplicate!$E$39:$E$43, MATCH( Data!AD40, Duplicate!$B$39:$B$43, 0), 0))</f>
        <v>0.220193</v>
      </c>
      <c r="C97" s="128">
        <f>ROUND(Data!R40/13*100, 2)</f>
        <v>46.15</v>
      </c>
      <c r="D97" s="141">
        <f>ROUND(Data!Q40*C97, 0)</f>
        <v>9276</v>
      </c>
      <c r="E97" s="142">
        <f>ROUND($E$22*Data!W40*B97, 0)</f>
        <v>1119035</v>
      </c>
      <c r="F97" s="143">
        <f>IF(E97=0, 0,IF($E$31="Yes", IF(Data!D40=1, MAX(Duplicate!D97+Duplicate!E97, Data!AE40), Duplicate!D97+Duplicate!E97), Duplicate!D97+Duplicate!E97))</f>
        <v>1128311</v>
      </c>
      <c r="G97" s="143">
        <v>1162058</v>
      </c>
      <c r="H97" s="129">
        <f>F97-Data!AL40</f>
        <v>360020</v>
      </c>
      <c r="I97" s="127">
        <f>((F97)/(Data!AL40)) - 1</f>
        <v>0.46859848677128846</v>
      </c>
      <c r="J97" s="127">
        <f t="shared" si="5"/>
        <v>-2.904071913794315E-2</v>
      </c>
      <c r="K97" s="143">
        <f>ROUND(IF($E$31="Yes",IF(Data!AG40&gt;0,(Duplicate!$K$23*Data!AG40)+Data!AI40,(Duplicate!$K$24*Data!AG40)+Data!AI40),IF(Data!AF40&gt;0,(Duplicate!$K$23*Data!AF40)+Data!AI40,(Duplicate!$K$24*Data!AF40)+Data!AI40)),0)</f>
        <v>740286</v>
      </c>
      <c r="L97" s="143">
        <f>ROUND(IF($E$31="Yes",IF(Data!$AG40&gt;0,(Duplicate!$L$23*Data!$AG40)+K97,(Duplicate!$L$24*Data!$AG40)+K97),IF(Data!$AF40&gt;0,(Duplicate!$L$23*Data!$AF40)+K97,(Duplicate!$L$24*Data!$AF40)+K97)),0)</f>
        <v>802159</v>
      </c>
      <c r="M97" s="143">
        <f>ROUND(IF($E$31="Yes",IF(Data!$AG40&gt;0,(Duplicate!$M$23*Data!$AG40)+L97,(Duplicate!$M$24*Data!$AG40)+L97),IF(Data!$AF40&gt;0,(Duplicate!$M$23*Data!$AF40)+L97,(Duplicate!$M$24*Data!$AF40)+L97)),0)</f>
        <v>864032</v>
      </c>
      <c r="N97" s="143">
        <f>ROUND(IF($E$31="Yes",IF(Data!$AG40&gt;0,(Duplicate!$N$23*Data!$AG40)+M97,(Duplicate!$N$24*Data!$AG40)+M97),IF(Data!$AF40&gt;0,(Duplicate!$N$23*Data!$AF40)+M97,(Duplicate!$N$24*Data!$AF40)+M97)),0)</f>
        <v>925905</v>
      </c>
      <c r="O97" s="143">
        <f>ROUND(IF($E$31="Yes",IF(Data!$AG40&gt;0,(Duplicate!$O$23*Data!$AG40)+N97,(Duplicate!$O$24*Data!$AG40)+N97),IF(Data!$AF40&gt;0,(Duplicate!$O$23*Data!$AF40)+N97,(Duplicate!$O$24*Data!$AF40)+N97)),0)</f>
        <v>987778</v>
      </c>
      <c r="P97" s="143">
        <f>ROUND(IF($E$31="Yes",IF(Data!$AG40&gt;0,(Duplicate!$P$23*Data!$AG40)+O97,(Duplicate!$P$24*Data!$AG40)+O97),IF(Data!$AF40&gt;0,(Duplicate!$P$23*Data!$AF40)+O97,(Duplicate!$P$24*Data!$AF40)+O97)),0)</f>
        <v>1049651</v>
      </c>
      <c r="Q97" s="143">
        <f>ROUND(IF($E$31="Yes",IF(Data!$AG40&gt;0,(Duplicate!$Q$23*Data!$AG40)+P97,(Duplicate!$Q$24*Data!$AG40)+P97),IF(Data!$AF40&gt;0,(Duplicate!$Q$23*Data!$AF40)+P97,(Duplicate!$Q$24*Data!$AF40)+P97)),0)</f>
        <v>1111524</v>
      </c>
      <c r="R97" s="143">
        <f>ROUND(IF($E$31="Yes",IF(Data!$AG40&gt;0,(Duplicate!$R$23*Data!$AG40)+Q97,(Duplicate!$R$24*Data!$AG40)+Q97),IF(Data!$AF40&gt;0,(Duplicate!$R$23*Data!$AF40)+Q97,(Duplicate!$R$24*Data!$AF40)+Q97)),0)</f>
        <v>1173397</v>
      </c>
      <c r="S97" s="143">
        <f>ROUND(IF($E$31="Yes",IF(Data!$AG40&gt;0,(Duplicate!$S$23*Data!$AG40)+R97,(Duplicate!$S$24*Data!$AG40)+R97),IF(Data!$AF40&gt;0,(Duplicate!$S$23*Data!$AF40)+R97,(Duplicate!$S$24*Data!$AF40)+R97)),0)</f>
        <v>1235270</v>
      </c>
      <c r="T97" s="143">
        <v>732016</v>
      </c>
      <c r="U97" s="143">
        <v>785619</v>
      </c>
      <c r="V97" s="143">
        <v>839222</v>
      </c>
      <c r="W97" s="143">
        <v>892825</v>
      </c>
      <c r="X97" s="143">
        <v>946428</v>
      </c>
      <c r="Y97" s="143">
        <v>1000031</v>
      </c>
      <c r="Z97" s="143">
        <v>1053634</v>
      </c>
      <c r="AA97" s="143">
        <v>1107237</v>
      </c>
      <c r="AB97" s="143">
        <v>1160840</v>
      </c>
      <c r="AC97" s="129">
        <f t="shared" si="6"/>
        <v>8270</v>
      </c>
      <c r="AD97" s="129">
        <f t="shared" si="7"/>
        <v>16540</v>
      </c>
      <c r="AE97" s="129">
        <f t="shared" si="8"/>
        <v>24810</v>
      </c>
      <c r="AF97" s="129">
        <f t="shared" si="9"/>
        <v>33080</v>
      </c>
      <c r="AG97" s="129">
        <f t="shared" si="10"/>
        <v>41350</v>
      </c>
      <c r="AH97" s="129">
        <f t="shared" si="11"/>
        <v>49620</v>
      </c>
      <c r="AI97" s="129">
        <f t="shared" si="12"/>
        <v>57890</v>
      </c>
      <c r="AJ97" s="129">
        <f t="shared" si="13"/>
        <v>66160</v>
      </c>
      <c r="AK97" s="129">
        <f t="shared" si="14"/>
        <v>74430</v>
      </c>
      <c r="AL97" s="127">
        <f t="shared" si="15"/>
        <v>1.1297567266289166E-2</v>
      </c>
      <c r="AM97" s="127">
        <f t="shared" si="16"/>
        <v>2.1053462301700909E-2</v>
      </c>
      <c r="AN97" s="127">
        <f t="shared" si="17"/>
        <v>2.9563095343067669E-2</v>
      </c>
      <c r="AO97" s="127">
        <f t="shared" si="18"/>
        <v>3.7050933833618016E-2</v>
      </c>
      <c r="AP97" s="127">
        <f t="shared" si="19"/>
        <v>4.3690592416961493E-2</v>
      </c>
      <c r="AQ97" s="127">
        <f t="shared" si="20"/>
        <v>4.9618461827683369E-2</v>
      </c>
      <c r="AR97" s="127">
        <f t="shared" si="21"/>
        <v>5.4943177611960214E-2</v>
      </c>
      <c r="AS97" s="127">
        <f t="shared" si="22"/>
        <v>5.9752338478573197E-2</v>
      </c>
      <c r="AT97" s="127">
        <f t="shared" si="23"/>
        <v>6.411736328865314E-2</v>
      </c>
    </row>
    <row r="98" spans="1:46" s="18" customFormat="1" ht="13" x14ac:dyDescent="0.15">
      <c r="A98" s="29" t="s">
        <v>38</v>
      </c>
      <c r="B98" s="30">
        <f>IF(Data!D41=1, MAX(Data!AA41, $E$26) + INDEX(Duplicate!$E$39:$E$43, MATCH( Data!AD41, Duplicate!$B$39:$B$43, 0), 0), MAX(Data!AA41, $E$27) +  INDEX(Duplicate!$E$39:$E$43, MATCH( Data!AD41, Duplicate!$B$39:$B$43, 0), 0))</f>
        <v>0.15943299999999999</v>
      </c>
      <c r="C98" s="128">
        <f>ROUND(Data!R41/13*100, 2)</f>
        <v>0</v>
      </c>
      <c r="D98" s="141">
        <f>ROUND(Data!Q41*C98, 0)</f>
        <v>0</v>
      </c>
      <c r="E98" s="142">
        <f>ROUND($E$22*Data!W41*B98, 0)</f>
        <v>3218100</v>
      </c>
      <c r="F98" s="143">
        <f>IF(E98=0, 0,IF($E$31="Yes", IF(Data!D41=1, MAX(Duplicate!D98+Duplicate!E98, Data!AE41), Duplicate!D98+Duplicate!E98), Duplicate!D98+Duplicate!E98))</f>
        <v>3218100</v>
      </c>
      <c r="G98" s="143">
        <v>3583247</v>
      </c>
      <c r="H98" s="129">
        <f>F98-Data!AL41</f>
        <v>-1973984</v>
      </c>
      <c r="I98" s="127">
        <f>((F98)/(Data!AL41)) - 1</f>
        <v>-0.38019107549107445</v>
      </c>
      <c r="J98" s="127">
        <f t="shared" si="5"/>
        <v>-0.10190394354617471</v>
      </c>
      <c r="K98" s="143">
        <f>ROUND(IF($E$31="Yes",IF(Data!AG41&gt;0,(Duplicate!$K$23*Data!AG41)+Data!AI41,(Duplicate!$K$24*Data!AG41)+Data!AI41),IF(Data!AF41&gt;0,(Duplicate!$K$23*Data!AF41)+Data!AI41,(Duplicate!$K$24*Data!AF41)+Data!AI41)),0)</f>
        <v>5425282</v>
      </c>
      <c r="L98" s="143">
        <f>ROUND(IF($E$31="Yes",IF(Data!$AG41&gt;0,(Duplicate!$L$23*Data!$AG41)+K98,(Duplicate!$L$24*Data!$AG41)+K98),IF(Data!$AF41&gt;0,(Duplicate!$L$23*Data!$AF41)+K98,(Duplicate!$L$24*Data!$AF41)+K98)),0)</f>
        <v>5166311</v>
      </c>
      <c r="M98" s="143">
        <f>ROUND(IF($E$31="Yes",IF(Data!$AG41&gt;0,(Duplicate!$M$23*Data!$AG41)+L98,(Duplicate!$M$24*Data!$AG41)+L98),IF(Data!$AF41&gt;0,(Duplicate!$M$23*Data!$AF41)+L98,(Duplicate!$M$24*Data!$AF41)+L98)),0)</f>
        <v>4907340</v>
      </c>
      <c r="N98" s="143">
        <f>ROUND(IF($E$31="Yes",IF(Data!$AG41&gt;0,(Duplicate!$N$23*Data!$AG41)+M98,(Duplicate!$N$24*Data!$AG41)+M98),IF(Data!$AF41&gt;0,(Duplicate!$N$23*Data!$AF41)+M98,(Duplicate!$N$24*Data!$AF41)+M98)),0)</f>
        <v>4648369</v>
      </c>
      <c r="O98" s="143">
        <f>ROUND(IF($E$31="Yes",IF(Data!$AG41&gt;0,(Duplicate!$O$23*Data!$AG41)+N98,(Duplicate!$O$24*Data!$AG41)+N98),IF(Data!$AF41&gt;0,(Duplicate!$O$23*Data!$AF41)+N98,(Duplicate!$O$24*Data!$AF41)+N98)),0)</f>
        <v>4389398</v>
      </c>
      <c r="P98" s="143">
        <f>ROUND(IF($E$31="Yes",IF(Data!$AG41&gt;0,(Duplicate!$P$23*Data!$AG41)+O98,(Duplicate!$P$24*Data!$AG41)+O98),IF(Data!$AF41&gt;0,(Duplicate!$P$23*Data!$AF41)+O98,(Duplicate!$P$24*Data!$AF41)+O98)),0)</f>
        <v>4130427</v>
      </c>
      <c r="Q98" s="143">
        <f>ROUND(IF($E$31="Yes",IF(Data!$AG41&gt;0,(Duplicate!$Q$23*Data!$AG41)+P98,(Duplicate!$Q$24*Data!$AG41)+P98),IF(Data!$AF41&gt;0,(Duplicate!$Q$23*Data!$AF41)+P98,(Duplicate!$Q$24*Data!$AF41)+P98)),0)</f>
        <v>3871456</v>
      </c>
      <c r="R98" s="143">
        <f>ROUND(IF($E$31="Yes",IF(Data!$AG41&gt;0,(Duplicate!$R$23*Data!$AG41)+Q98,(Duplicate!$R$24*Data!$AG41)+Q98),IF(Data!$AF41&gt;0,(Duplicate!$R$23*Data!$AF41)+Q98,(Duplicate!$R$24*Data!$AF41)+Q98)),0)</f>
        <v>3612485</v>
      </c>
      <c r="S98" s="143">
        <f>ROUND(IF($E$31="Yes",IF(Data!$AG41&gt;0,(Duplicate!$S$23*Data!$AG41)+R98,(Duplicate!$S$24*Data!$AG41)+R98),IF(Data!$AF41&gt;0,(Duplicate!$S$23*Data!$AF41)+R98,(Duplicate!$S$24*Data!$AF41)+R98)),0)</f>
        <v>3353514</v>
      </c>
      <c r="T98" s="143">
        <v>5455699</v>
      </c>
      <c r="U98" s="143">
        <v>5227145</v>
      </c>
      <c r="V98" s="143">
        <v>4998591</v>
      </c>
      <c r="W98" s="143">
        <v>4770037</v>
      </c>
      <c r="X98" s="143">
        <v>4541483</v>
      </c>
      <c r="Y98" s="143">
        <v>4312929</v>
      </c>
      <c r="Z98" s="143">
        <v>4084375</v>
      </c>
      <c r="AA98" s="143">
        <v>3855821</v>
      </c>
      <c r="AB98" s="143">
        <v>3627267</v>
      </c>
      <c r="AC98" s="129">
        <f t="shared" si="6"/>
        <v>-30417</v>
      </c>
      <c r="AD98" s="129">
        <f t="shared" si="7"/>
        <v>-60834</v>
      </c>
      <c r="AE98" s="129">
        <f t="shared" si="8"/>
        <v>-91251</v>
      </c>
      <c r="AF98" s="129">
        <f t="shared" si="9"/>
        <v>-121668</v>
      </c>
      <c r="AG98" s="129">
        <f t="shared" si="10"/>
        <v>-152085</v>
      </c>
      <c r="AH98" s="129">
        <f t="shared" si="11"/>
        <v>-182502</v>
      </c>
      <c r="AI98" s="129">
        <f t="shared" si="12"/>
        <v>-212919</v>
      </c>
      <c r="AJ98" s="129">
        <f t="shared" si="13"/>
        <v>-243336</v>
      </c>
      <c r="AK98" s="129">
        <f t="shared" si="14"/>
        <v>-273753</v>
      </c>
      <c r="AL98" s="127">
        <f t="shared" si="15"/>
        <v>-5.5752709231209341E-3</v>
      </c>
      <c r="AM98" s="127">
        <f t="shared" si="16"/>
        <v>-1.1638093069926359E-2</v>
      </c>
      <c r="AN98" s="127">
        <f t="shared" si="17"/>
        <v>-1.8255344356039482E-2</v>
      </c>
      <c r="AO98" s="127">
        <f t="shared" si="18"/>
        <v>-2.5506720388122739E-2</v>
      </c>
      <c r="AP98" s="127">
        <f t="shared" si="19"/>
        <v>-3.3487959769969433E-2</v>
      </c>
      <c r="AQ98" s="127">
        <f t="shared" si="20"/>
        <v>-4.2315094915775342E-2</v>
      </c>
      <c r="AR98" s="127">
        <f t="shared" si="21"/>
        <v>-5.2130130068860026E-2</v>
      </c>
      <c r="AS98" s="127">
        <f t="shared" si="22"/>
        <v>-6.3108738709602985E-2</v>
      </c>
      <c r="AT98" s="127">
        <f t="shared" si="23"/>
        <v>-7.5470871044232446E-2</v>
      </c>
    </row>
    <row r="99" spans="1:46" s="18" customFormat="1" ht="13" x14ac:dyDescent="0.15">
      <c r="A99" s="29" t="s">
        <v>39</v>
      </c>
      <c r="B99" s="30">
        <f>IF(Data!D42=1, MAX(Data!AA42, $E$26) + INDEX(Duplicate!$E$39:$E$43, MATCH( Data!AD42, Duplicate!$B$39:$B$43, 0), 0), MAX(Data!AA42, $E$27) +  INDEX(Duplicate!$E$39:$E$43, MATCH( Data!AD42, Duplicate!$B$39:$B$43, 0), 0))</f>
        <v>0.33427299999999999</v>
      </c>
      <c r="C99" s="128">
        <f>ROUND(Data!R42/13*100, 2)</f>
        <v>0</v>
      </c>
      <c r="D99" s="141">
        <f>ROUND(Data!Q42*C99, 0)</f>
        <v>0</v>
      </c>
      <c r="E99" s="142">
        <f>ROUND($E$22*Data!W42*B99, 0)</f>
        <v>9131456</v>
      </c>
      <c r="F99" s="143">
        <f>IF(E99=0, 0,IF($E$31="Yes", IF(Data!D42=1, MAX(Duplicate!D99+Duplicate!E99, Data!AE42), Duplicate!D99+Duplicate!E99), Duplicate!D99+Duplicate!E99))</f>
        <v>9131456</v>
      </c>
      <c r="G99" s="143">
        <v>9764766</v>
      </c>
      <c r="H99" s="129">
        <f>F99-Data!AL42</f>
        <v>-2908762</v>
      </c>
      <c r="I99" s="127">
        <f>((F99)/(Data!AL42)) - 1</f>
        <v>-0.24158715398674679</v>
      </c>
      <c r="J99" s="127">
        <f t="shared" si="5"/>
        <v>-6.4856648894607405E-2</v>
      </c>
      <c r="K99" s="143">
        <f>ROUND(IF($E$31="Yes",IF(Data!AG42&gt;0,(Duplicate!$K$23*Data!AG42)+Data!AI42,(Duplicate!$K$24*Data!AG42)+Data!AI42),IF(Data!AF42&gt;0,(Duplicate!$K$23*Data!AF42)+Data!AI42,(Duplicate!$K$24*Data!AF42)+Data!AI42)),0)</f>
        <v>12306425</v>
      </c>
      <c r="L99" s="143">
        <f>ROUND(IF($E$31="Yes",IF(Data!$AG42&gt;0,(Duplicate!$L$23*Data!$AG42)+K99,(Duplicate!$L$24*Data!$AG42)+K99),IF(Data!$AF42&gt;0,(Duplicate!$L$23*Data!$AF42)+K99,(Duplicate!$L$24*Data!$AF42)+K99)),0)</f>
        <v>11942250</v>
      </c>
      <c r="M99" s="143">
        <f>ROUND(IF($E$31="Yes",IF(Data!$AG42&gt;0,(Duplicate!$M$23*Data!$AG42)+L99,(Duplicate!$M$24*Data!$AG42)+L99),IF(Data!$AF42&gt;0,(Duplicate!$M$23*Data!$AF42)+L99,(Duplicate!$M$24*Data!$AF42)+L99)),0)</f>
        <v>11578075</v>
      </c>
      <c r="N99" s="143">
        <f>ROUND(IF($E$31="Yes",IF(Data!$AG42&gt;0,(Duplicate!$N$23*Data!$AG42)+M99,(Duplicate!$N$24*Data!$AG42)+M99),IF(Data!$AF42&gt;0,(Duplicate!$N$23*Data!$AF42)+M99,(Duplicate!$N$24*Data!$AF42)+M99)),0)</f>
        <v>11213900</v>
      </c>
      <c r="O99" s="143">
        <f>ROUND(IF($E$31="Yes",IF(Data!$AG42&gt;0,(Duplicate!$O$23*Data!$AG42)+N99,(Duplicate!$O$24*Data!$AG42)+N99),IF(Data!$AF42&gt;0,(Duplicate!$O$23*Data!$AF42)+N99,(Duplicate!$O$24*Data!$AF42)+N99)),0)</f>
        <v>10849725</v>
      </c>
      <c r="P99" s="143">
        <f>ROUND(IF($E$31="Yes",IF(Data!$AG42&gt;0,(Duplicate!$P$23*Data!$AG42)+O99,(Duplicate!$P$24*Data!$AG42)+O99),IF(Data!$AF42&gt;0,(Duplicate!$P$23*Data!$AF42)+O99,(Duplicate!$P$24*Data!$AF42)+O99)),0)</f>
        <v>10485550</v>
      </c>
      <c r="Q99" s="143">
        <f>ROUND(IF($E$31="Yes",IF(Data!$AG42&gt;0,(Duplicate!$Q$23*Data!$AG42)+P99,(Duplicate!$Q$24*Data!$AG42)+P99),IF(Data!$AF42&gt;0,(Duplicate!$Q$23*Data!$AF42)+P99,(Duplicate!$Q$24*Data!$AF42)+P99)),0)</f>
        <v>10121375</v>
      </c>
      <c r="R99" s="143">
        <f>ROUND(IF($E$31="Yes",IF(Data!$AG42&gt;0,(Duplicate!$R$23*Data!$AG42)+Q99,(Duplicate!$R$24*Data!$AG42)+Q99),IF(Data!$AF42&gt;0,(Duplicate!$R$23*Data!$AF42)+Q99,(Duplicate!$R$24*Data!$AF42)+Q99)),0)</f>
        <v>9757200</v>
      </c>
      <c r="S99" s="143">
        <f>ROUND(IF($E$31="Yes",IF(Data!$AG42&gt;0,(Duplicate!$S$23*Data!$AG42)+R99,(Duplicate!$S$24*Data!$AG42)+R99),IF(Data!$AF42&gt;0,(Duplicate!$S$23*Data!$AF42)+R99,(Duplicate!$S$24*Data!$AF42)+R99)),0)</f>
        <v>9393025</v>
      </c>
      <c r="T99" s="143">
        <v>12359180</v>
      </c>
      <c r="U99" s="143">
        <v>12047759</v>
      </c>
      <c r="V99" s="143">
        <v>11736338</v>
      </c>
      <c r="W99" s="143">
        <v>11424917</v>
      </c>
      <c r="X99" s="143">
        <v>11113496</v>
      </c>
      <c r="Y99" s="143">
        <v>10802075</v>
      </c>
      <c r="Z99" s="143">
        <v>10490654</v>
      </c>
      <c r="AA99" s="143">
        <v>10179233</v>
      </c>
      <c r="AB99" s="143">
        <v>9867812</v>
      </c>
      <c r="AC99" s="129">
        <f t="shared" si="6"/>
        <v>-52755</v>
      </c>
      <c r="AD99" s="129">
        <f t="shared" si="7"/>
        <v>-105509</v>
      </c>
      <c r="AE99" s="129">
        <f t="shared" si="8"/>
        <v>-158263</v>
      </c>
      <c r="AF99" s="129">
        <f t="shared" si="9"/>
        <v>-211017</v>
      </c>
      <c r="AG99" s="129">
        <f t="shared" si="10"/>
        <v>-263771</v>
      </c>
      <c r="AH99" s="129">
        <f t="shared" si="11"/>
        <v>-316525</v>
      </c>
      <c r="AI99" s="129">
        <f t="shared" si="12"/>
        <v>-369279</v>
      </c>
      <c r="AJ99" s="129">
        <f t="shared" si="13"/>
        <v>-422033</v>
      </c>
      <c r="AK99" s="129">
        <f t="shared" si="14"/>
        <v>-474787</v>
      </c>
      <c r="AL99" s="127">
        <f t="shared" si="15"/>
        <v>-4.2684870679122744E-3</v>
      </c>
      <c r="AM99" s="127">
        <f t="shared" si="16"/>
        <v>-8.7575622985154311E-3</v>
      </c>
      <c r="AN99" s="127">
        <f t="shared" si="17"/>
        <v>-1.3484870664086213E-2</v>
      </c>
      <c r="AO99" s="127">
        <f t="shared" si="18"/>
        <v>-1.8469893479313715E-2</v>
      </c>
      <c r="AP99" s="127">
        <f t="shared" si="19"/>
        <v>-2.3734295670777228E-2</v>
      </c>
      <c r="AQ99" s="127">
        <f t="shared" si="20"/>
        <v>-2.9302240541747793E-2</v>
      </c>
      <c r="AR99" s="127">
        <f t="shared" si="21"/>
        <v>-3.5200760600816672E-2</v>
      </c>
      <c r="AS99" s="127">
        <f t="shared" si="22"/>
        <v>-4.146019646077459E-2</v>
      </c>
      <c r="AT99" s="127">
        <f t="shared" si="23"/>
        <v>-4.811471884547458E-2</v>
      </c>
    </row>
    <row r="100" spans="1:46" s="18" customFormat="1" ht="13" x14ac:dyDescent="0.15">
      <c r="A100" s="29" t="s">
        <v>40</v>
      </c>
      <c r="B100" s="30">
        <f>IF(Data!D43=1, MAX(Data!AA43, $E$26) + INDEX(Duplicate!$E$39:$E$43, MATCH( Data!AD43, Duplicate!$B$39:$B$43, 0), 0), MAX(Data!AA43, $E$27) +  INDEX(Duplicate!$E$39:$E$43, MATCH( Data!AD43, Duplicate!$B$39:$B$43, 0), 0))</f>
        <v>0.13905600000000001</v>
      </c>
      <c r="C100" s="128">
        <f>ROUND(Data!R43/13*100, 2)</f>
        <v>46.15</v>
      </c>
      <c r="D100" s="141">
        <f>ROUND(Data!Q43*C100, 0)</f>
        <v>4107</v>
      </c>
      <c r="E100" s="142">
        <f>ROUND($E$22*Data!W43*B100, 0)</f>
        <v>293103</v>
      </c>
      <c r="F100" s="143">
        <f>IF(E100=0, 0,IF($E$31="Yes", IF(Data!D43=1, MAX(Duplicate!D100+Duplicate!E100, Data!AE43), Duplicate!D100+Duplicate!E100), Duplicate!D100+Duplicate!E100))</f>
        <v>297210</v>
      </c>
      <c r="G100" s="143">
        <v>286858</v>
      </c>
      <c r="H100" s="129">
        <f>F100-Data!AL43</f>
        <v>-106702</v>
      </c>
      <c r="I100" s="127">
        <f>((F100)/(Data!AL43)) - 1</f>
        <v>-0.26417140367208702</v>
      </c>
      <c r="J100" s="127">
        <f t="shared" si="5"/>
        <v>3.6087541571090842E-2</v>
      </c>
      <c r="K100" s="143">
        <f>ROUND(IF($E$31="Yes",IF(Data!AG43&gt;0,(Duplicate!$K$23*Data!AG43)+Data!AI43,(Duplicate!$K$24*Data!AG43)+Data!AI43),IF(Data!AF43&gt;0,(Duplicate!$K$23*Data!AF43)+Data!AI43,(Duplicate!$K$24*Data!AF43)+Data!AI43)),0)</f>
        <v>432864</v>
      </c>
      <c r="L100" s="143">
        <f>ROUND(IF($E$31="Yes",IF(Data!$AG43&gt;0,(Duplicate!$L$23*Data!$AG43)+K100,(Duplicate!$L$24*Data!$AG43)+K100),IF(Data!$AF43&gt;0,(Duplicate!$L$23*Data!$AF43)+K100,(Duplicate!$L$24*Data!$AF43)+K100)),0)</f>
        <v>420795</v>
      </c>
      <c r="M100" s="143">
        <f>ROUND(IF($E$31="Yes",IF(Data!$AG43&gt;0,(Duplicate!$M$23*Data!$AG43)+L100,(Duplicate!$M$24*Data!$AG43)+L100),IF(Data!$AF43&gt;0,(Duplicate!$M$23*Data!$AF43)+L100,(Duplicate!$M$24*Data!$AF43)+L100)),0)</f>
        <v>408726</v>
      </c>
      <c r="N100" s="143">
        <f>ROUND(IF($E$31="Yes",IF(Data!$AG43&gt;0,(Duplicate!$N$23*Data!$AG43)+M100,(Duplicate!$N$24*Data!$AG43)+M100),IF(Data!$AF43&gt;0,(Duplicate!$N$23*Data!$AF43)+M100,(Duplicate!$N$24*Data!$AF43)+M100)),0)</f>
        <v>396657</v>
      </c>
      <c r="O100" s="143">
        <f>ROUND(IF($E$31="Yes",IF(Data!$AG43&gt;0,(Duplicate!$O$23*Data!$AG43)+N100,(Duplicate!$O$24*Data!$AG43)+N100),IF(Data!$AF43&gt;0,(Duplicate!$O$23*Data!$AF43)+N100,(Duplicate!$O$24*Data!$AF43)+N100)),0)</f>
        <v>384588</v>
      </c>
      <c r="P100" s="143">
        <f>ROUND(IF($E$31="Yes",IF(Data!$AG43&gt;0,(Duplicate!$P$23*Data!$AG43)+O100,(Duplicate!$P$24*Data!$AG43)+O100),IF(Data!$AF43&gt;0,(Duplicate!$P$23*Data!$AF43)+O100,(Duplicate!$P$24*Data!$AF43)+O100)),0)</f>
        <v>372519</v>
      </c>
      <c r="Q100" s="143">
        <f>ROUND(IF($E$31="Yes",IF(Data!$AG43&gt;0,(Duplicate!$Q$23*Data!$AG43)+P100,(Duplicate!$Q$24*Data!$AG43)+P100),IF(Data!$AF43&gt;0,(Duplicate!$Q$23*Data!$AF43)+P100,(Duplicate!$Q$24*Data!$AF43)+P100)),0)</f>
        <v>360450</v>
      </c>
      <c r="R100" s="143">
        <f>ROUND(IF($E$31="Yes",IF(Data!$AG43&gt;0,(Duplicate!$R$23*Data!$AG43)+Q100,(Duplicate!$R$24*Data!$AG43)+Q100),IF(Data!$AF43&gt;0,(Duplicate!$R$23*Data!$AF43)+Q100,(Duplicate!$R$24*Data!$AF43)+Q100)),0)</f>
        <v>348381</v>
      </c>
      <c r="S100" s="143">
        <f>ROUND(IF($E$31="Yes",IF(Data!$AG43&gt;0,(Duplicate!$S$23*Data!$AG43)+R100,(Duplicate!$S$24*Data!$AG43)+R100),IF(Data!$AF43&gt;0,(Duplicate!$S$23*Data!$AF43)+R100,(Duplicate!$S$24*Data!$AF43)+R100)),0)</f>
        <v>336312</v>
      </c>
      <c r="T100" s="143">
        <v>427896</v>
      </c>
      <c r="U100" s="143">
        <v>410859</v>
      </c>
      <c r="V100" s="143">
        <v>393822</v>
      </c>
      <c r="W100" s="143">
        <v>376785</v>
      </c>
      <c r="X100" s="143">
        <v>359748</v>
      </c>
      <c r="Y100" s="143">
        <v>342711</v>
      </c>
      <c r="Z100" s="143">
        <v>325674</v>
      </c>
      <c r="AA100" s="143">
        <v>308637</v>
      </c>
      <c r="AB100" s="143">
        <v>291600</v>
      </c>
      <c r="AC100" s="129">
        <f t="shared" si="6"/>
        <v>4968</v>
      </c>
      <c r="AD100" s="129">
        <f t="shared" si="7"/>
        <v>9936</v>
      </c>
      <c r="AE100" s="129">
        <f t="shared" si="8"/>
        <v>14904</v>
      </c>
      <c r="AF100" s="129">
        <f t="shared" si="9"/>
        <v>19872</v>
      </c>
      <c r="AG100" s="129">
        <f t="shared" si="10"/>
        <v>24840</v>
      </c>
      <c r="AH100" s="129">
        <f t="shared" si="11"/>
        <v>29808</v>
      </c>
      <c r="AI100" s="129">
        <f t="shared" si="12"/>
        <v>34776</v>
      </c>
      <c r="AJ100" s="129">
        <f t="shared" si="13"/>
        <v>39744</v>
      </c>
      <c r="AK100" s="129">
        <f t="shared" si="14"/>
        <v>44712</v>
      </c>
      <c r="AL100" s="127">
        <f t="shared" si="15"/>
        <v>1.1610297829379057E-2</v>
      </c>
      <c r="AM100" s="127">
        <f t="shared" si="16"/>
        <v>2.4183479003745845E-2</v>
      </c>
      <c r="AN100" s="127">
        <f t="shared" si="17"/>
        <v>3.7844508432743673E-2</v>
      </c>
      <c r="AO100" s="127">
        <f t="shared" si="18"/>
        <v>5.2740953063418194E-2</v>
      </c>
      <c r="AP100" s="127">
        <f t="shared" si="19"/>
        <v>6.9048333833683584E-2</v>
      </c>
      <c r="AQ100" s="127">
        <f t="shared" si="20"/>
        <v>8.6977073977783093E-2</v>
      </c>
      <c r="AR100" s="127">
        <f t="shared" si="21"/>
        <v>0.10678162825402082</v>
      </c>
      <c r="AS100" s="127">
        <f t="shared" si="22"/>
        <v>0.12877263581488929</v>
      </c>
      <c r="AT100" s="127">
        <f t="shared" si="23"/>
        <v>0.15333333333333332</v>
      </c>
    </row>
    <row r="101" spans="1:46" s="18" customFormat="1" ht="13" x14ac:dyDescent="0.15">
      <c r="A101" s="29" t="s">
        <v>41</v>
      </c>
      <c r="B101" s="30">
        <f>IF(Data!D44=1, MAX(Data!AA44, $E$26) + INDEX(Duplicate!$E$39:$E$43, MATCH( Data!AD44, Duplicate!$B$39:$B$43, 0), 0), MAX(Data!AA44, $E$27) +  INDEX(Duplicate!$E$39:$E$43, MATCH( Data!AD44, Duplicate!$B$39:$B$43, 0), 0))</f>
        <v>0.236405</v>
      </c>
      <c r="C101" s="128">
        <f>ROUND(Data!R44/13*100, 2)</f>
        <v>0</v>
      </c>
      <c r="D101" s="141">
        <f>ROUND(Data!Q44*C101, 0)</f>
        <v>0</v>
      </c>
      <c r="E101" s="142">
        <f>ROUND($E$22*Data!W44*B101, 0)</f>
        <v>1796525</v>
      </c>
      <c r="F101" s="143">
        <f>IF(E101=0, 0,IF($E$31="Yes", IF(Data!D44=1, MAX(Duplicate!D101+Duplicate!E101, Data!AE44), Duplicate!D101+Duplicate!E101), Duplicate!D101+Duplicate!E101))</f>
        <v>1796525</v>
      </c>
      <c r="G101" s="143">
        <v>2034484</v>
      </c>
      <c r="H101" s="129">
        <f>F101-Data!AL44</f>
        <v>-519664</v>
      </c>
      <c r="I101" s="127">
        <f>((F101)/(Data!AL44)) - 1</f>
        <v>-0.2243616561515489</v>
      </c>
      <c r="J101" s="127">
        <f t="shared" si="5"/>
        <v>-0.11696282693793614</v>
      </c>
      <c r="K101" s="143">
        <f>ROUND(IF($E$31="Yes",IF(Data!AG44&gt;0,(Duplicate!$K$23*Data!AG44)+Data!AI44,(Duplicate!$K$24*Data!AG44)+Data!AI44),IF(Data!AF44&gt;0,(Duplicate!$K$23*Data!AF44)+Data!AI44,(Duplicate!$K$24*Data!AF44)+Data!AI44)),0)</f>
        <v>2348849</v>
      </c>
      <c r="L101" s="143">
        <f>ROUND(IF($E$31="Yes",IF(Data!$AG44&gt;0,(Duplicate!$L$23*Data!$AG44)+K101,(Duplicate!$L$24*Data!$AG44)+K101),IF(Data!$AF44&gt;0,(Duplicate!$L$23*Data!$AF44)+K101,(Duplicate!$L$24*Data!$AF44)+K101)),0)</f>
        <v>2288328</v>
      </c>
      <c r="M101" s="143">
        <f>ROUND(IF($E$31="Yes",IF(Data!$AG44&gt;0,(Duplicate!$M$23*Data!$AG44)+L101,(Duplicate!$M$24*Data!$AG44)+L101),IF(Data!$AF44&gt;0,(Duplicate!$M$23*Data!$AF44)+L101,(Duplicate!$M$24*Data!$AF44)+L101)),0)</f>
        <v>2227807</v>
      </c>
      <c r="N101" s="143">
        <f>ROUND(IF($E$31="Yes",IF(Data!$AG44&gt;0,(Duplicate!$N$23*Data!$AG44)+M101,(Duplicate!$N$24*Data!$AG44)+M101),IF(Data!$AF44&gt;0,(Duplicate!$N$23*Data!$AF44)+M101,(Duplicate!$N$24*Data!$AF44)+M101)),0)</f>
        <v>2167286</v>
      </c>
      <c r="O101" s="143">
        <f>ROUND(IF($E$31="Yes",IF(Data!$AG44&gt;0,(Duplicate!$O$23*Data!$AG44)+N101,(Duplicate!$O$24*Data!$AG44)+N101),IF(Data!$AF44&gt;0,(Duplicate!$O$23*Data!$AF44)+N101,(Duplicate!$O$24*Data!$AF44)+N101)),0)</f>
        <v>2106765</v>
      </c>
      <c r="P101" s="143">
        <f>ROUND(IF($E$31="Yes",IF(Data!$AG44&gt;0,(Duplicate!$P$23*Data!$AG44)+O101,(Duplicate!$P$24*Data!$AG44)+O101),IF(Data!$AF44&gt;0,(Duplicate!$P$23*Data!$AF44)+O101,(Duplicate!$P$24*Data!$AF44)+O101)),0)</f>
        <v>2046244</v>
      </c>
      <c r="Q101" s="143">
        <f>ROUND(IF($E$31="Yes",IF(Data!$AG44&gt;0,(Duplicate!$Q$23*Data!$AG44)+P101,(Duplicate!$Q$24*Data!$AG44)+P101),IF(Data!$AF44&gt;0,(Duplicate!$Q$23*Data!$AF44)+P101,(Duplicate!$Q$24*Data!$AF44)+P101)),0)</f>
        <v>1985723</v>
      </c>
      <c r="R101" s="143">
        <f>ROUND(IF($E$31="Yes",IF(Data!$AG44&gt;0,(Duplicate!$R$23*Data!$AG44)+Q101,(Duplicate!$R$24*Data!$AG44)+Q101),IF(Data!$AF44&gt;0,(Duplicate!$R$23*Data!$AF44)+Q101,(Duplicate!$R$24*Data!$AF44)+Q101)),0)</f>
        <v>1925202</v>
      </c>
      <c r="S101" s="143">
        <f>ROUND(IF($E$31="Yes",IF(Data!$AG44&gt;0,(Duplicate!$S$23*Data!$AG44)+R101,(Duplicate!$S$24*Data!$AG44)+R101),IF(Data!$AF44&gt;0,(Duplicate!$S$23*Data!$AF44)+R101,(Duplicate!$S$24*Data!$AF44)+R101)),0)</f>
        <v>1864681</v>
      </c>
      <c r="T101" s="143">
        <v>2368637</v>
      </c>
      <c r="U101" s="143">
        <v>2327905</v>
      </c>
      <c r="V101" s="143">
        <v>2287173</v>
      </c>
      <c r="W101" s="143">
        <v>2246441</v>
      </c>
      <c r="X101" s="143">
        <v>2205709</v>
      </c>
      <c r="Y101" s="143">
        <v>2164977</v>
      </c>
      <c r="Z101" s="143">
        <v>2124245</v>
      </c>
      <c r="AA101" s="143">
        <v>2083513</v>
      </c>
      <c r="AB101" s="143">
        <v>2042781</v>
      </c>
      <c r="AC101" s="129">
        <f t="shared" si="6"/>
        <v>-19788</v>
      </c>
      <c r="AD101" s="129">
        <f t="shared" si="7"/>
        <v>-39577</v>
      </c>
      <c r="AE101" s="129">
        <f t="shared" si="8"/>
        <v>-59366</v>
      </c>
      <c r="AF101" s="129">
        <f t="shared" si="9"/>
        <v>-79155</v>
      </c>
      <c r="AG101" s="129">
        <f t="shared" si="10"/>
        <v>-98944</v>
      </c>
      <c r="AH101" s="129">
        <f t="shared" si="11"/>
        <v>-118733</v>
      </c>
      <c r="AI101" s="129">
        <f t="shared" si="12"/>
        <v>-138522</v>
      </c>
      <c r="AJ101" s="129">
        <f t="shared" si="13"/>
        <v>-158311</v>
      </c>
      <c r="AK101" s="129">
        <f t="shared" si="14"/>
        <v>-178100</v>
      </c>
      <c r="AL101" s="127">
        <f t="shared" si="15"/>
        <v>-8.3541716185300263E-3</v>
      </c>
      <c r="AM101" s="127">
        <f t="shared" si="16"/>
        <v>-1.7001123327627155E-2</v>
      </c>
      <c r="AN101" s="127">
        <f t="shared" si="17"/>
        <v>-2.5956060166852257E-2</v>
      </c>
      <c r="AO101" s="127">
        <f t="shared" si="18"/>
        <v>-3.5235735102769228E-2</v>
      </c>
      <c r="AP101" s="127">
        <f t="shared" si="19"/>
        <v>-4.4858138584917606E-2</v>
      </c>
      <c r="AQ101" s="127">
        <f t="shared" si="20"/>
        <v>-5.4842614956186586E-2</v>
      </c>
      <c r="AR101" s="127">
        <f t="shared" si="21"/>
        <v>-6.5209992256072158E-2</v>
      </c>
      <c r="AS101" s="127">
        <f t="shared" si="22"/>
        <v>-7.5982727249601978E-2</v>
      </c>
      <c r="AT101" s="127">
        <f t="shared" si="23"/>
        <v>-8.7185067807072802E-2</v>
      </c>
    </row>
    <row r="102" spans="1:46" s="18" customFormat="1" ht="13" x14ac:dyDescent="0.15">
      <c r="A102" s="29" t="s">
        <v>42</v>
      </c>
      <c r="B102" s="30">
        <f>IF(Data!D45=1, MAX(Data!AA45, $E$26) + INDEX(Duplicate!$E$39:$E$43, MATCH( Data!AD45, Duplicate!$B$39:$B$43, 0), 0), MAX(Data!AA45, $E$27) +  INDEX(Duplicate!$E$39:$E$43, MATCH( Data!AD45, Duplicate!$B$39:$B$43, 0), 0))</f>
        <v>0.01</v>
      </c>
      <c r="C102" s="128">
        <f>ROUND(Data!R45/13*100, 2)</f>
        <v>30.77</v>
      </c>
      <c r="D102" s="141">
        <f>ROUND(Data!Q45*C102, 0)</f>
        <v>892</v>
      </c>
      <c r="E102" s="142">
        <f>ROUND($E$22*Data!W45*B102, 0)</f>
        <v>14885</v>
      </c>
      <c r="F102" s="143">
        <f>IF(E102=0, 0,IF($E$31="Yes", IF(Data!D45=1, MAX(Duplicate!D102+Duplicate!E102, Data!AE45), Duplicate!D102+Duplicate!E102), Duplicate!D102+Duplicate!E102))</f>
        <v>15777</v>
      </c>
      <c r="G102" s="143">
        <v>16115</v>
      </c>
      <c r="H102" s="129">
        <f>F102-Data!AL45</f>
        <v>6628</v>
      </c>
      <c r="I102" s="127">
        <f>((F102)/(Data!AL45)) - 1</f>
        <v>0.72445075964586292</v>
      </c>
      <c r="J102" s="127">
        <f t="shared" si="5"/>
        <v>-2.0974247595408002E-2</v>
      </c>
      <c r="K102" s="143">
        <f>ROUND(IF($E$31="Yes",IF(Data!AG45&gt;0,(Duplicate!$K$23*Data!AG45)+Data!AI45,(Duplicate!$K$24*Data!AG45)+Data!AI45),IF(Data!AF45&gt;0,(Duplicate!$K$23*Data!AF45)+Data!AI45,(Duplicate!$K$24*Data!AF45)+Data!AI45)),0)</f>
        <v>9416</v>
      </c>
      <c r="L102" s="143">
        <f>ROUND(IF($E$31="Yes",IF(Data!$AG45&gt;0,(Duplicate!$L$23*Data!$AG45)+K102,(Duplicate!$L$24*Data!$AG45)+K102),IF(Data!$AF45&gt;0,(Duplicate!$L$23*Data!$AF45)+K102,(Duplicate!$L$24*Data!$AF45)+K102)),0)</f>
        <v>11496</v>
      </c>
      <c r="M102" s="143">
        <f>ROUND(IF($E$31="Yes",IF(Data!$AG45&gt;0,(Duplicate!$M$23*Data!$AG45)+L102,(Duplicate!$M$24*Data!$AG45)+L102),IF(Data!$AF45&gt;0,(Duplicate!$M$23*Data!$AF45)+L102,(Duplicate!$M$24*Data!$AF45)+L102)),0)</f>
        <v>13576</v>
      </c>
      <c r="N102" s="143">
        <f>ROUND(IF($E$31="Yes",IF(Data!$AG45&gt;0,(Duplicate!$N$23*Data!$AG45)+M102,(Duplicate!$N$24*Data!$AG45)+M102),IF(Data!$AF45&gt;0,(Duplicate!$N$23*Data!$AF45)+M102,(Duplicate!$N$24*Data!$AF45)+M102)),0)</f>
        <v>15656</v>
      </c>
      <c r="O102" s="143">
        <f>ROUND(IF($E$31="Yes",IF(Data!$AG45&gt;0,(Duplicate!$O$23*Data!$AG45)+N102,(Duplicate!$O$24*Data!$AG45)+N102),IF(Data!$AF45&gt;0,(Duplicate!$O$23*Data!$AF45)+N102,(Duplicate!$O$24*Data!$AF45)+N102)),0)</f>
        <v>17736</v>
      </c>
      <c r="P102" s="143">
        <f>ROUND(IF($E$31="Yes",IF(Data!$AG45&gt;0,(Duplicate!$P$23*Data!$AG45)+O102,(Duplicate!$P$24*Data!$AG45)+O102),IF(Data!$AF45&gt;0,(Duplicate!$P$23*Data!$AF45)+O102,(Duplicate!$P$24*Data!$AF45)+O102)),0)</f>
        <v>19816</v>
      </c>
      <c r="Q102" s="143">
        <f>ROUND(IF($E$31="Yes",IF(Data!$AG45&gt;0,(Duplicate!$Q$23*Data!$AG45)+P102,(Duplicate!$Q$24*Data!$AG45)+P102),IF(Data!$AF45&gt;0,(Duplicate!$Q$23*Data!$AF45)+P102,(Duplicate!$Q$24*Data!$AF45)+P102)),0)</f>
        <v>21896</v>
      </c>
      <c r="R102" s="143">
        <f>ROUND(IF($E$31="Yes",IF(Data!$AG45&gt;0,(Duplicate!$R$23*Data!$AG45)+Q102,(Duplicate!$R$24*Data!$AG45)+Q102),IF(Data!$AF45&gt;0,(Duplicate!$R$23*Data!$AF45)+Q102,(Duplicate!$R$24*Data!$AF45)+Q102)),0)</f>
        <v>23976</v>
      </c>
      <c r="S102" s="143">
        <f>ROUND(IF($E$31="Yes",IF(Data!$AG45&gt;0,(Duplicate!$S$23*Data!$AG45)+R102,(Duplicate!$S$24*Data!$AG45)+R102),IF(Data!$AF45&gt;0,(Duplicate!$S$23*Data!$AF45)+R102,(Duplicate!$S$24*Data!$AF45)+R102)),0)</f>
        <v>26056</v>
      </c>
      <c r="T102" s="143">
        <v>8311</v>
      </c>
      <c r="U102" s="143">
        <v>9285</v>
      </c>
      <c r="V102" s="143">
        <v>10259</v>
      </c>
      <c r="W102" s="143">
        <v>11233</v>
      </c>
      <c r="X102" s="143">
        <v>12207</v>
      </c>
      <c r="Y102" s="143">
        <v>13181</v>
      </c>
      <c r="Z102" s="143">
        <v>14155</v>
      </c>
      <c r="AA102" s="143">
        <v>15129</v>
      </c>
      <c r="AB102" s="143">
        <v>16103</v>
      </c>
      <c r="AC102" s="129">
        <f t="shared" si="6"/>
        <v>1105</v>
      </c>
      <c r="AD102" s="129">
        <f t="shared" si="7"/>
        <v>2211</v>
      </c>
      <c r="AE102" s="129">
        <f t="shared" si="8"/>
        <v>3317</v>
      </c>
      <c r="AF102" s="129">
        <f t="shared" si="9"/>
        <v>4423</v>
      </c>
      <c r="AG102" s="129">
        <f t="shared" si="10"/>
        <v>5529</v>
      </c>
      <c r="AH102" s="129">
        <f t="shared" si="11"/>
        <v>6635</v>
      </c>
      <c r="AI102" s="129">
        <f t="shared" si="12"/>
        <v>7741</v>
      </c>
      <c r="AJ102" s="129">
        <f t="shared" si="13"/>
        <v>8847</v>
      </c>
      <c r="AK102" s="129">
        <f t="shared" si="14"/>
        <v>9953</v>
      </c>
      <c r="AL102" s="127">
        <f t="shared" si="15"/>
        <v>0.13295632294549398</v>
      </c>
      <c r="AM102" s="127">
        <f t="shared" si="16"/>
        <v>0.23812600969305331</v>
      </c>
      <c r="AN102" s="127">
        <f t="shared" si="17"/>
        <v>0.32332586022029441</v>
      </c>
      <c r="AO102" s="127">
        <f t="shared" si="18"/>
        <v>0.39375055639633216</v>
      </c>
      <c r="AP102" s="127">
        <f t="shared" si="19"/>
        <v>0.4529368395183091</v>
      </c>
      <c r="AQ102" s="127">
        <f t="shared" si="20"/>
        <v>0.50337607161823827</v>
      </c>
      <c r="AR102" s="127">
        <f t="shared" si="21"/>
        <v>0.54687389614977033</v>
      </c>
      <c r="AS102" s="127">
        <f t="shared" si="22"/>
        <v>0.58477096966091602</v>
      </c>
      <c r="AT102" s="127">
        <f t="shared" si="23"/>
        <v>0.61808358690927157</v>
      </c>
    </row>
    <row r="103" spans="1:46" s="18" customFormat="1" ht="13" x14ac:dyDescent="0.15">
      <c r="A103" s="29" t="s">
        <v>43</v>
      </c>
      <c r="B103" s="30">
        <f>IF(Data!D46=1, MAX(Data!AA46, $E$26) + INDEX(Duplicate!$E$39:$E$43, MATCH( Data!AD46, Duplicate!$B$39:$B$43, 0), 0), MAX(Data!AA46, $E$27) +  INDEX(Duplicate!$E$39:$E$43, MATCH( Data!AD46, Duplicate!$B$39:$B$43, 0), 0))</f>
        <v>0.33535500000000001</v>
      </c>
      <c r="C103" s="128">
        <f>ROUND(Data!R46/13*100, 2)</f>
        <v>0</v>
      </c>
      <c r="D103" s="141">
        <f>ROUND(Data!Q46*C103, 0)</f>
        <v>0</v>
      </c>
      <c r="E103" s="142">
        <f>ROUND($E$22*Data!W46*B103, 0)</f>
        <v>6710084</v>
      </c>
      <c r="F103" s="143">
        <f>IF(E103=0, 0,IF($E$31="Yes", IF(Data!D46=1, MAX(Duplicate!D103+Duplicate!E103, Data!AE46), Duplicate!D103+Duplicate!E103), Duplicate!D103+Duplicate!E103))</f>
        <v>6710084</v>
      </c>
      <c r="G103" s="143">
        <v>6771936</v>
      </c>
      <c r="H103" s="129">
        <f>F103-Data!AL46</f>
        <v>-1242827</v>
      </c>
      <c r="I103" s="127">
        <f>((F103)/(Data!AL46)) - 1</f>
        <v>-0.15627321869941713</v>
      </c>
      <c r="J103" s="127">
        <f t="shared" si="5"/>
        <v>-9.1335771631627649E-3</v>
      </c>
      <c r="K103" s="143">
        <f>ROUND(IF($E$31="Yes",IF(Data!AG46&gt;0,(Duplicate!$K$23*Data!AG46)+Data!AI46,(Duplicate!$K$24*Data!AG46)+Data!AI46),IF(Data!AF46&gt;0,(Duplicate!$K$23*Data!AF46)+Data!AI46,(Duplicate!$K$24*Data!AF46)+Data!AI46)),0)</f>
        <v>8097363</v>
      </c>
      <c r="L103" s="143">
        <f>ROUND(IF($E$31="Yes",IF(Data!$AG46&gt;0,(Duplicate!$L$23*Data!$AG46)+K103,(Duplicate!$L$24*Data!$AG46)+K103),IF(Data!$AF46&gt;0,(Duplicate!$L$23*Data!$AF46)+K103,(Duplicate!$L$24*Data!$AF46)+K103)),0)</f>
        <v>7926924</v>
      </c>
      <c r="M103" s="143">
        <f>ROUND(IF($E$31="Yes",IF(Data!$AG46&gt;0,(Duplicate!$M$23*Data!$AG46)+L103,(Duplicate!$M$24*Data!$AG46)+L103),IF(Data!$AF46&gt;0,(Duplicate!$M$23*Data!$AF46)+L103,(Duplicate!$M$24*Data!$AF46)+L103)),0)</f>
        <v>7756485</v>
      </c>
      <c r="N103" s="143">
        <f>ROUND(IF($E$31="Yes",IF(Data!$AG46&gt;0,(Duplicate!$N$23*Data!$AG46)+M103,(Duplicate!$N$24*Data!$AG46)+M103),IF(Data!$AF46&gt;0,(Duplicate!$N$23*Data!$AF46)+M103,(Duplicate!$N$24*Data!$AF46)+M103)),0)</f>
        <v>7586046</v>
      </c>
      <c r="O103" s="143">
        <f>ROUND(IF($E$31="Yes",IF(Data!$AG46&gt;0,(Duplicate!$O$23*Data!$AG46)+N103,(Duplicate!$O$24*Data!$AG46)+N103),IF(Data!$AF46&gt;0,(Duplicate!$O$23*Data!$AF46)+N103,(Duplicate!$O$24*Data!$AF46)+N103)),0)</f>
        <v>7415607</v>
      </c>
      <c r="P103" s="143">
        <f>ROUND(IF($E$31="Yes",IF(Data!$AG46&gt;0,(Duplicate!$P$23*Data!$AG46)+O103,(Duplicate!$P$24*Data!$AG46)+O103),IF(Data!$AF46&gt;0,(Duplicate!$P$23*Data!$AF46)+O103,(Duplicate!$P$24*Data!$AF46)+O103)),0)</f>
        <v>7245168</v>
      </c>
      <c r="Q103" s="143">
        <f>ROUND(IF($E$31="Yes",IF(Data!$AG46&gt;0,(Duplicate!$Q$23*Data!$AG46)+P103,(Duplicate!$Q$24*Data!$AG46)+P103),IF(Data!$AF46&gt;0,(Duplicate!$Q$23*Data!$AF46)+P103,(Duplicate!$Q$24*Data!$AF46)+P103)),0)</f>
        <v>7074729</v>
      </c>
      <c r="R103" s="143">
        <f>ROUND(IF($E$31="Yes",IF(Data!$AG46&gt;0,(Duplicate!$R$23*Data!$AG46)+Q103,(Duplicate!$R$24*Data!$AG46)+Q103),IF(Data!$AF46&gt;0,(Duplicate!$R$23*Data!$AF46)+Q103,(Duplicate!$R$24*Data!$AF46)+Q103)),0)</f>
        <v>6904290</v>
      </c>
      <c r="S103" s="143">
        <f>ROUND(IF($E$31="Yes",IF(Data!$AG46&gt;0,(Duplicate!$S$23*Data!$AG46)+R103,(Duplicate!$S$24*Data!$AG46)+R103),IF(Data!$AF46&gt;0,(Duplicate!$S$23*Data!$AF46)+R103,(Duplicate!$S$24*Data!$AF46)+R103)),0)</f>
        <v>6733851</v>
      </c>
      <c r="T103" s="143">
        <v>8102515</v>
      </c>
      <c r="U103" s="143">
        <v>7937229</v>
      </c>
      <c r="V103" s="143">
        <v>7771943</v>
      </c>
      <c r="W103" s="143">
        <v>7606657</v>
      </c>
      <c r="X103" s="143">
        <v>7441371</v>
      </c>
      <c r="Y103" s="143">
        <v>7276085</v>
      </c>
      <c r="Z103" s="143">
        <v>7110799</v>
      </c>
      <c r="AA103" s="143">
        <v>6945513</v>
      </c>
      <c r="AB103" s="143">
        <v>6780227</v>
      </c>
      <c r="AC103" s="129">
        <f t="shared" si="6"/>
        <v>-5152</v>
      </c>
      <c r="AD103" s="129">
        <f t="shared" si="7"/>
        <v>-10305</v>
      </c>
      <c r="AE103" s="129">
        <f t="shared" si="8"/>
        <v>-15458</v>
      </c>
      <c r="AF103" s="129">
        <f t="shared" si="9"/>
        <v>-20611</v>
      </c>
      <c r="AG103" s="129">
        <f t="shared" si="10"/>
        <v>-25764</v>
      </c>
      <c r="AH103" s="129">
        <f t="shared" si="11"/>
        <v>-30917</v>
      </c>
      <c r="AI103" s="129">
        <f t="shared" si="12"/>
        <v>-36070</v>
      </c>
      <c r="AJ103" s="129">
        <f t="shared" si="13"/>
        <v>-41223</v>
      </c>
      <c r="AK103" s="129">
        <f t="shared" si="14"/>
        <v>-46376</v>
      </c>
      <c r="AL103" s="127">
        <f t="shared" si="15"/>
        <v>-6.3585195460913457E-4</v>
      </c>
      <c r="AM103" s="127">
        <f t="shared" si="16"/>
        <v>-1.2983120431576678E-3</v>
      </c>
      <c r="AN103" s="127">
        <f t="shared" si="17"/>
        <v>-1.9889492241514928E-3</v>
      </c>
      <c r="AO103" s="127">
        <f t="shared" si="18"/>
        <v>-2.7096002882738279E-3</v>
      </c>
      <c r="AP103" s="127">
        <f t="shared" si="19"/>
        <v>-3.4622652196752979E-3</v>
      </c>
      <c r="AQ103" s="127">
        <f t="shared" si="20"/>
        <v>-4.2491257317637254E-3</v>
      </c>
      <c r="AR103" s="127">
        <f t="shared" si="21"/>
        <v>-5.0725663881091565E-3</v>
      </c>
      <c r="AS103" s="127">
        <f t="shared" si="22"/>
        <v>-5.9351987390996452E-3</v>
      </c>
      <c r="AT103" s="127">
        <f t="shared" si="23"/>
        <v>-6.8398889889674797E-3</v>
      </c>
    </row>
    <row r="104" spans="1:46" s="18" customFormat="1" ht="13" x14ac:dyDescent="0.15">
      <c r="A104" s="29" t="s">
        <v>44</v>
      </c>
      <c r="B104" s="30">
        <f>IF(Data!D47=1, MAX(Data!AA47, $E$26) + INDEX(Duplicate!$E$39:$E$43, MATCH( Data!AD47, Duplicate!$B$39:$B$43, 0), 0), MAX(Data!AA47, $E$27) +  INDEX(Duplicate!$E$39:$E$43, MATCH( Data!AD47, Duplicate!$B$39:$B$43, 0), 0))</f>
        <v>0.228884</v>
      </c>
      <c r="C104" s="128">
        <f>ROUND(Data!R47/13*100, 2)</f>
        <v>0</v>
      </c>
      <c r="D104" s="141">
        <f>ROUND(Data!Q47*C104, 0)</f>
        <v>0</v>
      </c>
      <c r="E104" s="142">
        <f>ROUND($E$22*Data!W47*B104, 0)</f>
        <v>5843186</v>
      </c>
      <c r="F104" s="143">
        <f>IF(E104=0, 0,IF($E$31="Yes", IF(Data!D47=1, MAX(Duplicate!D104+Duplicate!E104, Data!AE47), Duplicate!D104+Duplicate!E104), Duplicate!D104+Duplicate!E104))</f>
        <v>5843186</v>
      </c>
      <c r="G104" s="143">
        <v>5920329</v>
      </c>
      <c r="H104" s="129">
        <f>F104-Data!AL47</f>
        <v>865783</v>
      </c>
      <c r="I104" s="127">
        <f>((F104)/(Data!AL47)) - 1</f>
        <v>0.17394271671391692</v>
      </c>
      <c r="J104" s="127">
        <f t="shared" si="5"/>
        <v>-1.3030188018267275E-2</v>
      </c>
      <c r="K104" s="143">
        <f>ROUND(IF($E$31="Yes",IF(Data!AG47&gt;0,(Duplicate!$K$23*Data!AG47)+Data!AI47,(Duplicate!$K$24*Data!AG47)+Data!AI47),IF(Data!AF47&gt;0,(Duplicate!$K$23*Data!AF47)+Data!AI47,(Duplicate!$K$24*Data!AF47)+Data!AI47)),0)</f>
        <v>4827637</v>
      </c>
      <c r="L104" s="143">
        <f>ROUND(IF($E$31="Yes",IF(Data!$AG47&gt;0,(Duplicate!$L$23*Data!$AG47)+K104,(Duplicate!$L$24*Data!$AG47)+K104),IF(Data!$AF47&gt;0,(Duplicate!$L$23*Data!$AF47)+K104,(Duplicate!$L$24*Data!$AF47)+K104)),0)</f>
        <v>4955159</v>
      </c>
      <c r="M104" s="143">
        <f>ROUND(IF($E$31="Yes",IF(Data!$AG47&gt;0,(Duplicate!$M$23*Data!$AG47)+L104,(Duplicate!$M$24*Data!$AG47)+L104),IF(Data!$AF47&gt;0,(Duplicate!$M$23*Data!$AF47)+L104,(Duplicate!$M$24*Data!$AF47)+L104)),0)</f>
        <v>5082681</v>
      </c>
      <c r="N104" s="143">
        <f>ROUND(IF($E$31="Yes",IF(Data!$AG47&gt;0,(Duplicate!$N$23*Data!$AG47)+M104,(Duplicate!$N$24*Data!$AG47)+M104),IF(Data!$AF47&gt;0,(Duplicate!$N$23*Data!$AF47)+M104,(Duplicate!$N$24*Data!$AF47)+M104)),0)</f>
        <v>5210203</v>
      </c>
      <c r="O104" s="143">
        <f>ROUND(IF($E$31="Yes",IF(Data!$AG47&gt;0,(Duplicate!$O$23*Data!$AG47)+N104,(Duplicate!$O$24*Data!$AG47)+N104),IF(Data!$AF47&gt;0,(Duplicate!$O$23*Data!$AF47)+N104,(Duplicate!$O$24*Data!$AF47)+N104)),0)</f>
        <v>5337725</v>
      </c>
      <c r="P104" s="143">
        <f>ROUND(IF($E$31="Yes",IF(Data!$AG47&gt;0,(Duplicate!$P$23*Data!$AG47)+O104,(Duplicate!$P$24*Data!$AG47)+O104),IF(Data!$AF47&gt;0,(Duplicate!$P$23*Data!$AF47)+O104,(Duplicate!$P$24*Data!$AF47)+O104)),0)</f>
        <v>5465247</v>
      </c>
      <c r="Q104" s="143">
        <f>ROUND(IF($E$31="Yes",IF(Data!$AG47&gt;0,(Duplicate!$Q$23*Data!$AG47)+P104,(Duplicate!$Q$24*Data!$AG47)+P104),IF(Data!$AF47&gt;0,(Duplicate!$Q$23*Data!$AF47)+P104,(Duplicate!$Q$24*Data!$AF47)+P104)),0)</f>
        <v>5592769</v>
      </c>
      <c r="R104" s="143">
        <f>ROUND(IF($E$31="Yes",IF(Data!$AG47&gt;0,(Duplicate!$R$23*Data!$AG47)+Q104,(Duplicate!$R$24*Data!$AG47)+Q104),IF(Data!$AF47&gt;0,(Duplicate!$R$23*Data!$AF47)+Q104,(Duplicate!$R$24*Data!$AF47)+Q104)),0)</f>
        <v>5720291</v>
      </c>
      <c r="S104" s="143">
        <f>ROUND(IF($E$31="Yes",IF(Data!$AG47&gt;0,(Duplicate!$S$23*Data!$AG47)+R104,(Duplicate!$S$24*Data!$AG47)+R104),IF(Data!$AF47&gt;0,(Duplicate!$S$23*Data!$AF47)+R104,(Duplicate!$S$24*Data!$AF47)+R104)),0)</f>
        <v>5847813</v>
      </c>
      <c r="T104" s="143">
        <v>4835861</v>
      </c>
      <c r="U104" s="143">
        <v>4971606</v>
      </c>
      <c r="V104" s="143">
        <v>5107351</v>
      </c>
      <c r="W104" s="143">
        <v>5243096</v>
      </c>
      <c r="X104" s="143">
        <v>5378841</v>
      </c>
      <c r="Y104" s="143">
        <v>5514586</v>
      </c>
      <c r="Z104" s="143">
        <v>5650331</v>
      </c>
      <c r="AA104" s="143">
        <v>5786076</v>
      </c>
      <c r="AB104" s="143">
        <v>5921821</v>
      </c>
      <c r="AC104" s="129">
        <f t="shared" ref="AC104:AC135" si="24">K104-T104</f>
        <v>-8224</v>
      </c>
      <c r="AD104" s="129">
        <f t="shared" ref="AD104:AD135" si="25">L104-U104</f>
        <v>-16447</v>
      </c>
      <c r="AE104" s="129">
        <f t="shared" ref="AE104:AE135" si="26">M104-V104</f>
        <v>-24670</v>
      </c>
      <c r="AF104" s="129">
        <f t="shared" ref="AF104:AF135" si="27">N104-W104</f>
        <v>-32893</v>
      </c>
      <c r="AG104" s="129">
        <f t="shared" ref="AG104:AG135" si="28">O104-X104</f>
        <v>-41116</v>
      </c>
      <c r="AH104" s="129">
        <f t="shared" ref="AH104:AH135" si="29">P104-Y104</f>
        <v>-49339</v>
      </c>
      <c r="AI104" s="129">
        <f t="shared" ref="AI104:AI135" si="30">Q104-Z104</f>
        <v>-57562</v>
      </c>
      <c r="AJ104" s="129">
        <f t="shared" ref="AJ104:AJ135" si="31">R104-AA104</f>
        <v>-65785</v>
      </c>
      <c r="AK104" s="129">
        <f t="shared" ref="AK104:AK135" si="32">S104-AB104</f>
        <v>-74008</v>
      </c>
      <c r="AL104" s="127">
        <f t="shared" ref="AL104:AL135" si="33">IFERROR(K104/T104-1, 0)</f>
        <v>-1.700627871644822E-3</v>
      </c>
      <c r="AM104" s="127">
        <f t="shared" ref="AM104:AM135" si="34">IFERROR(L104/U104-1, 0)</f>
        <v>-3.3081865296646917E-3</v>
      </c>
      <c r="AN104" s="127">
        <f t="shared" ref="AN104:AN135" si="35">IFERROR(M104/V104-1, 0)</f>
        <v>-4.8302926507303168E-3</v>
      </c>
      <c r="AO104" s="127">
        <f t="shared" ref="AO104:AO135" si="36">IFERROR(N104/W104-1, 0)</f>
        <v>-6.2735833942387798E-3</v>
      </c>
      <c r="AP104" s="127">
        <f t="shared" ref="AP104:AP135" si="37">IFERROR(O104/X104-1, 0)</f>
        <v>-7.6440259156200785E-3</v>
      </c>
      <c r="AQ104" s="127">
        <f t="shared" ref="AQ104:AQ135" si="38">IFERROR(P104/Y104-1, 0)</f>
        <v>-8.9469998291802355E-3</v>
      </c>
      <c r="AR104" s="127">
        <f t="shared" ref="AR104:AR135" si="39">IFERROR(Q104/Z104-1, 0)</f>
        <v>-1.018736778429441E-2</v>
      </c>
      <c r="AS104" s="127">
        <f t="shared" ref="AS104:AS135" si="40">IFERROR(R104/AA104-1, 0)</f>
        <v>-1.1369536107026623E-2</v>
      </c>
      <c r="AT104" s="127">
        <f t="shared" ref="AT104:AT135" si="41">IFERROR(S104/AB104-1, 0)</f>
        <v>-1.2497507101278504E-2</v>
      </c>
    </row>
    <row r="105" spans="1:46" s="18" customFormat="1" ht="13" x14ac:dyDescent="0.15">
      <c r="A105" s="29" t="s">
        <v>45</v>
      </c>
      <c r="B105" s="30">
        <f>IF(Data!D48=1, MAX(Data!AA48, $E$26) + INDEX(Duplicate!$E$39:$E$43, MATCH( Data!AD48, Duplicate!$B$39:$B$43, 0), 0), MAX(Data!AA48, $E$27) +  INDEX(Duplicate!$E$39:$E$43, MATCH( Data!AD48, Duplicate!$B$39:$B$43, 0), 0))</f>
        <v>0.33302500000000002</v>
      </c>
      <c r="C105" s="128">
        <f>ROUND(Data!R48/13*100, 2)</f>
        <v>0</v>
      </c>
      <c r="D105" s="141">
        <f>ROUND(Data!Q48*C105, 0)</f>
        <v>0</v>
      </c>
      <c r="E105" s="142">
        <f>ROUND($E$22*Data!W48*B105, 0)</f>
        <v>55471021</v>
      </c>
      <c r="F105" s="143">
        <f>IF(E105=0, 0,IF($E$31="Yes", IF(Data!D48=1, MAX(Duplicate!D105+Duplicate!E105, Data!AE48), Duplicate!D105+Duplicate!E105), Duplicate!D105+Duplicate!E105))</f>
        <v>55471021</v>
      </c>
      <c r="G105" s="143">
        <v>56837334</v>
      </c>
      <c r="H105" s="129">
        <f>F105-Data!AL48</f>
        <v>17772548</v>
      </c>
      <c r="I105" s="127">
        <f>((F105)/(Data!AL48)) - 1</f>
        <v>0.47143946652693325</v>
      </c>
      <c r="J105" s="127">
        <f t="shared" si="5"/>
        <v>-2.4039005770397304E-2</v>
      </c>
      <c r="K105" s="143">
        <f>ROUND(IF($E$31="Yes",IF(Data!AG48&gt;0,(Duplicate!$K$23*Data!AG48)+Data!AI48,(Duplicate!$K$24*Data!AG48)+Data!AI48),IF(Data!AF48&gt;0,(Duplicate!$K$23*Data!AF48)+Data!AI48,(Duplicate!$K$24*Data!AF48)+Data!AI48)),0)</f>
        <v>34869862</v>
      </c>
      <c r="L105" s="143">
        <f>ROUND(IF($E$31="Yes",IF(Data!$AG48&gt;0,(Duplicate!$L$23*Data!$AG48)+K105,(Duplicate!$L$24*Data!$AG48)+K105),IF(Data!$AF48&gt;0,(Duplicate!$L$23*Data!$AF48)+K105,(Duplicate!$L$24*Data!$AF48)+K105)),0)</f>
        <v>37447508</v>
      </c>
      <c r="M105" s="143">
        <f>ROUND(IF($E$31="Yes",IF(Data!$AG48&gt;0,(Duplicate!$M$23*Data!$AG48)+L105,(Duplicate!$M$24*Data!$AG48)+L105),IF(Data!$AF48&gt;0,(Duplicate!$M$23*Data!$AF48)+L105,(Duplicate!$M$24*Data!$AF48)+L105)),0)</f>
        <v>40025154</v>
      </c>
      <c r="N105" s="143">
        <f>ROUND(IF($E$31="Yes",IF(Data!$AG48&gt;0,(Duplicate!$N$23*Data!$AG48)+M105,(Duplicate!$N$24*Data!$AG48)+M105),IF(Data!$AF48&gt;0,(Duplicate!$N$23*Data!$AF48)+M105,(Duplicate!$N$24*Data!$AF48)+M105)),0)</f>
        <v>42602800</v>
      </c>
      <c r="O105" s="143">
        <f>ROUND(IF($E$31="Yes",IF(Data!$AG48&gt;0,(Duplicate!$O$23*Data!$AG48)+N105,(Duplicate!$O$24*Data!$AG48)+N105),IF(Data!$AF48&gt;0,(Duplicate!$O$23*Data!$AF48)+N105,(Duplicate!$O$24*Data!$AF48)+N105)),0)</f>
        <v>45180446</v>
      </c>
      <c r="P105" s="143">
        <f>ROUND(IF($E$31="Yes",IF(Data!$AG48&gt;0,(Duplicate!$P$23*Data!$AG48)+O105,(Duplicate!$P$24*Data!$AG48)+O105),IF(Data!$AF48&gt;0,(Duplicate!$P$23*Data!$AF48)+O105,(Duplicate!$P$24*Data!$AF48)+O105)),0)</f>
        <v>47758092</v>
      </c>
      <c r="Q105" s="143">
        <f>ROUND(IF($E$31="Yes",IF(Data!$AG48&gt;0,(Duplicate!$Q$23*Data!$AG48)+P105,(Duplicate!$Q$24*Data!$AG48)+P105),IF(Data!$AF48&gt;0,(Duplicate!$Q$23*Data!$AF48)+P105,(Duplicate!$Q$24*Data!$AF48)+P105)),0)</f>
        <v>50335738</v>
      </c>
      <c r="R105" s="143">
        <f>ROUND(IF($E$31="Yes",IF(Data!$AG48&gt;0,(Duplicate!$R$23*Data!$AG48)+Q105,(Duplicate!$R$24*Data!$AG48)+Q105),IF(Data!$AF48&gt;0,(Duplicate!$R$23*Data!$AF48)+Q105,(Duplicate!$R$24*Data!$AF48)+Q105)),0)</f>
        <v>52913384</v>
      </c>
      <c r="S105" s="143">
        <f>ROUND(IF($E$31="Yes",IF(Data!$AG48&gt;0,(Duplicate!$S$23*Data!$AG48)+R105,(Duplicate!$S$24*Data!$AG48)+R105),IF(Data!$AF48&gt;0,(Duplicate!$S$23*Data!$AF48)+R105,(Duplicate!$S$24*Data!$AF48)+R105)),0)</f>
        <v>55491030</v>
      </c>
      <c r="T105" s="143">
        <v>35015510</v>
      </c>
      <c r="U105" s="143">
        <v>37738805</v>
      </c>
      <c r="V105" s="143">
        <v>40462100</v>
      </c>
      <c r="W105" s="143">
        <v>43185395</v>
      </c>
      <c r="X105" s="143">
        <v>45908690</v>
      </c>
      <c r="Y105" s="143">
        <v>48631985</v>
      </c>
      <c r="Z105" s="143">
        <v>51355280</v>
      </c>
      <c r="AA105" s="143">
        <v>54078575</v>
      </c>
      <c r="AB105" s="143">
        <v>56801870</v>
      </c>
      <c r="AC105" s="129">
        <f t="shared" si="24"/>
        <v>-145648</v>
      </c>
      <c r="AD105" s="129">
        <f t="shared" si="25"/>
        <v>-291297</v>
      </c>
      <c r="AE105" s="129">
        <f t="shared" si="26"/>
        <v>-436946</v>
      </c>
      <c r="AF105" s="129">
        <f t="shared" si="27"/>
        <v>-582595</v>
      </c>
      <c r="AG105" s="129">
        <f t="shared" si="28"/>
        <v>-728244</v>
      </c>
      <c r="AH105" s="129">
        <f t="shared" si="29"/>
        <v>-873893</v>
      </c>
      <c r="AI105" s="129">
        <f t="shared" si="30"/>
        <v>-1019542</v>
      </c>
      <c r="AJ105" s="129">
        <f t="shared" si="31"/>
        <v>-1165191</v>
      </c>
      <c r="AK105" s="129">
        <f t="shared" si="32"/>
        <v>-1310840</v>
      </c>
      <c r="AL105" s="127">
        <f t="shared" si="33"/>
        <v>-4.1595281633767245E-3</v>
      </c>
      <c r="AM105" s="127">
        <f t="shared" si="34"/>
        <v>-7.7187658697724926E-3</v>
      </c>
      <c r="AN105" s="127">
        <f t="shared" si="35"/>
        <v>-1.0798895756769955E-2</v>
      </c>
      <c r="AO105" s="127">
        <f t="shared" si="36"/>
        <v>-1.3490556240136287E-2</v>
      </c>
      <c r="AP105" s="127">
        <f t="shared" si="37"/>
        <v>-1.5862879119399875E-2</v>
      </c>
      <c r="AQ105" s="127">
        <f t="shared" si="38"/>
        <v>-1.7969511217771572E-2</v>
      </c>
      <c r="AR105" s="127">
        <f t="shared" si="39"/>
        <v>-1.9852720109791999E-2</v>
      </c>
      <c r="AS105" s="127">
        <f t="shared" si="40"/>
        <v>-2.1546259308792837E-2</v>
      </c>
      <c r="AT105" s="127">
        <f t="shared" si="41"/>
        <v>-2.3077409247265979E-2</v>
      </c>
    </row>
    <row r="106" spans="1:46" s="18" customFormat="1" ht="13" x14ac:dyDescent="0.15">
      <c r="A106" s="29" t="s">
        <v>47</v>
      </c>
      <c r="B106" s="30">
        <f>IF(Data!D49=1, MAX(Data!AA49, $E$26) + INDEX(Duplicate!$E$39:$E$43, MATCH( Data!AD49, Duplicate!$B$39:$B$43, 0), 0), MAX(Data!AA49, $E$27) +  INDEX(Duplicate!$E$39:$E$43, MATCH( Data!AD49, Duplicate!$B$39:$B$43, 0), 0))</f>
        <v>0.01</v>
      </c>
      <c r="C106" s="128">
        <f>ROUND(Data!R49/13*100, 2)</f>
        <v>0</v>
      </c>
      <c r="D106" s="141">
        <f>ROUND(Data!Q49*C106, 0)</f>
        <v>0</v>
      </c>
      <c r="E106" s="142">
        <f>ROUND($E$22*Data!W49*B106, 0)</f>
        <v>539228</v>
      </c>
      <c r="F106" s="143">
        <f>IF(E106=0, 0,IF($E$31="Yes", IF(Data!D49=1, MAX(Duplicate!D106+Duplicate!E106, Data!AE49), Duplicate!D106+Duplicate!E106), Duplicate!D106+Duplicate!E106))</f>
        <v>539228</v>
      </c>
      <c r="G106" s="143">
        <v>548487</v>
      </c>
      <c r="H106" s="129">
        <f>F106-Data!AL49</f>
        <v>96000</v>
      </c>
      <c r="I106" s="127">
        <f>((F106)/(Data!AL49)) - 1</f>
        <v>0.21659281453337775</v>
      </c>
      <c r="J106" s="127">
        <f t="shared" si="5"/>
        <v>-1.6880983505534353E-2</v>
      </c>
      <c r="K106" s="143">
        <f>ROUND(IF($E$31="Yes",IF(Data!AG49&gt;0,(Duplicate!$K$23*Data!AG49)+Data!AI49,(Duplicate!$K$24*Data!AG49)+Data!AI49),IF(Data!AF49&gt;0,(Duplicate!$K$23*Data!AF49)+Data!AI49,(Duplicate!$K$24*Data!AF49)+Data!AI49)),0)</f>
        <v>426894</v>
      </c>
      <c r="L106" s="143">
        <f>ROUND(IF($E$31="Yes",IF(Data!$AG49&gt;0,(Duplicate!$L$23*Data!$AG49)+K106,(Duplicate!$L$24*Data!$AG49)+K106),IF(Data!$AF49&gt;0,(Duplicate!$L$23*Data!$AF49)+K106,(Duplicate!$L$24*Data!$AF49)+K106)),0)</f>
        <v>441023</v>
      </c>
      <c r="M106" s="143">
        <f>ROUND(IF($E$31="Yes",IF(Data!$AG49&gt;0,(Duplicate!$M$23*Data!$AG49)+L106,(Duplicate!$M$24*Data!$AG49)+L106),IF(Data!$AF49&gt;0,(Duplicate!$M$23*Data!$AF49)+L106,(Duplicate!$M$24*Data!$AF49)+L106)),0)</f>
        <v>455152</v>
      </c>
      <c r="N106" s="143">
        <f>ROUND(IF($E$31="Yes",IF(Data!$AG49&gt;0,(Duplicate!$N$23*Data!$AG49)+M106,(Duplicate!$N$24*Data!$AG49)+M106),IF(Data!$AF49&gt;0,(Duplicate!$N$23*Data!$AF49)+M106,(Duplicate!$N$24*Data!$AF49)+M106)),0)</f>
        <v>469281</v>
      </c>
      <c r="O106" s="143">
        <f>ROUND(IF($E$31="Yes",IF(Data!$AG49&gt;0,(Duplicate!$O$23*Data!$AG49)+N106,(Duplicate!$O$24*Data!$AG49)+N106),IF(Data!$AF49&gt;0,(Duplicate!$O$23*Data!$AF49)+N106,(Duplicate!$O$24*Data!$AF49)+N106)),0)</f>
        <v>483410</v>
      </c>
      <c r="P106" s="143">
        <f>ROUND(IF($E$31="Yes",IF(Data!$AG49&gt;0,(Duplicate!$P$23*Data!$AG49)+O106,(Duplicate!$P$24*Data!$AG49)+O106),IF(Data!$AF49&gt;0,(Duplicate!$P$23*Data!$AF49)+O106,(Duplicate!$P$24*Data!$AF49)+O106)),0)</f>
        <v>497539</v>
      </c>
      <c r="Q106" s="143">
        <f>ROUND(IF($E$31="Yes",IF(Data!$AG49&gt;0,(Duplicate!$Q$23*Data!$AG49)+P106,(Duplicate!$Q$24*Data!$AG49)+P106),IF(Data!$AF49&gt;0,(Duplicate!$Q$23*Data!$AF49)+P106,(Duplicate!$Q$24*Data!$AF49)+P106)),0)</f>
        <v>511668</v>
      </c>
      <c r="R106" s="143">
        <f>ROUND(IF($E$31="Yes",IF(Data!$AG49&gt;0,(Duplicate!$R$23*Data!$AG49)+Q106,(Duplicate!$R$24*Data!$AG49)+Q106),IF(Data!$AF49&gt;0,(Duplicate!$R$23*Data!$AF49)+Q106,(Duplicate!$R$24*Data!$AF49)+Q106)),0)</f>
        <v>525797</v>
      </c>
      <c r="S106" s="143">
        <f>ROUND(IF($E$31="Yes",IF(Data!$AG49&gt;0,(Duplicate!$S$23*Data!$AG49)+R106,(Duplicate!$S$24*Data!$AG49)+R106),IF(Data!$AF49&gt;0,(Duplicate!$S$23*Data!$AF49)+R106,(Duplicate!$S$24*Data!$AF49)+R106)),0)</f>
        <v>539926</v>
      </c>
      <c r="T106" s="143">
        <v>427881</v>
      </c>
      <c r="U106" s="143">
        <v>442997</v>
      </c>
      <c r="V106" s="143">
        <v>458113</v>
      </c>
      <c r="W106" s="143">
        <v>473229</v>
      </c>
      <c r="X106" s="143">
        <v>488345</v>
      </c>
      <c r="Y106" s="143">
        <v>503461</v>
      </c>
      <c r="Z106" s="143">
        <v>518577</v>
      </c>
      <c r="AA106" s="143">
        <v>533693</v>
      </c>
      <c r="AB106" s="143">
        <v>548809</v>
      </c>
      <c r="AC106" s="129">
        <f t="shared" si="24"/>
        <v>-987</v>
      </c>
      <c r="AD106" s="129">
        <f t="shared" si="25"/>
        <v>-1974</v>
      </c>
      <c r="AE106" s="129">
        <f t="shared" si="26"/>
        <v>-2961</v>
      </c>
      <c r="AF106" s="129">
        <f t="shared" si="27"/>
        <v>-3948</v>
      </c>
      <c r="AG106" s="129">
        <f t="shared" si="28"/>
        <v>-4935</v>
      </c>
      <c r="AH106" s="129">
        <f t="shared" si="29"/>
        <v>-5922</v>
      </c>
      <c r="AI106" s="129">
        <f t="shared" si="30"/>
        <v>-6909</v>
      </c>
      <c r="AJ106" s="129">
        <f t="shared" si="31"/>
        <v>-7896</v>
      </c>
      <c r="AK106" s="129">
        <f t="shared" si="32"/>
        <v>-8883</v>
      </c>
      <c r="AL106" s="127">
        <f t="shared" si="33"/>
        <v>-2.3067161196688168E-3</v>
      </c>
      <c r="AM106" s="127">
        <f t="shared" si="34"/>
        <v>-4.4560121174636036E-3</v>
      </c>
      <c r="AN106" s="127">
        <f t="shared" si="35"/>
        <v>-6.4634708030550936E-3</v>
      </c>
      <c r="AO106" s="127">
        <f t="shared" si="36"/>
        <v>-8.3426839859771507E-3</v>
      </c>
      <c r="AP106" s="127">
        <f t="shared" si="37"/>
        <v>-1.0105560618005716E-2</v>
      </c>
      <c r="AQ106" s="127">
        <f t="shared" si="38"/>
        <v>-1.1762579425218633E-2</v>
      </c>
      <c r="AR106" s="127">
        <f t="shared" si="39"/>
        <v>-1.3322997356226773E-2</v>
      </c>
      <c r="AS106" s="127">
        <f t="shared" si="40"/>
        <v>-1.4795022606629682E-2</v>
      </c>
      <c r="AT106" s="127">
        <f t="shared" si="41"/>
        <v>-1.6185959049505372E-2</v>
      </c>
    </row>
    <row r="107" spans="1:46" s="18" customFormat="1" ht="13" x14ac:dyDescent="0.15">
      <c r="A107" s="29" t="s">
        <v>48</v>
      </c>
      <c r="B107" s="30">
        <f>IF(Data!D50=1, MAX(Data!AA50, $E$26) + INDEX(Duplicate!$E$39:$E$43, MATCH( Data!AD50, Duplicate!$B$39:$B$43, 0), 0), MAX(Data!AA50, $E$27) +  INDEX(Duplicate!$E$39:$E$43, MATCH( Data!AD50, Duplicate!$B$39:$B$43, 0), 0))</f>
        <v>0.23527100000000001</v>
      </c>
      <c r="C107" s="128">
        <f>ROUND(Data!R50/13*100, 2)</f>
        <v>46.15</v>
      </c>
      <c r="D107" s="141">
        <f>ROUND(Data!Q50*C107, 0)</f>
        <v>13707</v>
      </c>
      <c r="E107" s="142">
        <f>ROUND($E$22*Data!W50*B107, 0)</f>
        <v>1577441</v>
      </c>
      <c r="F107" s="143">
        <f>IF(E107=0, 0,IF($E$31="Yes", IF(Data!D50=1, MAX(Duplicate!D107+Duplicate!E107, Data!AE50), Duplicate!D107+Duplicate!E107), Duplicate!D107+Duplicate!E107))</f>
        <v>1591148</v>
      </c>
      <c r="G107" s="143">
        <v>1631457</v>
      </c>
      <c r="H107" s="129">
        <f>F107-Data!AL50</f>
        <v>-71722</v>
      </c>
      <c r="I107" s="127">
        <f>((F107)/(Data!AL50)) - 1</f>
        <v>-4.3131453450961255E-2</v>
      </c>
      <c r="J107" s="127">
        <f t="shared" si="5"/>
        <v>-2.4707362805149069E-2</v>
      </c>
      <c r="K107" s="143">
        <f>ROUND(IF($E$31="Yes",IF(Data!AG50&gt;0,(Duplicate!$K$23*Data!AG50)+Data!AI50,(Duplicate!$K$24*Data!AG50)+Data!AI50),IF(Data!AF50&gt;0,(Duplicate!$K$23*Data!AF50)+Data!AI50,(Duplicate!$K$24*Data!AF50)+Data!AI50)),0)</f>
        <v>1678916</v>
      </c>
      <c r="L107" s="143">
        <f>ROUND(IF($E$31="Yes",IF(Data!$AG50&gt;0,(Duplicate!$L$23*Data!$AG50)+K107,(Duplicate!$L$24*Data!$AG50)+K107),IF(Data!$AF50&gt;0,(Duplicate!$L$23*Data!$AF50)+K107,(Duplicate!$L$24*Data!$AF50)+K107)),0)</f>
        <v>1687503</v>
      </c>
      <c r="M107" s="143">
        <f>ROUND(IF($E$31="Yes",IF(Data!$AG50&gt;0,(Duplicate!$M$23*Data!$AG50)+L107,(Duplicate!$M$24*Data!$AG50)+L107),IF(Data!$AF50&gt;0,(Duplicate!$M$23*Data!$AF50)+L107,(Duplicate!$M$24*Data!$AF50)+L107)),0)</f>
        <v>1696090</v>
      </c>
      <c r="N107" s="143">
        <f>ROUND(IF($E$31="Yes",IF(Data!$AG50&gt;0,(Duplicate!$N$23*Data!$AG50)+M107,(Duplicate!$N$24*Data!$AG50)+M107),IF(Data!$AF50&gt;0,(Duplicate!$N$23*Data!$AF50)+M107,(Duplicate!$N$24*Data!$AF50)+M107)),0)</f>
        <v>1704677</v>
      </c>
      <c r="O107" s="143">
        <f>ROUND(IF($E$31="Yes",IF(Data!$AG50&gt;0,(Duplicate!$O$23*Data!$AG50)+N107,(Duplicate!$O$24*Data!$AG50)+N107),IF(Data!$AF50&gt;0,(Duplicate!$O$23*Data!$AF50)+N107,(Duplicate!$O$24*Data!$AF50)+N107)),0)</f>
        <v>1713264</v>
      </c>
      <c r="P107" s="143">
        <f>ROUND(IF($E$31="Yes",IF(Data!$AG50&gt;0,(Duplicate!$P$23*Data!$AG50)+O107,(Duplicate!$P$24*Data!$AG50)+O107),IF(Data!$AF50&gt;0,(Duplicate!$P$23*Data!$AF50)+O107,(Duplicate!$P$24*Data!$AF50)+O107)),0)</f>
        <v>1721851</v>
      </c>
      <c r="Q107" s="143">
        <f>ROUND(IF($E$31="Yes",IF(Data!$AG50&gt;0,(Duplicate!$Q$23*Data!$AG50)+P107,(Duplicate!$Q$24*Data!$AG50)+P107),IF(Data!$AF50&gt;0,(Duplicate!$Q$23*Data!$AF50)+P107,(Duplicate!$Q$24*Data!$AF50)+P107)),0)</f>
        <v>1730438</v>
      </c>
      <c r="R107" s="143">
        <f>ROUND(IF($E$31="Yes",IF(Data!$AG50&gt;0,(Duplicate!$R$23*Data!$AG50)+Q107,(Duplicate!$R$24*Data!$AG50)+Q107),IF(Data!$AF50&gt;0,(Duplicate!$R$23*Data!$AF50)+Q107,(Duplicate!$R$24*Data!$AF50)+Q107)),0)</f>
        <v>1739025</v>
      </c>
      <c r="S107" s="143">
        <f>ROUND(IF($E$31="Yes",IF(Data!$AG50&gt;0,(Duplicate!$S$23*Data!$AG50)+R107,(Duplicate!$S$24*Data!$AG50)+R107),IF(Data!$AF50&gt;0,(Duplicate!$S$23*Data!$AF50)+R107,(Duplicate!$S$24*Data!$AF50)+R107)),0)</f>
        <v>1747612</v>
      </c>
      <c r="T107" s="143">
        <v>1666695</v>
      </c>
      <c r="U107" s="143">
        <v>1663060</v>
      </c>
      <c r="V107" s="143">
        <v>1659425</v>
      </c>
      <c r="W107" s="143">
        <v>1655790</v>
      </c>
      <c r="X107" s="143">
        <v>1652155</v>
      </c>
      <c r="Y107" s="143">
        <v>1648520</v>
      </c>
      <c r="Z107" s="143">
        <v>1644885</v>
      </c>
      <c r="AA107" s="143">
        <v>1641250</v>
      </c>
      <c r="AB107" s="143">
        <v>1637615</v>
      </c>
      <c r="AC107" s="129">
        <f t="shared" si="24"/>
        <v>12221</v>
      </c>
      <c r="AD107" s="129">
        <f t="shared" si="25"/>
        <v>24443</v>
      </c>
      <c r="AE107" s="129">
        <f t="shared" si="26"/>
        <v>36665</v>
      </c>
      <c r="AF107" s="129">
        <f t="shared" si="27"/>
        <v>48887</v>
      </c>
      <c r="AG107" s="129">
        <f t="shared" si="28"/>
        <v>61109</v>
      </c>
      <c r="AH107" s="129">
        <f t="shared" si="29"/>
        <v>73331</v>
      </c>
      <c r="AI107" s="129">
        <f t="shared" si="30"/>
        <v>85553</v>
      </c>
      <c r="AJ107" s="129">
        <f t="shared" si="31"/>
        <v>97775</v>
      </c>
      <c r="AK107" s="129">
        <f t="shared" si="32"/>
        <v>109997</v>
      </c>
      <c r="AL107" s="127">
        <f t="shared" si="33"/>
        <v>7.3324753479191429E-3</v>
      </c>
      <c r="AM107" s="127">
        <f t="shared" si="34"/>
        <v>1.4697605618558596E-2</v>
      </c>
      <c r="AN107" s="127">
        <f t="shared" si="35"/>
        <v>2.2095002787110074E-2</v>
      </c>
      <c r="AO107" s="127">
        <f t="shared" si="36"/>
        <v>2.952487936272119E-2</v>
      </c>
      <c r="AP107" s="127">
        <f t="shared" si="37"/>
        <v>3.6987449724753318E-2</v>
      </c>
      <c r="AQ107" s="127">
        <f t="shared" si="38"/>
        <v>4.4482930143401322E-2</v>
      </c>
      <c r="AR107" s="127">
        <f t="shared" si="39"/>
        <v>5.2011538800584844E-2</v>
      </c>
      <c r="AS107" s="127">
        <f t="shared" si="40"/>
        <v>5.9573495811119592E-2</v>
      </c>
      <c r="AT107" s="127">
        <f t="shared" si="41"/>
        <v>6.7169023244169068E-2</v>
      </c>
    </row>
    <row r="108" spans="1:46" s="18" customFormat="1" ht="13" x14ac:dyDescent="0.15">
      <c r="A108" s="29" t="s">
        <v>49</v>
      </c>
      <c r="B108" s="30">
        <f>IF(Data!D51=1, MAX(Data!AA51, $E$26) + INDEX(Duplicate!$E$39:$E$43, MATCH( Data!AD51, Duplicate!$B$39:$B$43, 0), 0), MAX(Data!AA51, $E$27) +  INDEX(Duplicate!$E$39:$E$43, MATCH( Data!AD51, Duplicate!$B$39:$B$43, 0), 0))</f>
        <v>0.58476700000000004</v>
      </c>
      <c r="C108" s="128">
        <f>ROUND(Data!R51/13*100, 2)</f>
        <v>0</v>
      </c>
      <c r="D108" s="141">
        <f>ROUND(Data!Q51*C108, 0)</f>
        <v>0</v>
      </c>
      <c r="E108" s="142">
        <f>ROUND($E$22*Data!W51*B108, 0)</f>
        <v>10715305</v>
      </c>
      <c r="F108" s="143">
        <f>IF(E108=0, 0,IF($E$31="Yes", IF(Data!D51=1, MAX(Duplicate!D108+Duplicate!E108, Data!AE51), Duplicate!D108+Duplicate!E108), Duplicate!D108+Duplicate!E108))</f>
        <v>10715305</v>
      </c>
      <c r="G108" s="143">
        <v>11793712</v>
      </c>
      <c r="H108" s="129">
        <f>F108-Data!AL51</f>
        <v>1874882</v>
      </c>
      <c r="I108" s="127">
        <f>((F108)/(Data!AL51)) - 1</f>
        <v>0.21208057578240314</v>
      </c>
      <c r="J108" s="127">
        <f t="shared" si="5"/>
        <v>-9.1439149947022624E-2</v>
      </c>
      <c r="K108" s="143">
        <f>ROUND(IF($E$31="Yes",IF(Data!AG51&gt;0,(Duplicate!$K$23*Data!AG51)+Data!AI51,(Duplicate!$K$24*Data!AG51)+Data!AI51),IF(Data!AF51&gt;0,(Duplicate!$K$23*Data!AF51)+Data!AI51,(Duplicate!$K$24*Data!AF51)+Data!AI51)),0)</f>
        <v>8384018</v>
      </c>
      <c r="L108" s="143">
        <f>ROUND(IF($E$31="Yes",IF(Data!$AG51&gt;0,(Duplicate!$L$23*Data!$AG51)+K108,(Duplicate!$L$24*Data!$AG51)+K108),IF(Data!$AF51&gt;0,(Duplicate!$L$23*Data!$AF51)+K108,(Duplicate!$L$24*Data!$AF51)+K108)),0)</f>
        <v>8683875</v>
      </c>
      <c r="M108" s="143">
        <f>ROUND(IF($E$31="Yes",IF(Data!$AG51&gt;0,(Duplicate!$M$23*Data!$AG51)+L108,(Duplicate!$M$24*Data!$AG51)+L108),IF(Data!$AF51&gt;0,(Duplicate!$M$23*Data!$AF51)+L108,(Duplicate!$M$24*Data!$AF51)+L108)),0)</f>
        <v>8983732</v>
      </c>
      <c r="N108" s="143">
        <f>ROUND(IF($E$31="Yes",IF(Data!$AG51&gt;0,(Duplicate!$N$23*Data!$AG51)+M108,(Duplicate!$N$24*Data!$AG51)+M108),IF(Data!$AF51&gt;0,(Duplicate!$N$23*Data!$AF51)+M108,(Duplicate!$N$24*Data!$AF51)+M108)),0)</f>
        <v>9283589</v>
      </c>
      <c r="O108" s="143">
        <f>ROUND(IF($E$31="Yes",IF(Data!$AG51&gt;0,(Duplicate!$O$23*Data!$AG51)+N108,(Duplicate!$O$24*Data!$AG51)+N108),IF(Data!$AF51&gt;0,(Duplicate!$O$23*Data!$AF51)+N108,(Duplicate!$O$24*Data!$AF51)+N108)),0)</f>
        <v>9583446</v>
      </c>
      <c r="P108" s="143">
        <f>ROUND(IF($E$31="Yes",IF(Data!$AG51&gt;0,(Duplicate!$P$23*Data!$AG51)+O108,(Duplicate!$P$24*Data!$AG51)+O108),IF(Data!$AF51&gt;0,(Duplicate!$P$23*Data!$AF51)+O108,(Duplicate!$P$24*Data!$AF51)+O108)),0)</f>
        <v>9883303</v>
      </c>
      <c r="Q108" s="143">
        <f>ROUND(IF($E$31="Yes",IF(Data!$AG51&gt;0,(Duplicate!$Q$23*Data!$AG51)+P108,(Duplicate!$Q$24*Data!$AG51)+P108),IF(Data!$AF51&gt;0,(Duplicate!$Q$23*Data!$AF51)+P108,(Duplicate!$Q$24*Data!$AF51)+P108)),0)</f>
        <v>10183160</v>
      </c>
      <c r="R108" s="143">
        <f>ROUND(IF($E$31="Yes",IF(Data!$AG51&gt;0,(Duplicate!$R$23*Data!$AG51)+Q108,(Duplicate!$R$24*Data!$AG51)+Q108),IF(Data!$AF51&gt;0,(Duplicate!$R$23*Data!$AF51)+Q108,(Duplicate!$R$24*Data!$AF51)+Q108)),0)</f>
        <v>10483017</v>
      </c>
      <c r="S108" s="143">
        <f>ROUND(IF($E$31="Yes",IF(Data!$AG51&gt;0,(Duplicate!$S$23*Data!$AG51)+R108,(Duplicate!$S$24*Data!$AG51)+R108),IF(Data!$AF51&gt;0,(Duplicate!$S$23*Data!$AF51)+R108,(Duplicate!$S$24*Data!$AF51)+R108)),0)</f>
        <v>10782874</v>
      </c>
      <c r="T108" s="143">
        <v>8498976</v>
      </c>
      <c r="U108" s="143">
        <v>8913791</v>
      </c>
      <c r="V108" s="143">
        <v>9328606</v>
      </c>
      <c r="W108" s="143">
        <v>9743421</v>
      </c>
      <c r="X108" s="143">
        <v>10158236</v>
      </c>
      <c r="Y108" s="143">
        <v>10573051</v>
      </c>
      <c r="Z108" s="143">
        <v>10987866</v>
      </c>
      <c r="AA108" s="143">
        <v>11402681</v>
      </c>
      <c r="AB108" s="143">
        <v>11817496</v>
      </c>
      <c r="AC108" s="129">
        <f t="shared" si="24"/>
        <v>-114958</v>
      </c>
      <c r="AD108" s="129">
        <f t="shared" si="25"/>
        <v>-229916</v>
      </c>
      <c r="AE108" s="129">
        <f t="shared" si="26"/>
        <v>-344874</v>
      </c>
      <c r="AF108" s="129">
        <f t="shared" si="27"/>
        <v>-459832</v>
      </c>
      <c r="AG108" s="129">
        <f t="shared" si="28"/>
        <v>-574790</v>
      </c>
      <c r="AH108" s="129">
        <f t="shared" si="29"/>
        <v>-689748</v>
      </c>
      <c r="AI108" s="129">
        <f t="shared" si="30"/>
        <v>-804706</v>
      </c>
      <c r="AJ108" s="129">
        <f t="shared" si="31"/>
        <v>-919664</v>
      </c>
      <c r="AK108" s="129">
        <f t="shared" si="32"/>
        <v>-1034622</v>
      </c>
      <c r="AL108" s="127">
        <f t="shared" si="33"/>
        <v>-1.3526100085469173E-2</v>
      </c>
      <c r="AM108" s="127">
        <f t="shared" si="34"/>
        <v>-2.5793290419306447E-2</v>
      </c>
      <c r="AN108" s="127">
        <f t="shared" si="35"/>
        <v>-3.6969510771491465E-2</v>
      </c>
      <c r="AO108" s="127">
        <f t="shared" si="36"/>
        <v>-4.7194101537847977E-2</v>
      </c>
      <c r="AP108" s="127">
        <f t="shared" si="37"/>
        <v>-5.6583643065587386E-2</v>
      </c>
      <c r="AQ108" s="127">
        <f t="shared" si="38"/>
        <v>-6.5236420405046736E-2</v>
      </c>
      <c r="AR108" s="127">
        <f t="shared" si="39"/>
        <v>-7.3235876738940942E-2</v>
      </c>
      <c r="AS108" s="127">
        <f t="shared" si="40"/>
        <v>-8.0653313023489881E-2</v>
      </c>
      <c r="AT108" s="127">
        <f t="shared" si="41"/>
        <v>-8.7550019056490513E-2</v>
      </c>
    </row>
    <row r="109" spans="1:46" s="18" customFormat="1" ht="13" x14ac:dyDescent="0.15">
      <c r="A109" s="29" t="s">
        <v>50</v>
      </c>
      <c r="B109" s="30">
        <f>IF(Data!D52=1, MAX(Data!AA52, $E$26) + INDEX(Duplicate!$E$39:$E$43, MATCH( Data!AD52, Duplicate!$B$39:$B$43, 0), 0), MAX(Data!AA52, $E$27) +  INDEX(Duplicate!$E$39:$E$43, MATCH( Data!AD52, Duplicate!$B$39:$B$43, 0), 0))</f>
        <v>0.186941</v>
      </c>
      <c r="C109" s="128">
        <f>ROUND(Data!R52/13*100, 2)</f>
        <v>100</v>
      </c>
      <c r="D109" s="141">
        <f>ROUND(Data!Q52*C109, 0)</f>
        <v>95600</v>
      </c>
      <c r="E109" s="142">
        <f>ROUND($E$22*Data!W52*B109, 0)</f>
        <v>2136764</v>
      </c>
      <c r="F109" s="143">
        <f>IF(E109=0, 0,IF($E$31="Yes", IF(Data!D52=1, MAX(Duplicate!D109+Duplicate!E109, Data!AE52), Duplicate!D109+Duplicate!E109), Duplicate!D109+Duplicate!E109))</f>
        <v>2232364</v>
      </c>
      <c r="G109" s="143">
        <v>2153774</v>
      </c>
      <c r="H109" s="129">
        <f>F109-Data!AL52</f>
        <v>-933369</v>
      </c>
      <c r="I109" s="127">
        <f>((F109)/(Data!AL52)) - 1</f>
        <v>-0.29483503504559605</v>
      </c>
      <c r="J109" s="127">
        <f t="shared" si="5"/>
        <v>3.6489436681843124E-2</v>
      </c>
      <c r="K109" s="143">
        <f>ROUND(IF($E$31="Yes",IF(Data!AG52&gt;0,(Duplicate!$K$23*Data!AG52)+Data!AI52,(Duplicate!$K$24*Data!AG52)+Data!AI52),IF(Data!AF52&gt;0,(Duplicate!$K$23*Data!AF52)+Data!AI52,(Duplicate!$K$24*Data!AF52)+Data!AI52)),0)</f>
        <v>3414245</v>
      </c>
      <c r="L109" s="143">
        <f>ROUND(IF($E$31="Yes",IF(Data!$AG52&gt;0,(Duplicate!$L$23*Data!$AG52)+K109,(Duplicate!$L$24*Data!$AG52)+K109),IF(Data!$AF52&gt;0,(Duplicate!$L$23*Data!$AF52)+K109,(Duplicate!$L$24*Data!$AF52)+K109)),0)</f>
        <v>3371284</v>
      </c>
      <c r="M109" s="143">
        <f>ROUND(IF($E$31="Yes",IF(Data!$AG52&gt;0,(Duplicate!$M$23*Data!$AG52)+L109,(Duplicate!$M$24*Data!$AG52)+L109),IF(Data!$AF52&gt;0,(Duplicate!$M$23*Data!$AF52)+L109,(Duplicate!$M$24*Data!$AF52)+L109)),0)</f>
        <v>3328323</v>
      </c>
      <c r="N109" s="143">
        <f>ROUND(IF($E$31="Yes",IF(Data!$AG52&gt;0,(Duplicate!$N$23*Data!$AG52)+M109,(Duplicate!$N$24*Data!$AG52)+M109),IF(Data!$AF52&gt;0,(Duplicate!$N$23*Data!$AF52)+M109,(Duplicate!$N$24*Data!$AF52)+M109)),0)</f>
        <v>3285362</v>
      </c>
      <c r="O109" s="143">
        <f>ROUND(IF($E$31="Yes",IF(Data!$AG52&gt;0,(Duplicate!$O$23*Data!$AG52)+N109,(Duplicate!$O$24*Data!$AG52)+N109),IF(Data!$AF52&gt;0,(Duplicate!$O$23*Data!$AF52)+N109,(Duplicate!$O$24*Data!$AF52)+N109)),0)</f>
        <v>3242401</v>
      </c>
      <c r="P109" s="143">
        <f>ROUND(IF($E$31="Yes",IF(Data!$AG52&gt;0,(Duplicate!$P$23*Data!$AG52)+O109,(Duplicate!$P$24*Data!$AG52)+O109),IF(Data!$AF52&gt;0,(Duplicate!$P$23*Data!$AF52)+O109,(Duplicate!$P$24*Data!$AF52)+O109)),0)</f>
        <v>3199440</v>
      </c>
      <c r="Q109" s="143">
        <f>ROUND(IF($E$31="Yes",IF(Data!$AG52&gt;0,(Duplicate!$Q$23*Data!$AG52)+P109,(Duplicate!$Q$24*Data!$AG52)+P109),IF(Data!$AF52&gt;0,(Duplicate!$Q$23*Data!$AF52)+P109,(Duplicate!$Q$24*Data!$AF52)+P109)),0)</f>
        <v>3156479</v>
      </c>
      <c r="R109" s="143">
        <f>ROUND(IF($E$31="Yes",IF(Data!$AG52&gt;0,(Duplicate!$R$23*Data!$AG52)+Q109,(Duplicate!$R$24*Data!$AG52)+Q109),IF(Data!$AF52&gt;0,(Duplicate!$R$23*Data!$AF52)+Q109,(Duplicate!$R$24*Data!$AF52)+Q109)),0)</f>
        <v>3113518</v>
      </c>
      <c r="S109" s="143">
        <f>ROUND(IF($E$31="Yes",IF(Data!$AG52&gt;0,(Duplicate!$S$23*Data!$AG52)+R109,(Duplicate!$S$24*Data!$AG52)+R109),IF(Data!$AF52&gt;0,(Duplicate!$S$23*Data!$AF52)+R109,(Duplicate!$S$24*Data!$AF52)+R109)),0)</f>
        <v>3070557</v>
      </c>
      <c r="T109" s="143">
        <v>3312137</v>
      </c>
      <c r="U109" s="143">
        <v>3167068</v>
      </c>
      <c r="V109" s="143">
        <v>3021999</v>
      </c>
      <c r="W109" s="143">
        <v>2876930</v>
      </c>
      <c r="X109" s="143">
        <v>2731861</v>
      </c>
      <c r="Y109" s="143">
        <v>2586792</v>
      </c>
      <c r="Z109" s="143">
        <v>2441723</v>
      </c>
      <c r="AA109" s="143">
        <v>2296654</v>
      </c>
      <c r="AB109" s="143">
        <v>2151585</v>
      </c>
      <c r="AC109" s="129">
        <f t="shared" si="24"/>
        <v>102108</v>
      </c>
      <c r="AD109" s="129">
        <f t="shared" si="25"/>
        <v>204216</v>
      </c>
      <c r="AE109" s="129">
        <f t="shared" si="26"/>
        <v>306324</v>
      </c>
      <c r="AF109" s="129">
        <f t="shared" si="27"/>
        <v>408432</v>
      </c>
      <c r="AG109" s="129">
        <f t="shared" si="28"/>
        <v>510540</v>
      </c>
      <c r="AH109" s="129">
        <f t="shared" si="29"/>
        <v>612648</v>
      </c>
      <c r="AI109" s="129">
        <f t="shared" si="30"/>
        <v>714756</v>
      </c>
      <c r="AJ109" s="129">
        <f t="shared" si="31"/>
        <v>816864</v>
      </c>
      <c r="AK109" s="129">
        <f t="shared" si="32"/>
        <v>918972</v>
      </c>
      <c r="AL109" s="127">
        <f t="shared" si="33"/>
        <v>3.08284349349075E-2</v>
      </c>
      <c r="AM109" s="127">
        <f t="shared" si="34"/>
        <v>6.4481091028042448E-2</v>
      </c>
      <c r="AN109" s="127">
        <f t="shared" si="35"/>
        <v>0.10136469270836956</v>
      </c>
      <c r="AO109" s="127">
        <f t="shared" si="36"/>
        <v>0.14196800061176318</v>
      </c>
      <c r="AP109" s="127">
        <f t="shared" si="37"/>
        <v>0.186883593272132</v>
      </c>
      <c r="AQ109" s="127">
        <f t="shared" si="38"/>
        <v>0.23683697800209691</v>
      </c>
      <c r="AR109" s="127">
        <f t="shared" si="39"/>
        <v>0.29272607908431869</v>
      </c>
      <c r="AS109" s="127">
        <f t="shared" si="40"/>
        <v>0.35567569168015734</v>
      </c>
      <c r="AT109" s="127">
        <f t="shared" si="41"/>
        <v>0.42711396482128294</v>
      </c>
    </row>
    <row r="110" spans="1:46" s="18" customFormat="1" ht="13" x14ac:dyDescent="0.15">
      <c r="A110" s="29" t="s">
        <v>51</v>
      </c>
      <c r="B110" s="30">
        <f>IF(Data!D53=1, MAX(Data!AA53, $E$26) + INDEX(Duplicate!$E$39:$E$43, MATCH( Data!AD53, Duplicate!$B$39:$B$43, 0), 0), MAX(Data!AA53, $E$27) +  INDEX(Duplicate!$E$39:$E$43, MATCH( Data!AD53, Duplicate!$B$39:$B$43, 0), 0))</f>
        <v>0.30453599999999997</v>
      </c>
      <c r="C110" s="128">
        <f>ROUND(Data!R53/13*100, 2)</f>
        <v>0</v>
      </c>
      <c r="D110" s="141">
        <f>ROUND(Data!Q53*C110, 0)</f>
        <v>0</v>
      </c>
      <c r="E110" s="142">
        <f>ROUND($E$22*Data!W53*B110, 0)</f>
        <v>677563</v>
      </c>
      <c r="F110" s="143">
        <f>IF(E110=0, 0,IF($E$31="Yes", IF(Data!D53=1, MAX(Duplicate!D110+Duplicate!E110, Data!AE53), Duplicate!D110+Duplicate!E110), Duplicate!D110+Duplicate!E110))</f>
        <v>677563</v>
      </c>
      <c r="G110" s="143">
        <v>803386</v>
      </c>
      <c r="H110" s="129">
        <f>F110-Data!AL53</f>
        <v>-269613</v>
      </c>
      <c r="I110" s="127">
        <f>((F110)/(Data!AL53)) - 1</f>
        <v>-0.28464931543873573</v>
      </c>
      <c r="J110" s="127">
        <f t="shared" si="5"/>
        <v>-0.1566158733161892</v>
      </c>
      <c r="K110" s="143">
        <f>ROUND(IF($E$31="Yes",IF(Data!AG53&gt;0,(Duplicate!$K$23*Data!AG53)+Data!AI53,(Duplicate!$K$24*Data!AG53)+Data!AI53),IF(Data!AF53&gt;0,(Duplicate!$K$23*Data!AF53)+Data!AI53,(Duplicate!$K$24*Data!AF53)+Data!AI53)),0)</f>
        <v>970891</v>
      </c>
      <c r="L110" s="143">
        <f>ROUND(IF($E$31="Yes",IF(Data!$AG53&gt;0,(Duplicate!$L$23*Data!$AG53)+K110,(Duplicate!$L$24*Data!$AG53)+K110),IF(Data!$AF53&gt;0,(Duplicate!$L$23*Data!$AF53)+K110,(Duplicate!$L$24*Data!$AF53)+K110)),0)</f>
        <v>937811</v>
      </c>
      <c r="M110" s="143">
        <f>ROUND(IF($E$31="Yes",IF(Data!$AG53&gt;0,(Duplicate!$M$23*Data!$AG53)+L110,(Duplicate!$M$24*Data!$AG53)+L110),IF(Data!$AF53&gt;0,(Duplicate!$M$23*Data!$AF53)+L110,(Duplicate!$M$24*Data!$AF53)+L110)),0)</f>
        <v>904731</v>
      </c>
      <c r="N110" s="143">
        <f>ROUND(IF($E$31="Yes",IF(Data!$AG53&gt;0,(Duplicate!$N$23*Data!$AG53)+M110,(Duplicate!$N$24*Data!$AG53)+M110),IF(Data!$AF53&gt;0,(Duplicate!$N$23*Data!$AF53)+M110,(Duplicate!$N$24*Data!$AF53)+M110)),0)</f>
        <v>871651</v>
      </c>
      <c r="O110" s="143">
        <f>ROUND(IF($E$31="Yes",IF(Data!$AG53&gt;0,(Duplicate!$O$23*Data!$AG53)+N110,(Duplicate!$O$24*Data!$AG53)+N110),IF(Data!$AF53&gt;0,(Duplicate!$O$23*Data!$AF53)+N110,(Duplicate!$O$24*Data!$AF53)+N110)),0)</f>
        <v>838571</v>
      </c>
      <c r="P110" s="143">
        <f>ROUND(IF($E$31="Yes",IF(Data!$AG53&gt;0,(Duplicate!$P$23*Data!$AG53)+O110,(Duplicate!$P$24*Data!$AG53)+O110),IF(Data!$AF53&gt;0,(Duplicate!$P$23*Data!$AF53)+O110,(Duplicate!$P$24*Data!$AF53)+O110)),0)</f>
        <v>805491</v>
      </c>
      <c r="Q110" s="143">
        <f>ROUND(IF($E$31="Yes",IF(Data!$AG53&gt;0,(Duplicate!$Q$23*Data!$AG53)+P110,(Duplicate!$Q$24*Data!$AG53)+P110),IF(Data!$AF53&gt;0,(Duplicate!$Q$23*Data!$AF53)+P110,(Duplicate!$Q$24*Data!$AF53)+P110)),0)</f>
        <v>772411</v>
      </c>
      <c r="R110" s="143">
        <f>ROUND(IF($E$31="Yes",IF(Data!$AG53&gt;0,(Duplicate!$R$23*Data!$AG53)+Q110,(Duplicate!$R$24*Data!$AG53)+Q110),IF(Data!$AF53&gt;0,(Duplicate!$R$23*Data!$AF53)+Q110,(Duplicate!$R$24*Data!$AF53)+Q110)),0)</f>
        <v>739331</v>
      </c>
      <c r="S110" s="143">
        <f>ROUND(IF($E$31="Yes",IF(Data!$AG53&gt;0,(Duplicate!$S$23*Data!$AG53)+R110,(Duplicate!$S$24*Data!$AG53)+R110),IF(Data!$AF53&gt;0,(Duplicate!$S$23*Data!$AF53)+R110,(Duplicate!$S$24*Data!$AF53)+R110)),0)</f>
        <v>706251</v>
      </c>
      <c r="T110" s="143">
        <v>979940</v>
      </c>
      <c r="U110" s="143">
        <v>955908</v>
      </c>
      <c r="V110" s="143">
        <v>931876</v>
      </c>
      <c r="W110" s="143">
        <v>907844</v>
      </c>
      <c r="X110" s="143">
        <v>883812</v>
      </c>
      <c r="Y110" s="143">
        <v>859780</v>
      </c>
      <c r="Z110" s="143">
        <v>835748</v>
      </c>
      <c r="AA110" s="143">
        <v>811716</v>
      </c>
      <c r="AB110" s="143">
        <v>787684</v>
      </c>
      <c r="AC110" s="129">
        <f t="shared" si="24"/>
        <v>-9049</v>
      </c>
      <c r="AD110" s="129">
        <f t="shared" si="25"/>
        <v>-18097</v>
      </c>
      <c r="AE110" s="129">
        <f t="shared" si="26"/>
        <v>-27145</v>
      </c>
      <c r="AF110" s="129">
        <f t="shared" si="27"/>
        <v>-36193</v>
      </c>
      <c r="AG110" s="129">
        <f t="shared" si="28"/>
        <v>-45241</v>
      </c>
      <c r="AH110" s="129">
        <f t="shared" si="29"/>
        <v>-54289</v>
      </c>
      <c r="AI110" s="129">
        <f t="shared" si="30"/>
        <v>-63337</v>
      </c>
      <c r="AJ110" s="129">
        <f t="shared" si="31"/>
        <v>-72385</v>
      </c>
      <c r="AK110" s="129">
        <f t="shared" si="32"/>
        <v>-81433</v>
      </c>
      <c r="AL110" s="127">
        <f t="shared" si="33"/>
        <v>-9.234238830948871E-3</v>
      </c>
      <c r="AM110" s="127">
        <f t="shared" si="34"/>
        <v>-1.8931738200747339E-2</v>
      </c>
      <c r="AN110" s="127">
        <f t="shared" si="35"/>
        <v>-2.9129412067700033E-2</v>
      </c>
      <c r="AO110" s="127">
        <f t="shared" si="36"/>
        <v>-3.9866981551896608E-2</v>
      </c>
      <c r="AP110" s="127">
        <f t="shared" si="37"/>
        <v>-5.1188488049494718E-2</v>
      </c>
      <c r="AQ110" s="127">
        <f t="shared" si="38"/>
        <v>-6.3142897020167954E-2</v>
      </c>
      <c r="AR110" s="127">
        <f t="shared" si="39"/>
        <v>-7.5784805946290001E-2</v>
      </c>
      <c r="AS110" s="127">
        <f t="shared" si="40"/>
        <v>-8.917527805291503E-2</v>
      </c>
      <c r="AT110" s="127">
        <f t="shared" si="41"/>
        <v>-0.10338282864702086</v>
      </c>
    </row>
    <row r="111" spans="1:46" s="18" customFormat="1" ht="13" x14ac:dyDescent="0.15">
      <c r="A111" s="29" t="s">
        <v>52</v>
      </c>
      <c r="B111" s="30">
        <f>IF(Data!D54=1, MAX(Data!AA54, $E$26) + INDEX(Duplicate!$E$39:$E$43, MATCH( Data!AD54, Duplicate!$B$39:$B$43, 0), 0), MAX(Data!AA54, $E$27) +  INDEX(Duplicate!$E$39:$E$43, MATCH( Data!AD54, Duplicate!$B$39:$B$43, 0), 0))</f>
        <v>0.152944</v>
      </c>
      <c r="C111" s="128">
        <f>ROUND(Data!R54/13*100, 2)</f>
        <v>0</v>
      </c>
      <c r="D111" s="141">
        <f>ROUND(Data!Q54*C111, 0)</f>
        <v>0</v>
      </c>
      <c r="E111" s="142">
        <f>ROUND($E$22*Data!W54*B111, 0)</f>
        <v>1549589</v>
      </c>
      <c r="F111" s="143">
        <f>IF(E111=0, 0,IF($E$31="Yes", IF(Data!D54=1, MAX(Duplicate!D111+Duplicate!E111, Data!AE54), Duplicate!D111+Duplicate!E111), Duplicate!D111+Duplicate!E111))</f>
        <v>1549589</v>
      </c>
      <c r="G111" s="143">
        <v>1304906</v>
      </c>
      <c r="H111" s="129">
        <f>F111-Data!AL54</f>
        <v>115497</v>
      </c>
      <c r="I111" s="127">
        <f>((F111)/(Data!AL54)) - 1</f>
        <v>8.0536674076697956E-2</v>
      </c>
      <c r="J111" s="127">
        <f t="shared" si="5"/>
        <v>0.18751005819576272</v>
      </c>
      <c r="K111" s="143">
        <f>ROUND(IF($E$31="Yes",IF(Data!AG54&gt;0,(Duplicate!$K$23*Data!AG54)+Data!AI54,(Duplicate!$K$24*Data!AG54)+Data!AI54),IF(Data!AF54&gt;0,(Duplicate!$K$23*Data!AF54)+Data!AI54,(Duplicate!$K$24*Data!AF54)+Data!AI54)),0)</f>
        <v>1462223</v>
      </c>
      <c r="L111" s="143">
        <f>ROUND(IF($E$31="Yes",IF(Data!$AG54&gt;0,(Duplicate!$L$23*Data!$AG54)+K111,(Duplicate!$L$24*Data!$AG54)+K111),IF(Data!$AF54&gt;0,(Duplicate!$L$23*Data!$AF54)+K111,(Duplicate!$L$24*Data!$AF54)+K111)),0)</f>
        <v>1473922</v>
      </c>
      <c r="M111" s="143">
        <f>ROUND(IF($E$31="Yes",IF(Data!$AG54&gt;0,(Duplicate!$M$23*Data!$AG54)+L111,(Duplicate!$M$24*Data!$AG54)+L111),IF(Data!$AF54&gt;0,(Duplicate!$M$23*Data!$AF54)+L111,(Duplicate!$M$24*Data!$AF54)+L111)),0)</f>
        <v>1485621</v>
      </c>
      <c r="N111" s="143">
        <f>ROUND(IF($E$31="Yes",IF(Data!$AG54&gt;0,(Duplicate!$N$23*Data!$AG54)+M111,(Duplicate!$N$24*Data!$AG54)+M111),IF(Data!$AF54&gt;0,(Duplicate!$N$23*Data!$AF54)+M111,(Duplicate!$N$24*Data!$AF54)+M111)),0)</f>
        <v>1497320</v>
      </c>
      <c r="O111" s="143">
        <f>ROUND(IF($E$31="Yes",IF(Data!$AG54&gt;0,(Duplicate!$O$23*Data!$AG54)+N111,(Duplicate!$O$24*Data!$AG54)+N111),IF(Data!$AF54&gt;0,(Duplicate!$O$23*Data!$AF54)+N111,(Duplicate!$O$24*Data!$AF54)+N111)),0)</f>
        <v>1509019</v>
      </c>
      <c r="P111" s="143">
        <f>ROUND(IF($E$31="Yes",IF(Data!$AG54&gt;0,(Duplicate!$P$23*Data!$AG54)+O111,(Duplicate!$P$24*Data!$AG54)+O111),IF(Data!$AF54&gt;0,(Duplicate!$P$23*Data!$AF54)+O111,(Duplicate!$P$24*Data!$AF54)+O111)),0)</f>
        <v>1520718</v>
      </c>
      <c r="Q111" s="143">
        <f>ROUND(IF($E$31="Yes",IF(Data!$AG54&gt;0,(Duplicate!$Q$23*Data!$AG54)+P111,(Duplicate!$Q$24*Data!$AG54)+P111),IF(Data!$AF54&gt;0,(Duplicate!$Q$23*Data!$AF54)+P111,(Duplicate!$Q$24*Data!$AF54)+P111)),0)</f>
        <v>1532417</v>
      </c>
      <c r="R111" s="143">
        <f>ROUND(IF($E$31="Yes",IF(Data!$AG54&gt;0,(Duplicate!$R$23*Data!$AG54)+Q111,(Duplicate!$R$24*Data!$AG54)+Q111),IF(Data!$AF54&gt;0,(Duplicate!$R$23*Data!$AF54)+Q111,(Duplicate!$R$24*Data!$AF54)+Q111)),0)</f>
        <v>1544116</v>
      </c>
      <c r="S111" s="143">
        <f>ROUND(IF($E$31="Yes",IF(Data!$AG54&gt;0,(Duplicate!$S$23*Data!$AG54)+R111,(Duplicate!$S$24*Data!$AG54)+R111),IF(Data!$AF54&gt;0,(Duplicate!$S$23*Data!$AF54)+R111,(Duplicate!$S$24*Data!$AF54)+R111)),0)</f>
        <v>1555815</v>
      </c>
      <c r="T111" s="143">
        <v>1439284</v>
      </c>
      <c r="U111" s="143">
        <v>1428044</v>
      </c>
      <c r="V111" s="143">
        <v>1416804</v>
      </c>
      <c r="W111" s="143">
        <v>1405564</v>
      </c>
      <c r="X111" s="143">
        <v>1394324</v>
      </c>
      <c r="Y111" s="143">
        <v>1383084</v>
      </c>
      <c r="Z111" s="143">
        <v>1371844</v>
      </c>
      <c r="AA111" s="143">
        <v>1360604</v>
      </c>
      <c r="AB111" s="143">
        <v>1349364</v>
      </c>
      <c r="AC111" s="129">
        <f t="shared" si="24"/>
        <v>22939</v>
      </c>
      <c r="AD111" s="129">
        <f t="shared" si="25"/>
        <v>45878</v>
      </c>
      <c r="AE111" s="129">
        <f t="shared" si="26"/>
        <v>68817</v>
      </c>
      <c r="AF111" s="129">
        <f t="shared" si="27"/>
        <v>91756</v>
      </c>
      <c r="AG111" s="129">
        <f t="shared" si="28"/>
        <v>114695</v>
      </c>
      <c r="AH111" s="129">
        <f t="shared" si="29"/>
        <v>137634</v>
      </c>
      <c r="AI111" s="129">
        <f t="shared" si="30"/>
        <v>160573</v>
      </c>
      <c r="AJ111" s="129">
        <f t="shared" si="31"/>
        <v>183512</v>
      </c>
      <c r="AK111" s="129">
        <f t="shared" si="32"/>
        <v>206451</v>
      </c>
      <c r="AL111" s="127">
        <f t="shared" si="33"/>
        <v>1.5937785732350163E-2</v>
      </c>
      <c r="AM111" s="127">
        <f t="shared" si="34"/>
        <v>3.2126461089434288E-2</v>
      </c>
      <c r="AN111" s="127">
        <f t="shared" si="35"/>
        <v>4.8571997255795418E-2</v>
      </c>
      <c r="AO111" s="127">
        <f t="shared" si="36"/>
        <v>6.5280556417210533E-2</v>
      </c>
      <c r="AP111" s="127">
        <f t="shared" si="37"/>
        <v>8.2258499459236134E-2</v>
      </c>
      <c r="AQ111" s="127">
        <f t="shared" si="38"/>
        <v>9.9512394041142871E-2</v>
      </c>
      <c r="AR111" s="127">
        <f t="shared" si="39"/>
        <v>0.11704902306676268</v>
      </c>
      <c r="AS111" s="127">
        <f t="shared" si="40"/>
        <v>0.13487539357520628</v>
      </c>
      <c r="AT111" s="127">
        <f t="shared" si="41"/>
        <v>0.152998746075929</v>
      </c>
    </row>
    <row r="112" spans="1:46" s="18" customFormat="1" ht="13" x14ac:dyDescent="0.15">
      <c r="A112" s="29" t="s">
        <v>53</v>
      </c>
      <c r="B112" s="30">
        <f>IF(Data!D55=1, MAX(Data!AA55, $E$26) + INDEX(Duplicate!$E$39:$E$43, MATCH( Data!AD55, Duplicate!$B$39:$B$43, 0), 0), MAX(Data!AA55, $E$27) +  INDEX(Duplicate!$E$39:$E$43, MATCH( Data!AD55, Duplicate!$B$39:$B$43, 0), 0))</f>
        <v>0.26024399999999998</v>
      </c>
      <c r="C112" s="128">
        <f>ROUND(Data!R55/13*100, 2)</f>
        <v>0</v>
      </c>
      <c r="D112" s="141">
        <f>ROUND(Data!Q55*C112, 0)</f>
        <v>0</v>
      </c>
      <c r="E112" s="142">
        <f>ROUND($E$22*Data!W55*B112, 0)</f>
        <v>3051020</v>
      </c>
      <c r="F112" s="143">
        <f>IF(E112=0, 0,IF($E$31="Yes", IF(Data!D55=1, MAX(Duplicate!D112+Duplicate!E112, Data!AE55), Duplicate!D112+Duplicate!E112), Duplicate!D112+Duplicate!E112))</f>
        <v>3051020</v>
      </c>
      <c r="G112" s="143">
        <v>3492361</v>
      </c>
      <c r="H112" s="129">
        <f>F112-Data!AL55</f>
        <v>-504937</v>
      </c>
      <c r="I112" s="127">
        <f>((F112)/(Data!AL55)) - 1</f>
        <v>-0.1419974988448961</v>
      </c>
      <c r="J112" s="127">
        <f t="shared" si="5"/>
        <v>-0.12637324721012522</v>
      </c>
      <c r="K112" s="143">
        <f>ROUND(IF($E$31="Yes",IF(Data!AG55&gt;0,(Duplicate!$K$23*Data!AG55)+Data!AI55,(Duplicate!$K$24*Data!AG55)+Data!AI55),IF(Data!AF55&gt;0,(Duplicate!$K$23*Data!AF55)+Data!AI55,(Duplicate!$K$24*Data!AF55)+Data!AI55)),0)</f>
        <v>3525286</v>
      </c>
      <c r="L112" s="143">
        <f>ROUND(IF($E$31="Yes",IF(Data!$AG55&gt;0,(Duplicate!$L$23*Data!$AG55)+K112,(Duplicate!$L$24*Data!$AG55)+K112),IF(Data!$AF55&gt;0,(Duplicate!$L$23*Data!$AF55)+K112,(Duplicate!$L$24*Data!$AF55)+K112)),0)</f>
        <v>3472381</v>
      </c>
      <c r="M112" s="143">
        <f>ROUND(IF($E$31="Yes",IF(Data!$AG55&gt;0,(Duplicate!$M$23*Data!$AG55)+L112,(Duplicate!$M$24*Data!$AG55)+L112),IF(Data!$AF55&gt;0,(Duplicate!$M$23*Data!$AF55)+L112,(Duplicate!$M$24*Data!$AF55)+L112)),0)</f>
        <v>3419476</v>
      </c>
      <c r="N112" s="143">
        <f>ROUND(IF($E$31="Yes",IF(Data!$AG55&gt;0,(Duplicate!$N$23*Data!$AG55)+M112,(Duplicate!$N$24*Data!$AG55)+M112),IF(Data!$AF55&gt;0,(Duplicate!$N$23*Data!$AF55)+M112,(Duplicate!$N$24*Data!$AF55)+M112)),0)</f>
        <v>3366571</v>
      </c>
      <c r="O112" s="143">
        <f>ROUND(IF($E$31="Yes",IF(Data!$AG55&gt;0,(Duplicate!$O$23*Data!$AG55)+N112,(Duplicate!$O$24*Data!$AG55)+N112),IF(Data!$AF55&gt;0,(Duplicate!$O$23*Data!$AF55)+N112,(Duplicate!$O$24*Data!$AF55)+N112)),0)</f>
        <v>3313666</v>
      </c>
      <c r="P112" s="143">
        <f>ROUND(IF($E$31="Yes",IF(Data!$AG55&gt;0,(Duplicate!$P$23*Data!$AG55)+O112,(Duplicate!$P$24*Data!$AG55)+O112),IF(Data!$AF55&gt;0,(Duplicate!$P$23*Data!$AF55)+O112,(Duplicate!$P$24*Data!$AF55)+O112)),0)</f>
        <v>3260761</v>
      </c>
      <c r="Q112" s="143">
        <f>ROUND(IF($E$31="Yes",IF(Data!$AG55&gt;0,(Duplicate!$Q$23*Data!$AG55)+P112,(Duplicate!$Q$24*Data!$AG55)+P112),IF(Data!$AF55&gt;0,(Duplicate!$Q$23*Data!$AF55)+P112,(Duplicate!$Q$24*Data!$AF55)+P112)),0)</f>
        <v>3207856</v>
      </c>
      <c r="R112" s="143">
        <f>ROUND(IF($E$31="Yes",IF(Data!$AG55&gt;0,(Duplicate!$R$23*Data!$AG55)+Q112,(Duplicate!$R$24*Data!$AG55)+Q112),IF(Data!$AF55&gt;0,(Duplicate!$R$23*Data!$AF55)+Q112,(Duplicate!$R$24*Data!$AF55)+Q112)),0)</f>
        <v>3154951</v>
      </c>
      <c r="S112" s="143">
        <f>ROUND(IF($E$31="Yes",IF(Data!$AG55&gt;0,(Duplicate!$S$23*Data!$AG55)+R112,(Duplicate!$S$24*Data!$AG55)+R112),IF(Data!$AF55&gt;0,(Duplicate!$S$23*Data!$AF55)+R112,(Duplicate!$S$24*Data!$AF55)+R112)),0)</f>
        <v>3102046</v>
      </c>
      <c r="T112" s="143">
        <v>3562049</v>
      </c>
      <c r="U112" s="143">
        <v>3545908</v>
      </c>
      <c r="V112" s="143">
        <v>3529767</v>
      </c>
      <c r="W112" s="143">
        <v>3513626</v>
      </c>
      <c r="X112" s="143">
        <v>3497485</v>
      </c>
      <c r="Y112" s="143">
        <v>3481344</v>
      </c>
      <c r="Z112" s="143">
        <v>3465203</v>
      </c>
      <c r="AA112" s="143">
        <v>3449062</v>
      </c>
      <c r="AB112" s="143">
        <v>3432921</v>
      </c>
      <c r="AC112" s="129">
        <f t="shared" si="24"/>
        <v>-36763</v>
      </c>
      <c r="AD112" s="129">
        <f t="shared" si="25"/>
        <v>-73527</v>
      </c>
      <c r="AE112" s="129">
        <f t="shared" si="26"/>
        <v>-110291</v>
      </c>
      <c r="AF112" s="129">
        <f t="shared" si="27"/>
        <v>-147055</v>
      </c>
      <c r="AG112" s="129">
        <f t="shared" si="28"/>
        <v>-183819</v>
      </c>
      <c r="AH112" s="129">
        <f t="shared" si="29"/>
        <v>-220583</v>
      </c>
      <c r="AI112" s="129">
        <f t="shared" si="30"/>
        <v>-257347</v>
      </c>
      <c r="AJ112" s="129">
        <f t="shared" si="31"/>
        <v>-294111</v>
      </c>
      <c r="AK112" s="129">
        <f t="shared" si="32"/>
        <v>-330875</v>
      </c>
      <c r="AL112" s="127">
        <f t="shared" si="33"/>
        <v>-1.0320745166616185E-2</v>
      </c>
      <c r="AM112" s="127">
        <f t="shared" si="34"/>
        <v>-2.0735732568357701E-2</v>
      </c>
      <c r="AN112" s="127">
        <f t="shared" si="35"/>
        <v>-3.1245971759609081E-2</v>
      </c>
      <c r="AO112" s="127">
        <f t="shared" si="36"/>
        <v>-4.1852775451912017E-2</v>
      </c>
      <c r="AP112" s="127">
        <f t="shared" si="37"/>
        <v>-5.2557480589623728E-2</v>
      </c>
      <c r="AQ112" s="127">
        <f t="shared" si="38"/>
        <v>-6.3361448911684715E-2</v>
      </c>
      <c r="AR112" s="127">
        <f t="shared" si="39"/>
        <v>-7.4266067529088486E-2</v>
      </c>
      <c r="AS112" s="127">
        <f t="shared" si="40"/>
        <v>-8.5272749518564783E-2</v>
      </c>
      <c r="AT112" s="127">
        <f t="shared" si="41"/>
        <v>-9.6382934533011388E-2</v>
      </c>
    </row>
    <row r="113" spans="1:46" s="18" customFormat="1" ht="13" x14ac:dyDescent="0.15">
      <c r="A113" s="29" t="s">
        <v>54</v>
      </c>
      <c r="B113" s="30">
        <f>IF(Data!D56=1, MAX(Data!AA56, $E$26) + INDEX(Duplicate!$E$39:$E$43, MATCH( Data!AD56, Duplicate!$B$39:$B$43, 0), 0), MAX(Data!AA56, $E$27) +  INDEX(Duplicate!$E$39:$E$43, MATCH( Data!AD56, Duplicate!$B$39:$B$43, 0), 0))</f>
        <v>0.278478</v>
      </c>
      <c r="C113" s="128">
        <f>ROUND(Data!R56/13*100, 2)</f>
        <v>0</v>
      </c>
      <c r="D113" s="141">
        <f>ROUND(Data!Q56*C113, 0)</f>
        <v>0</v>
      </c>
      <c r="E113" s="142">
        <f>ROUND($E$22*Data!W56*B113, 0)</f>
        <v>6371546</v>
      </c>
      <c r="F113" s="143">
        <f>IF(E113=0, 0,IF($E$31="Yes", IF(Data!D56=1, MAX(Duplicate!D113+Duplicate!E113, Data!AE56), Duplicate!D113+Duplicate!E113), Duplicate!D113+Duplicate!E113))</f>
        <v>6371546</v>
      </c>
      <c r="G113" s="143">
        <v>6235005</v>
      </c>
      <c r="H113" s="129">
        <f>F113-Data!AL56</f>
        <v>-531229</v>
      </c>
      <c r="I113" s="127">
        <f>((F113)/(Data!AL56)) - 1</f>
        <v>-7.6958759339540994E-2</v>
      </c>
      <c r="J113" s="127">
        <f t="shared" si="5"/>
        <v>2.1899100321491227E-2</v>
      </c>
      <c r="K113" s="143">
        <f>ROUND(IF($E$31="Yes",IF(Data!AG56&gt;0,(Duplicate!$K$23*Data!AG56)+Data!AI56,(Duplicate!$K$24*Data!AG56)+Data!AI56),IF(Data!AF56&gt;0,(Duplicate!$K$23*Data!AF56)+Data!AI56,(Duplicate!$K$24*Data!AF56)+Data!AI56)),0)</f>
        <v>7031896</v>
      </c>
      <c r="L113" s="143">
        <f>ROUND(IF($E$31="Yes",IF(Data!$AG56&gt;0,(Duplicate!$L$23*Data!$AG56)+K113,(Duplicate!$L$24*Data!$AG56)+K113),IF(Data!$AF56&gt;0,(Duplicate!$L$23*Data!$AF56)+K113,(Duplicate!$L$24*Data!$AF56)+K113)),0)</f>
        <v>6934648</v>
      </c>
      <c r="M113" s="143">
        <f>ROUND(IF($E$31="Yes",IF(Data!$AG56&gt;0,(Duplicate!$M$23*Data!$AG56)+L113,(Duplicate!$M$24*Data!$AG56)+L113),IF(Data!$AF56&gt;0,(Duplicate!$M$23*Data!$AF56)+L113,(Duplicate!$M$24*Data!$AF56)+L113)),0)</f>
        <v>6837400</v>
      </c>
      <c r="N113" s="143">
        <f>ROUND(IF($E$31="Yes",IF(Data!$AG56&gt;0,(Duplicate!$N$23*Data!$AG56)+M113,(Duplicate!$N$24*Data!$AG56)+M113),IF(Data!$AF56&gt;0,(Duplicate!$N$23*Data!$AF56)+M113,(Duplicate!$N$24*Data!$AF56)+M113)),0)</f>
        <v>6740152</v>
      </c>
      <c r="O113" s="143">
        <f>ROUND(IF($E$31="Yes",IF(Data!$AG56&gt;0,(Duplicate!$O$23*Data!$AG56)+N113,(Duplicate!$O$24*Data!$AG56)+N113),IF(Data!$AF56&gt;0,(Duplicate!$O$23*Data!$AF56)+N113,(Duplicate!$O$24*Data!$AF56)+N113)),0)</f>
        <v>6642904</v>
      </c>
      <c r="P113" s="143">
        <f>ROUND(IF($E$31="Yes",IF(Data!$AG56&gt;0,(Duplicate!$P$23*Data!$AG56)+O113,(Duplicate!$P$24*Data!$AG56)+O113),IF(Data!$AF56&gt;0,(Duplicate!$P$23*Data!$AF56)+O113,(Duplicate!$P$24*Data!$AF56)+O113)),0)</f>
        <v>6545656</v>
      </c>
      <c r="Q113" s="143">
        <f>ROUND(IF($E$31="Yes",IF(Data!$AG56&gt;0,(Duplicate!$Q$23*Data!$AG56)+P113,(Duplicate!$Q$24*Data!$AG56)+P113),IF(Data!$AF56&gt;0,(Duplicate!$Q$23*Data!$AF56)+P113,(Duplicate!$Q$24*Data!$AF56)+P113)),0)</f>
        <v>6448408</v>
      </c>
      <c r="R113" s="143">
        <f>ROUND(IF($E$31="Yes",IF(Data!$AG56&gt;0,(Duplicate!$R$23*Data!$AG56)+Q113,(Duplicate!$R$24*Data!$AG56)+Q113),IF(Data!$AF56&gt;0,(Duplicate!$R$23*Data!$AF56)+Q113,(Duplicate!$R$24*Data!$AF56)+Q113)),0)</f>
        <v>6351160</v>
      </c>
      <c r="S113" s="143">
        <f>ROUND(IF($E$31="Yes",IF(Data!$AG56&gt;0,(Duplicate!$S$23*Data!$AG56)+R113,(Duplicate!$S$24*Data!$AG56)+R113),IF(Data!$AF56&gt;0,(Duplicate!$S$23*Data!$AF56)+R113,(Duplicate!$S$24*Data!$AF56)+R113)),0)</f>
        <v>6253912</v>
      </c>
      <c r="T113" s="143">
        <v>7020522</v>
      </c>
      <c r="U113" s="143">
        <v>6911900</v>
      </c>
      <c r="V113" s="143">
        <v>6803278</v>
      </c>
      <c r="W113" s="143">
        <v>6694656</v>
      </c>
      <c r="X113" s="143">
        <v>6586034</v>
      </c>
      <c r="Y113" s="143">
        <v>6477412</v>
      </c>
      <c r="Z113" s="143">
        <v>6368790</v>
      </c>
      <c r="AA113" s="143">
        <v>6260168</v>
      </c>
      <c r="AB113" s="143">
        <v>6151546</v>
      </c>
      <c r="AC113" s="129">
        <f t="shared" si="24"/>
        <v>11374</v>
      </c>
      <c r="AD113" s="129">
        <f t="shared" si="25"/>
        <v>22748</v>
      </c>
      <c r="AE113" s="129">
        <f t="shared" si="26"/>
        <v>34122</v>
      </c>
      <c r="AF113" s="129">
        <f t="shared" si="27"/>
        <v>45496</v>
      </c>
      <c r="AG113" s="129">
        <f t="shared" si="28"/>
        <v>56870</v>
      </c>
      <c r="AH113" s="129">
        <f t="shared" si="29"/>
        <v>68244</v>
      </c>
      <c r="AI113" s="129">
        <f t="shared" si="30"/>
        <v>79618</v>
      </c>
      <c r="AJ113" s="129">
        <f t="shared" si="31"/>
        <v>90992</v>
      </c>
      <c r="AK113" s="129">
        <f t="shared" si="32"/>
        <v>102366</v>
      </c>
      <c r="AL113" s="127">
        <f t="shared" si="33"/>
        <v>1.620107450699626E-3</v>
      </c>
      <c r="AM113" s="127">
        <f t="shared" si="34"/>
        <v>3.2911355777716089E-3</v>
      </c>
      <c r="AN113" s="127">
        <f t="shared" si="35"/>
        <v>5.0155233991613368E-3</v>
      </c>
      <c r="AO113" s="127">
        <f t="shared" si="36"/>
        <v>6.7958682268365322E-3</v>
      </c>
      <c r="AP113" s="127">
        <f t="shared" si="37"/>
        <v>8.634938720328611E-3</v>
      </c>
      <c r="AQ113" s="127">
        <f t="shared" si="38"/>
        <v>1.0535689253670988E-2</v>
      </c>
      <c r="AR113" s="127">
        <f t="shared" si="39"/>
        <v>1.25012757525369E-2</v>
      </c>
      <c r="AS113" s="127">
        <f t="shared" si="40"/>
        <v>1.4535073180144575E-2</v>
      </c>
      <c r="AT113" s="127">
        <f t="shared" si="41"/>
        <v>1.6640694875727169E-2</v>
      </c>
    </row>
    <row r="114" spans="1:46" s="18" customFormat="1" ht="13" x14ac:dyDescent="0.15">
      <c r="A114" s="29" t="s">
        <v>55</v>
      </c>
      <c r="B114" s="30">
        <f>IF(Data!D57=1, MAX(Data!AA57, $E$26) + INDEX(Duplicate!$E$39:$E$43, MATCH( Data!AD57, Duplicate!$B$39:$B$43, 0), 0), MAX(Data!AA57, $E$27) +  INDEX(Duplicate!$E$39:$E$43, MATCH( Data!AD57, Duplicate!$B$39:$B$43, 0), 0))</f>
        <v>0.61225300000000005</v>
      </c>
      <c r="C114" s="128">
        <f>ROUND(Data!R57/13*100, 2)</f>
        <v>0</v>
      </c>
      <c r="D114" s="141">
        <f>ROUND(Data!Q57*C114, 0)</f>
        <v>0</v>
      </c>
      <c r="E114" s="142">
        <f>ROUND($E$22*Data!W57*B114, 0)</f>
        <v>69473812</v>
      </c>
      <c r="F114" s="143">
        <f>IF(E114=0, 0,IF($E$31="Yes", IF(Data!D57=1, MAX(Duplicate!D114+Duplicate!E114, Data!AE57), Duplicate!D114+Duplicate!E114), Duplicate!D114+Duplicate!E114))</f>
        <v>69473812</v>
      </c>
      <c r="G114" s="143">
        <v>69698200</v>
      </c>
      <c r="H114" s="129">
        <f>F114-Data!AL57</f>
        <v>15086800</v>
      </c>
      <c r="I114" s="127">
        <f>((F114)/(Data!AL57)) - 1</f>
        <v>0.27739711091317165</v>
      </c>
      <c r="J114" s="127">
        <f t="shared" si="5"/>
        <v>-3.2194231701823117E-3</v>
      </c>
      <c r="K114" s="143">
        <f>ROUND(IF($E$31="Yes",IF(Data!AG57&gt;0,(Duplicate!$K$23*Data!AG57)+Data!AI57,(Duplicate!$K$24*Data!AG57)+Data!AI57),IF(Data!AF57&gt;0,(Duplicate!$K$23*Data!AF57)+Data!AI57,(Duplicate!$K$24*Data!AF57)+Data!AI57)),0)</f>
        <v>52160173</v>
      </c>
      <c r="L114" s="143">
        <f>ROUND(IF($E$31="Yes",IF(Data!$AG57&gt;0,(Duplicate!$L$23*Data!$AG57)+K114,(Duplicate!$L$24*Data!$AG57)+K114),IF(Data!$AF57&gt;0,(Duplicate!$L$23*Data!$AF57)+K114,(Duplicate!$L$24*Data!$AF57)+K114)),0)</f>
        <v>54334670</v>
      </c>
      <c r="M114" s="143">
        <f>ROUND(IF($E$31="Yes",IF(Data!$AG57&gt;0,(Duplicate!$M$23*Data!$AG57)+L114,(Duplicate!$M$24*Data!$AG57)+L114),IF(Data!$AF57&gt;0,(Duplicate!$M$23*Data!$AF57)+L114,(Duplicate!$M$24*Data!$AF57)+L114)),0)</f>
        <v>56509167</v>
      </c>
      <c r="N114" s="143">
        <f>ROUND(IF($E$31="Yes",IF(Data!$AG57&gt;0,(Duplicate!$N$23*Data!$AG57)+M114,(Duplicate!$N$24*Data!$AG57)+M114),IF(Data!$AF57&gt;0,(Duplicate!$N$23*Data!$AF57)+M114,(Duplicate!$N$24*Data!$AF57)+M114)),0)</f>
        <v>58683664</v>
      </c>
      <c r="O114" s="143">
        <f>ROUND(IF($E$31="Yes",IF(Data!$AG57&gt;0,(Duplicate!$O$23*Data!$AG57)+N114,(Duplicate!$O$24*Data!$AG57)+N114),IF(Data!$AF57&gt;0,(Duplicate!$O$23*Data!$AF57)+N114,(Duplicate!$O$24*Data!$AF57)+N114)),0)</f>
        <v>60858161</v>
      </c>
      <c r="P114" s="143">
        <f>ROUND(IF($E$31="Yes",IF(Data!$AG57&gt;0,(Duplicate!$P$23*Data!$AG57)+O114,(Duplicate!$P$24*Data!$AG57)+O114),IF(Data!$AF57&gt;0,(Duplicate!$P$23*Data!$AF57)+O114,(Duplicate!$P$24*Data!$AF57)+O114)),0)</f>
        <v>63032658</v>
      </c>
      <c r="Q114" s="143">
        <f>ROUND(IF($E$31="Yes",IF(Data!$AG57&gt;0,(Duplicate!$Q$23*Data!$AG57)+P114,(Duplicate!$Q$24*Data!$AG57)+P114),IF(Data!$AF57&gt;0,(Duplicate!$Q$23*Data!$AF57)+P114,(Duplicate!$Q$24*Data!$AF57)+P114)),0)</f>
        <v>65207155</v>
      </c>
      <c r="R114" s="143">
        <f>ROUND(IF($E$31="Yes",IF(Data!$AG57&gt;0,(Duplicate!$R$23*Data!$AG57)+Q114,(Duplicate!$R$24*Data!$AG57)+Q114),IF(Data!$AF57&gt;0,(Duplicate!$R$23*Data!$AF57)+Q114,(Duplicate!$R$24*Data!$AF57)+Q114)),0)</f>
        <v>67381652</v>
      </c>
      <c r="S114" s="143">
        <f>ROUND(IF($E$31="Yes",IF(Data!$AG57&gt;0,(Duplicate!$S$23*Data!$AG57)+R114,(Duplicate!$S$24*Data!$AG57)+R114),IF(Data!$AF57&gt;0,(Duplicate!$S$23*Data!$AF57)+R114,(Duplicate!$S$24*Data!$AF57)+R114)),0)</f>
        <v>69556149</v>
      </c>
      <c r="T114" s="143">
        <v>52184093</v>
      </c>
      <c r="U114" s="143">
        <v>54382509</v>
      </c>
      <c r="V114" s="143">
        <v>56580925</v>
      </c>
      <c r="W114" s="143">
        <v>58779341</v>
      </c>
      <c r="X114" s="143">
        <v>60977757</v>
      </c>
      <c r="Y114" s="143">
        <v>63176173</v>
      </c>
      <c r="Z114" s="143">
        <v>65374589</v>
      </c>
      <c r="AA114" s="143">
        <v>67573005</v>
      </c>
      <c r="AB114" s="143">
        <v>69771421</v>
      </c>
      <c r="AC114" s="129">
        <f t="shared" si="24"/>
        <v>-23920</v>
      </c>
      <c r="AD114" s="129">
        <f t="shared" si="25"/>
        <v>-47839</v>
      </c>
      <c r="AE114" s="129">
        <f t="shared" si="26"/>
        <v>-71758</v>
      </c>
      <c r="AF114" s="129">
        <f t="shared" si="27"/>
        <v>-95677</v>
      </c>
      <c r="AG114" s="129">
        <f t="shared" si="28"/>
        <v>-119596</v>
      </c>
      <c r="AH114" s="129">
        <f t="shared" si="29"/>
        <v>-143515</v>
      </c>
      <c r="AI114" s="129">
        <f t="shared" si="30"/>
        <v>-167434</v>
      </c>
      <c r="AJ114" s="129">
        <f t="shared" si="31"/>
        <v>-191353</v>
      </c>
      <c r="AK114" s="129">
        <f t="shared" si="32"/>
        <v>-215272</v>
      </c>
      <c r="AL114" s="127">
        <f t="shared" si="33"/>
        <v>-4.5837723001140862E-4</v>
      </c>
      <c r="AM114" s="127">
        <f t="shared" si="34"/>
        <v>-8.7967622089668573E-4</v>
      </c>
      <c r="AN114" s="127">
        <f t="shared" si="35"/>
        <v>-1.268236600939221E-3</v>
      </c>
      <c r="AO114" s="127">
        <f t="shared" si="36"/>
        <v>-1.6277317569790561E-3</v>
      </c>
      <c r="AP114" s="127">
        <f t="shared" si="37"/>
        <v>-1.9613053330249652E-3</v>
      </c>
      <c r="AQ114" s="127">
        <f t="shared" si="38"/>
        <v>-2.2716634006938463E-3</v>
      </c>
      <c r="AR114" s="127">
        <f t="shared" si="39"/>
        <v>-2.5611480326094282E-3</v>
      </c>
      <c r="AS114" s="127">
        <f t="shared" si="40"/>
        <v>-2.8317965140073342E-3</v>
      </c>
      <c r="AT114" s="127">
        <f t="shared" si="41"/>
        <v>-3.0853893602080795E-3</v>
      </c>
    </row>
    <row r="115" spans="1:46" s="18" customFormat="1" ht="13" x14ac:dyDescent="0.15">
      <c r="A115" s="29" t="s">
        <v>56</v>
      </c>
      <c r="B115" s="30">
        <f>IF(Data!D58=1, MAX(Data!AA58, $E$26) + INDEX(Duplicate!$E$39:$E$43, MATCH( Data!AD58, Duplicate!$B$39:$B$43, 0), 0), MAX(Data!AA58, $E$27) +  INDEX(Duplicate!$E$39:$E$43, MATCH( Data!AD58, Duplicate!$B$39:$B$43, 0), 0))</f>
        <v>0.47099999999999997</v>
      </c>
      <c r="C115" s="128">
        <f>ROUND(Data!R58/13*100, 2)</f>
        <v>0</v>
      </c>
      <c r="D115" s="141">
        <f>ROUND(Data!Q58*C115, 0)</f>
        <v>0</v>
      </c>
      <c r="E115" s="142">
        <f>ROUND($E$22*Data!W58*B115, 0)</f>
        <v>20006287</v>
      </c>
      <c r="F115" s="143">
        <f>IF(E115=0, 0,IF($E$31="Yes", IF(Data!D58=1, MAX(Duplicate!D115+Duplicate!E115, Data!AE58), Duplicate!D115+Duplicate!E115), Duplicate!D115+Duplicate!E115))</f>
        <v>20006287</v>
      </c>
      <c r="G115" s="143">
        <v>20747196</v>
      </c>
      <c r="H115" s="129">
        <f>F115-Data!AL58</f>
        <v>180884</v>
      </c>
      <c r="I115" s="127">
        <f>((F115)/(Data!AL58)) - 1</f>
        <v>9.1238498405303847E-3</v>
      </c>
      <c r="J115" s="127">
        <f t="shared" si="5"/>
        <v>-3.5711283587430365E-2</v>
      </c>
      <c r="K115" s="143">
        <f>ROUND(IF($E$31="Yes",IF(Data!AG58&gt;0,(Duplicate!$K$23*Data!AG58)+Data!AI58,(Duplicate!$K$24*Data!AG58)+Data!AI58),IF(Data!AF58&gt;0,(Duplicate!$K$23*Data!AF58)+Data!AI58,(Duplicate!$K$24*Data!AF58)+Data!AI58)),0)</f>
        <v>19673636</v>
      </c>
      <c r="L115" s="143">
        <f>ROUND(IF($E$31="Yes",IF(Data!$AG58&gt;0,(Duplicate!$L$23*Data!$AG58)+K115,(Duplicate!$L$24*Data!$AG58)+K115),IF(Data!$AF58&gt;0,(Duplicate!$L$23*Data!$AF58)+K115,(Duplicate!$L$24*Data!$AF58)+K115)),0)</f>
        <v>19717435</v>
      </c>
      <c r="M115" s="143">
        <f>ROUND(IF($E$31="Yes",IF(Data!$AG58&gt;0,(Duplicate!$M$23*Data!$AG58)+L115,(Duplicate!$M$24*Data!$AG58)+L115),IF(Data!$AF58&gt;0,(Duplicate!$M$23*Data!$AF58)+L115,(Duplicate!$M$24*Data!$AF58)+L115)),0)</f>
        <v>19761234</v>
      </c>
      <c r="N115" s="143">
        <f>ROUND(IF($E$31="Yes",IF(Data!$AG58&gt;0,(Duplicate!$N$23*Data!$AG58)+M115,(Duplicate!$N$24*Data!$AG58)+M115),IF(Data!$AF58&gt;0,(Duplicate!$N$23*Data!$AF58)+M115,(Duplicate!$N$24*Data!$AF58)+M115)),0)</f>
        <v>19805033</v>
      </c>
      <c r="O115" s="143">
        <f>ROUND(IF($E$31="Yes",IF(Data!$AG58&gt;0,(Duplicate!$O$23*Data!$AG58)+N115,(Duplicate!$O$24*Data!$AG58)+N115),IF(Data!$AF58&gt;0,(Duplicate!$O$23*Data!$AF58)+N115,(Duplicate!$O$24*Data!$AF58)+N115)),0)</f>
        <v>19848832</v>
      </c>
      <c r="P115" s="143">
        <f>ROUND(IF($E$31="Yes",IF(Data!$AG58&gt;0,(Duplicate!$P$23*Data!$AG58)+O115,(Duplicate!$P$24*Data!$AG58)+O115),IF(Data!$AF58&gt;0,(Duplicate!$P$23*Data!$AF58)+O115,(Duplicate!$P$24*Data!$AF58)+O115)),0)</f>
        <v>19892631</v>
      </c>
      <c r="Q115" s="143">
        <f>ROUND(IF($E$31="Yes",IF(Data!$AG58&gt;0,(Duplicate!$Q$23*Data!$AG58)+P115,(Duplicate!$Q$24*Data!$AG58)+P115),IF(Data!$AF58&gt;0,(Duplicate!$Q$23*Data!$AF58)+P115,(Duplicate!$Q$24*Data!$AF58)+P115)),0)</f>
        <v>19936430</v>
      </c>
      <c r="R115" s="143">
        <f>ROUND(IF($E$31="Yes",IF(Data!$AG58&gt;0,(Duplicate!$R$23*Data!$AG58)+Q115,(Duplicate!$R$24*Data!$AG58)+Q115),IF(Data!$AF58&gt;0,(Duplicate!$R$23*Data!$AF58)+Q115,(Duplicate!$R$24*Data!$AF58)+Q115)),0)</f>
        <v>19980229</v>
      </c>
      <c r="S115" s="143">
        <f>ROUND(IF($E$31="Yes",IF(Data!$AG58&gt;0,(Duplicate!$S$23*Data!$AG58)+R115,(Duplicate!$S$24*Data!$AG58)+R115),IF(Data!$AF58&gt;0,(Duplicate!$S$23*Data!$AF58)+R115,(Duplicate!$S$24*Data!$AF58)+R115)),0)</f>
        <v>20024028</v>
      </c>
      <c r="T115" s="143">
        <v>19752617</v>
      </c>
      <c r="U115" s="143">
        <v>19875397</v>
      </c>
      <c r="V115" s="143">
        <v>19998177</v>
      </c>
      <c r="W115" s="143">
        <v>20120957</v>
      </c>
      <c r="X115" s="143">
        <v>20243737</v>
      </c>
      <c r="Y115" s="143">
        <v>20366517</v>
      </c>
      <c r="Z115" s="143">
        <v>20489297</v>
      </c>
      <c r="AA115" s="143">
        <v>20612077</v>
      </c>
      <c r="AB115" s="143">
        <v>20734857</v>
      </c>
      <c r="AC115" s="129">
        <f t="shared" si="24"/>
        <v>-78981</v>
      </c>
      <c r="AD115" s="129">
        <f t="shared" si="25"/>
        <v>-157962</v>
      </c>
      <c r="AE115" s="129">
        <f t="shared" si="26"/>
        <v>-236943</v>
      </c>
      <c r="AF115" s="129">
        <f t="shared" si="27"/>
        <v>-315924</v>
      </c>
      <c r="AG115" s="129">
        <f t="shared" si="28"/>
        <v>-394905</v>
      </c>
      <c r="AH115" s="129">
        <f t="shared" si="29"/>
        <v>-473886</v>
      </c>
      <c r="AI115" s="129">
        <f t="shared" si="30"/>
        <v>-552867</v>
      </c>
      <c r="AJ115" s="129">
        <f t="shared" si="31"/>
        <v>-631848</v>
      </c>
      <c r="AK115" s="129">
        <f t="shared" si="32"/>
        <v>-710829</v>
      </c>
      <c r="AL115" s="127">
        <f t="shared" si="33"/>
        <v>-3.9985081470470529E-3</v>
      </c>
      <c r="AM115" s="127">
        <f t="shared" si="34"/>
        <v>-7.9476148325490215E-3</v>
      </c>
      <c r="AN115" s="127">
        <f t="shared" si="35"/>
        <v>-1.1848229966161417E-2</v>
      </c>
      <c r="AO115" s="127">
        <f t="shared" si="36"/>
        <v>-1.5701241248117559E-2</v>
      </c>
      <c r="AP115" s="127">
        <f t="shared" si="37"/>
        <v>-1.9507514842738716E-2</v>
      </c>
      <c r="AQ115" s="127">
        <f t="shared" si="38"/>
        <v>-2.3267896027582946E-2</v>
      </c>
      <c r="AR115" s="127">
        <f t="shared" si="39"/>
        <v>-2.6983209819253395E-2</v>
      </c>
      <c r="AS115" s="127">
        <f t="shared" si="40"/>
        <v>-3.065426157684159E-2</v>
      </c>
      <c r="AT115" s="127">
        <f t="shared" si="41"/>
        <v>-3.4281837583929331E-2</v>
      </c>
    </row>
    <row r="116" spans="1:46" s="18" customFormat="1" ht="13" x14ac:dyDescent="0.15">
      <c r="A116" s="29" t="s">
        <v>57</v>
      </c>
      <c r="B116" s="30">
        <f>IF(Data!D59=1, MAX(Data!AA59, $E$26) + INDEX(Duplicate!$E$39:$E$43, MATCH( Data!AD59, Duplicate!$B$39:$B$43, 0), 0), MAX(Data!AA59, $E$27) +  INDEX(Duplicate!$E$39:$E$43, MATCH( Data!AD59, Duplicate!$B$39:$B$43, 0), 0))</f>
        <v>0.140601</v>
      </c>
      <c r="C116" s="128">
        <f>ROUND(Data!R59/13*100, 2)</f>
        <v>0</v>
      </c>
      <c r="D116" s="141">
        <f>ROUND(Data!Q59*C116, 0)</f>
        <v>0</v>
      </c>
      <c r="E116" s="142">
        <f>ROUND($E$22*Data!W59*B116, 0)</f>
        <v>4293596</v>
      </c>
      <c r="F116" s="143">
        <f>IF(E116=0, 0,IF($E$31="Yes", IF(Data!D59=1, MAX(Duplicate!D116+Duplicate!E116, Data!AE59), Duplicate!D116+Duplicate!E116), Duplicate!D116+Duplicate!E116))</f>
        <v>4293596</v>
      </c>
      <c r="G116" s="143">
        <v>4666037</v>
      </c>
      <c r="H116" s="129">
        <f>F116-Data!AL59</f>
        <v>-1782911</v>
      </c>
      <c r="I116" s="127">
        <f>((F116)/(Data!AL59)) - 1</f>
        <v>-0.29341050705610972</v>
      </c>
      <c r="J116" s="127">
        <f t="shared" si="5"/>
        <v>-7.9819555652901997E-2</v>
      </c>
      <c r="K116" s="143">
        <f>ROUND(IF($E$31="Yes",IF(Data!AG59&gt;0,(Duplicate!$K$23*Data!AG59)+Data!AI59,(Duplicate!$K$24*Data!AG59)+Data!AI59),IF(Data!AF59&gt;0,(Duplicate!$K$23*Data!AF59)+Data!AI59,(Duplicate!$K$24*Data!AF59)+Data!AI59)),0)</f>
        <v>6230484</v>
      </c>
      <c r="L116" s="143">
        <f>ROUND(IF($E$31="Yes",IF(Data!$AG59&gt;0,(Duplicate!$L$23*Data!$AG59)+K116,(Duplicate!$L$24*Data!$AG59)+K116),IF(Data!$AF59&gt;0,(Duplicate!$L$23*Data!$AF59)+K116,(Duplicate!$L$24*Data!$AF59)+K116)),0)</f>
        <v>6011833</v>
      </c>
      <c r="M116" s="143">
        <f>ROUND(IF($E$31="Yes",IF(Data!$AG59&gt;0,(Duplicate!$M$23*Data!$AG59)+L116,(Duplicate!$M$24*Data!$AG59)+L116),IF(Data!$AF59&gt;0,(Duplicate!$M$23*Data!$AF59)+L116,(Duplicate!$M$24*Data!$AF59)+L116)),0)</f>
        <v>5793182</v>
      </c>
      <c r="N116" s="143">
        <f>ROUND(IF($E$31="Yes",IF(Data!$AG59&gt;0,(Duplicate!$N$23*Data!$AG59)+M116,(Duplicate!$N$24*Data!$AG59)+M116),IF(Data!$AF59&gt;0,(Duplicate!$N$23*Data!$AF59)+M116,(Duplicate!$N$24*Data!$AF59)+M116)),0)</f>
        <v>5574531</v>
      </c>
      <c r="O116" s="143">
        <f>ROUND(IF($E$31="Yes",IF(Data!$AG59&gt;0,(Duplicate!$O$23*Data!$AG59)+N116,(Duplicate!$O$24*Data!$AG59)+N116),IF(Data!$AF59&gt;0,(Duplicate!$O$23*Data!$AF59)+N116,(Duplicate!$O$24*Data!$AF59)+N116)),0)</f>
        <v>5355880</v>
      </c>
      <c r="P116" s="143">
        <f>ROUND(IF($E$31="Yes",IF(Data!$AG59&gt;0,(Duplicate!$P$23*Data!$AG59)+O116,(Duplicate!$P$24*Data!$AG59)+O116),IF(Data!$AF59&gt;0,(Duplicate!$P$23*Data!$AF59)+O116,(Duplicate!$P$24*Data!$AF59)+O116)),0)</f>
        <v>5137229</v>
      </c>
      <c r="Q116" s="143">
        <f>ROUND(IF($E$31="Yes",IF(Data!$AG59&gt;0,(Duplicate!$Q$23*Data!$AG59)+P116,(Duplicate!$Q$24*Data!$AG59)+P116),IF(Data!$AF59&gt;0,(Duplicate!$Q$23*Data!$AF59)+P116,(Duplicate!$Q$24*Data!$AF59)+P116)),0)</f>
        <v>4918578</v>
      </c>
      <c r="R116" s="143">
        <f>ROUND(IF($E$31="Yes",IF(Data!$AG59&gt;0,(Duplicate!$R$23*Data!$AG59)+Q116,(Duplicate!$R$24*Data!$AG59)+Q116),IF(Data!$AF59&gt;0,(Duplicate!$R$23*Data!$AF59)+Q116,(Duplicate!$R$24*Data!$AF59)+Q116)),0)</f>
        <v>4699927</v>
      </c>
      <c r="S116" s="143">
        <f>ROUND(IF($E$31="Yes",IF(Data!$AG59&gt;0,(Duplicate!$S$23*Data!$AG59)+R116,(Duplicate!$S$24*Data!$AG59)+R116),IF(Data!$AF59&gt;0,(Duplicate!$S$23*Data!$AF59)+R116,(Duplicate!$S$24*Data!$AF59)+R116)),0)</f>
        <v>4481276</v>
      </c>
      <c r="T116" s="143">
        <v>6261508</v>
      </c>
      <c r="U116" s="143">
        <v>6073881</v>
      </c>
      <c r="V116" s="143">
        <v>5886254</v>
      </c>
      <c r="W116" s="143">
        <v>5698627</v>
      </c>
      <c r="X116" s="143">
        <v>5511000</v>
      </c>
      <c r="Y116" s="143">
        <v>5323373</v>
      </c>
      <c r="Z116" s="143">
        <v>5135746</v>
      </c>
      <c r="AA116" s="143">
        <v>4948119</v>
      </c>
      <c r="AB116" s="143">
        <v>4760492</v>
      </c>
      <c r="AC116" s="129">
        <f t="shared" si="24"/>
        <v>-31024</v>
      </c>
      <c r="AD116" s="129">
        <f t="shared" si="25"/>
        <v>-62048</v>
      </c>
      <c r="AE116" s="129">
        <f t="shared" si="26"/>
        <v>-93072</v>
      </c>
      <c r="AF116" s="129">
        <f t="shared" si="27"/>
        <v>-124096</v>
      </c>
      <c r="AG116" s="129">
        <f t="shared" si="28"/>
        <v>-155120</v>
      </c>
      <c r="AH116" s="129">
        <f t="shared" si="29"/>
        <v>-186144</v>
      </c>
      <c r="AI116" s="129">
        <f t="shared" si="30"/>
        <v>-217168</v>
      </c>
      <c r="AJ116" s="129">
        <f t="shared" si="31"/>
        <v>-248192</v>
      </c>
      <c r="AK116" s="129">
        <f t="shared" si="32"/>
        <v>-279216</v>
      </c>
      <c r="AL116" s="127">
        <f t="shared" si="33"/>
        <v>-4.9547169787214074E-3</v>
      </c>
      <c r="AM116" s="127">
        <f t="shared" si="34"/>
        <v>-1.0215544229463802E-2</v>
      </c>
      <c r="AN116" s="127">
        <f t="shared" si="35"/>
        <v>-1.581175396100809E-2</v>
      </c>
      <c r="AO116" s="127">
        <f t="shared" si="36"/>
        <v>-2.1776473525991435E-2</v>
      </c>
      <c r="AP116" s="127">
        <f t="shared" si="37"/>
        <v>-2.8147341680275773E-2</v>
      </c>
      <c r="AQ116" s="127">
        <f t="shared" si="38"/>
        <v>-3.4967303624976132E-2</v>
      </c>
      <c r="AR116" s="127">
        <f t="shared" si="39"/>
        <v>-4.2285580322702909E-2</v>
      </c>
      <c r="AS116" s="127">
        <f t="shared" si="40"/>
        <v>-5.0158858345969448E-2</v>
      </c>
      <c r="AT116" s="127">
        <f t="shared" si="41"/>
        <v>-5.8652761101163464E-2</v>
      </c>
    </row>
    <row r="117" spans="1:46" s="18" customFormat="1" ht="13" x14ac:dyDescent="0.15">
      <c r="A117" s="29" t="s">
        <v>58</v>
      </c>
      <c r="B117" s="30">
        <f>IF(Data!D60=1, MAX(Data!AA60, $E$26) + INDEX(Duplicate!$E$39:$E$43, MATCH( Data!AD60, Duplicate!$B$39:$B$43, 0), 0), MAX(Data!AA60, $E$27) +  INDEX(Duplicate!$E$39:$E$43, MATCH( Data!AD60, Duplicate!$B$39:$B$43, 0), 0))</f>
        <v>0.01</v>
      </c>
      <c r="C117" s="128">
        <f>ROUND(Data!R60/13*100, 2)</f>
        <v>30.77</v>
      </c>
      <c r="D117" s="141">
        <f>ROUND(Data!Q60*C117, 0)</f>
        <v>12739</v>
      </c>
      <c r="E117" s="142">
        <f>ROUND($E$22*Data!W60*B117, 0)</f>
        <v>148942</v>
      </c>
      <c r="F117" s="143">
        <f>IF(E117=0, 0,IF($E$31="Yes", IF(Data!D60=1, MAX(Duplicate!D117+Duplicate!E117, Data!AE60), Duplicate!D117+Duplicate!E117), Duplicate!D117+Duplicate!E117))</f>
        <v>161681</v>
      </c>
      <c r="G117" s="143">
        <v>161172</v>
      </c>
      <c r="H117" s="129">
        <f>F117-Data!AL60</f>
        <v>-10399</v>
      </c>
      <c r="I117" s="127">
        <f>((F117)/(Data!AL60)) - 1</f>
        <v>-6.0431194793119425E-2</v>
      </c>
      <c r="J117" s="127">
        <f t="shared" si="5"/>
        <v>3.1581167944805255E-3</v>
      </c>
      <c r="K117" s="143">
        <f>ROUND(IF($E$31="Yes",IF(Data!AG60&gt;0,(Duplicate!$K$23*Data!AG60)+Data!AI60,(Duplicate!$K$24*Data!AG60)+Data!AI60),IF(Data!AF60&gt;0,(Duplicate!$K$23*Data!AF60)+Data!AI60,(Duplicate!$K$24*Data!AF60)+Data!AI60)),0)</f>
        <v>189148</v>
      </c>
      <c r="L117" s="143">
        <f>ROUND(IF($E$31="Yes",IF(Data!$AG60&gt;0,(Duplicate!$L$23*Data!$AG60)+K117,(Duplicate!$L$24*Data!$AG60)+K117),IF(Data!$AF60&gt;0,(Duplicate!$L$23*Data!$AF60)+K117,(Duplicate!$L$24*Data!$AF60)+K117)),0)</f>
        <v>203713</v>
      </c>
      <c r="M117" s="143">
        <f>ROUND(IF($E$31="Yes",IF(Data!$AG60&gt;0,(Duplicate!$M$23*Data!$AG60)+L117,(Duplicate!$M$24*Data!$AG60)+L117),IF(Data!$AF60&gt;0,(Duplicate!$M$23*Data!$AF60)+L117,(Duplicate!$M$24*Data!$AF60)+L117)),0)</f>
        <v>218278</v>
      </c>
      <c r="N117" s="143">
        <f>ROUND(IF($E$31="Yes",IF(Data!$AG60&gt;0,(Duplicate!$N$23*Data!$AG60)+M117,(Duplicate!$N$24*Data!$AG60)+M117),IF(Data!$AF60&gt;0,(Duplicate!$N$23*Data!$AF60)+M117,(Duplicate!$N$24*Data!$AF60)+M117)),0)</f>
        <v>232843</v>
      </c>
      <c r="O117" s="143">
        <f>ROUND(IF($E$31="Yes",IF(Data!$AG60&gt;0,(Duplicate!$O$23*Data!$AG60)+N117,(Duplicate!$O$24*Data!$AG60)+N117),IF(Data!$AF60&gt;0,(Duplicate!$O$23*Data!$AF60)+N117,(Duplicate!$O$24*Data!$AF60)+N117)),0)</f>
        <v>247408</v>
      </c>
      <c r="P117" s="143">
        <f>ROUND(IF($E$31="Yes",IF(Data!$AG60&gt;0,(Duplicate!$P$23*Data!$AG60)+O117,(Duplicate!$P$24*Data!$AG60)+O117),IF(Data!$AF60&gt;0,(Duplicate!$P$23*Data!$AF60)+O117,(Duplicate!$P$24*Data!$AF60)+O117)),0)</f>
        <v>261973</v>
      </c>
      <c r="Q117" s="143">
        <f>ROUND(IF($E$31="Yes",IF(Data!$AG60&gt;0,(Duplicate!$Q$23*Data!$AG60)+P117,(Duplicate!$Q$24*Data!$AG60)+P117),IF(Data!$AF60&gt;0,(Duplicate!$Q$23*Data!$AF60)+P117,(Duplicate!$Q$24*Data!$AF60)+P117)),0)</f>
        <v>276538</v>
      </c>
      <c r="R117" s="143">
        <f>ROUND(IF($E$31="Yes",IF(Data!$AG60&gt;0,(Duplicate!$R$23*Data!$AG60)+Q117,(Duplicate!$R$24*Data!$AG60)+Q117),IF(Data!$AF60&gt;0,(Duplicate!$R$23*Data!$AF60)+Q117,(Duplicate!$R$24*Data!$AF60)+Q117)),0)</f>
        <v>291103</v>
      </c>
      <c r="S117" s="143">
        <f>ROUND(IF($E$31="Yes",IF(Data!$AG60&gt;0,(Duplicate!$S$23*Data!$AG60)+R117,(Duplicate!$S$24*Data!$AG60)+R117),IF(Data!$AF60&gt;0,(Duplicate!$S$23*Data!$AF60)+R117,(Duplicate!$S$24*Data!$AF60)+R117)),0)</f>
        <v>305668</v>
      </c>
      <c r="T117" s="143">
        <v>173188</v>
      </c>
      <c r="U117" s="143">
        <v>171794</v>
      </c>
      <c r="V117" s="143">
        <v>170400</v>
      </c>
      <c r="W117" s="143">
        <v>169006</v>
      </c>
      <c r="X117" s="143">
        <v>167612</v>
      </c>
      <c r="Y117" s="143">
        <v>166218</v>
      </c>
      <c r="Z117" s="143">
        <v>164824</v>
      </c>
      <c r="AA117" s="143">
        <v>163430</v>
      </c>
      <c r="AB117" s="143">
        <v>162036</v>
      </c>
      <c r="AC117" s="129">
        <f t="shared" si="24"/>
        <v>15960</v>
      </c>
      <c r="AD117" s="129">
        <f t="shared" si="25"/>
        <v>31919</v>
      </c>
      <c r="AE117" s="129">
        <f t="shared" si="26"/>
        <v>47878</v>
      </c>
      <c r="AF117" s="129">
        <f t="shared" si="27"/>
        <v>63837</v>
      </c>
      <c r="AG117" s="129">
        <f t="shared" si="28"/>
        <v>79796</v>
      </c>
      <c r="AH117" s="129">
        <f t="shared" si="29"/>
        <v>95755</v>
      </c>
      <c r="AI117" s="129">
        <f t="shared" si="30"/>
        <v>111714</v>
      </c>
      <c r="AJ117" s="129">
        <f t="shared" si="31"/>
        <v>127673</v>
      </c>
      <c r="AK117" s="129">
        <f t="shared" si="32"/>
        <v>143632</v>
      </c>
      <c r="AL117" s="127">
        <f t="shared" si="33"/>
        <v>9.2154190821535087E-2</v>
      </c>
      <c r="AM117" s="127">
        <f t="shared" si="34"/>
        <v>0.18579810703516997</v>
      </c>
      <c r="AN117" s="127">
        <f t="shared" si="35"/>
        <v>0.28097417840375583</v>
      </c>
      <c r="AO117" s="127">
        <f t="shared" si="36"/>
        <v>0.37772031762185954</v>
      </c>
      <c r="AP117" s="127">
        <f t="shared" si="37"/>
        <v>0.47607569863732913</v>
      </c>
      <c r="AQ117" s="127">
        <f t="shared" si="38"/>
        <v>0.57608080953927976</v>
      </c>
      <c r="AR117" s="127">
        <f t="shared" si="39"/>
        <v>0.67777750812988402</v>
      </c>
      <c r="AS117" s="127">
        <f t="shared" si="40"/>
        <v>0.78120908034020675</v>
      </c>
      <c r="AT117" s="127">
        <f t="shared" si="41"/>
        <v>0.88642030166135921</v>
      </c>
    </row>
    <row r="118" spans="1:46" s="18" customFormat="1" ht="13" x14ac:dyDescent="0.15">
      <c r="A118" s="29" t="s">
        <v>59</v>
      </c>
      <c r="B118" s="30">
        <f>IF(Data!D61=1, MAX(Data!AA61, $E$26) + INDEX(Duplicate!$E$39:$E$43, MATCH( Data!AD61, Duplicate!$B$39:$B$43, 0), 0), MAX(Data!AA61, $E$27) +  INDEX(Duplicate!$E$39:$E$43, MATCH( Data!AD61, Duplicate!$B$39:$B$43, 0), 0))</f>
        <v>0.362622</v>
      </c>
      <c r="C118" s="128">
        <f>ROUND(Data!R61/13*100, 2)</f>
        <v>0</v>
      </c>
      <c r="D118" s="141">
        <f>ROUND(Data!Q61*C118, 0)</f>
        <v>0</v>
      </c>
      <c r="E118" s="142">
        <f>ROUND($E$22*Data!W61*B118, 0)</f>
        <v>5384798</v>
      </c>
      <c r="F118" s="143">
        <f>IF(E118=0, 0,IF($E$31="Yes", IF(Data!D61=1, MAX(Duplicate!D118+Duplicate!E118, Data!AE61), Duplicate!D118+Duplicate!E118), Duplicate!D118+Duplicate!E118))</f>
        <v>5669122</v>
      </c>
      <c r="G118" s="143">
        <v>5669122</v>
      </c>
      <c r="H118" s="129">
        <f>F118-Data!AL61</f>
        <v>0</v>
      </c>
      <c r="I118" s="127">
        <f>((F118)/(Data!AL61)) - 1</f>
        <v>0</v>
      </c>
      <c r="J118" s="127">
        <f t="shared" si="5"/>
        <v>0</v>
      </c>
      <c r="K118" s="143">
        <f>ROUND(IF($E$31="Yes",IF(Data!AG61&gt;0,(Duplicate!$K$23*Data!AG61)+Data!AI61,(Duplicate!$K$24*Data!AG61)+Data!AI61),IF(Data!AF61&gt;0,(Duplicate!$K$23*Data!AF61)+Data!AI61,(Duplicate!$K$24*Data!AF61)+Data!AI61)),0)</f>
        <v>5669122</v>
      </c>
      <c r="L118" s="143">
        <f>ROUND(IF($E$31="Yes",IF(Data!$AG61&gt;0,(Duplicate!$L$23*Data!$AG61)+K118,(Duplicate!$L$24*Data!$AG61)+K118),IF(Data!$AF61&gt;0,(Duplicate!$L$23*Data!$AF61)+K118,(Duplicate!$L$24*Data!$AF61)+K118)),0)</f>
        <v>5669122</v>
      </c>
      <c r="M118" s="143">
        <f>ROUND(IF($E$31="Yes",IF(Data!$AG61&gt;0,(Duplicate!$M$23*Data!$AG61)+L118,(Duplicate!$M$24*Data!$AG61)+L118),IF(Data!$AF61&gt;0,(Duplicate!$M$23*Data!$AF61)+L118,(Duplicate!$M$24*Data!$AF61)+L118)),0)</f>
        <v>5669122</v>
      </c>
      <c r="N118" s="143">
        <f>ROUND(IF($E$31="Yes",IF(Data!$AG61&gt;0,(Duplicate!$N$23*Data!$AG61)+M118,(Duplicate!$N$24*Data!$AG61)+M118),IF(Data!$AF61&gt;0,(Duplicate!$N$23*Data!$AF61)+M118,(Duplicate!$N$24*Data!$AF61)+M118)),0)</f>
        <v>5669122</v>
      </c>
      <c r="O118" s="143">
        <f>ROUND(IF($E$31="Yes",IF(Data!$AG61&gt;0,(Duplicate!$O$23*Data!$AG61)+N118,(Duplicate!$O$24*Data!$AG61)+N118),IF(Data!$AF61&gt;0,(Duplicate!$O$23*Data!$AF61)+N118,(Duplicate!$O$24*Data!$AF61)+N118)),0)</f>
        <v>5669122</v>
      </c>
      <c r="P118" s="143">
        <f>ROUND(IF($E$31="Yes",IF(Data!$AG61&gt;0,(Duplicate!$P$23*Data!$AG61)+O118,(Duplicate!$P$24*Data!$AG61)+O118),IF(Data!$AF61&gt;0,(Duplicate!$P$23*Data!$AF61)+O118,(Duplicate!$P$24*Data!$AF61)+O118)),0)</f>
        <v>5669122</v>
      </c>
      <c r="Q118" s="143">
        <f>ROUND(IF($E$31="Yes",IF(Data!$AG61&gt;0,(Duplicate!$Q$23*Data!$AG61)+P118,(Duplicate!$Q$24*Data!$AG61)+P118),IF(Data!$AF61&gt;0,(Duplicate!$Q$23*Data!$AF61)+P118,(Duplicate!$Q$24*Data!$AF61)+P118)),0)</f>
        <v>5669122</v>
      </c>
      <c r="R118" s="143">
        <f>ROUND(IF($E$31="Yes",IF(Data!$AG61&gt;0,(Duplicate!$R$23*Data!$AG61)+Q118,(Duplicate!$R$24*Data!$AG61)+Q118),IF(Data!$AF61&gt;0,(Duplicate!$R$23*Data!$AF61)+Q118,(Duplicate!$R$24*Data!$AF61)+Q118)),0)</f>
        <v>5669122</v>
      </c>
      <c r="S118" s="143">
        <f>ROUND(IF($E$31="Yes",IF(Data!$AG61&gt;0,(Duplicate!$S$23*Data!$AG61)+R118,(Duplicate!$S$24*Data!$AG61)+R118),IF(Data!$AF61&gt;0,(Duplicate!$S$23*Data!$AF61)+R118,(Duplicate!$S$24*Data!$AF61)+R118)),0)</f>
        <v>5669122</v>
      </c>
      <c r="T118" s="143">
        <v>5669122</v>
      </c>
      <c r="U118" s="143">
        <v>5669122</v>
      </c>
      <c r="V118" s="143">
        <v>5669122</v>
      </c>
      <c r="W118" s="143">
        <v>5669122</v>
      </c>
      <c r="X118" s="143">
        <v>5669122</v>
      </c>
      <c r="Y118" s="143">
        <v>5669122</v>
      </c>
      <c r="Z118" s="143">
        <v>5669122</v>
      </c>
      <c r="AA118" s="143">
        <v>5669122</v>
      </c>
      <c r="AB118" s="143">
        <v>5669122</v>
      </c>
      <c r="AC118" s="129">
        <f t="shared" si="24"/>
        <v>0</v>
      </c>
      <c r="AD118" s="129">
        <f t="shared" si="25"/>
        <v>0</v>
      </c>
      <c r="AE118" s="129">
        <f t="shared" si="26"/>
        <v>0</v>
      </c>
      <c r="AF118" s="129">
        <f t="shared" si="27"/>
        <v>0</v>
      </c>
      <c r="AG118" s="129">
        <f t="shared" si="28"/>
        <v>0</v>
      </c>
      <c r="AH118" s="129">
        <f t="shared" si="29"/>
        <v>0</v>
      </c>
      <c r="AI118" s="129">
        <f t="shared" si="30"/>
        <v>0</v>
      </c>
      <c r="AJ118" s="129">
        <f t="shared" si="31"/>
        <v>0</v>
      </c>
      <c r="AK118" s="129">
        <f t="shared" si="32"/>
        <v>0</v>
      </c>
      <c r="AL118" s="127">
        <f t="shared" si="33"/>
        <v>0</v>
      </c>
      <c r="AM118" s="127">
        <f t="shared" si="34"/>
        <v>0</v>
      </c>
      <c r="AN118" s="127">
        <f t="shared" si="35"/>
        <v>0</v>
      </c>
      <c r="AO118" s="127">
        <f t="shared" si="36"/>
        <v>0</v>
      </c>
      <c r="AP118" s="127">
        <f t="shared" si="37"/>
        <v>0</v>
      </c>
      <c r="AQ118" s="127">
        <f t="shared" si="38"/>
        <v>0</v>
      </c>
      <c r="AR118" s="127">
        <f t="shared" si="39"/>
        <v>0</v>
      </c>
      <c r="AS118" s="127">
        <f t="shared" si="40"/>
        <v>0</v>
      </c>
      <c r="AT118" s="127">
        <f t="shared" si="41"/>
        <v>0</v>
      </c>
    </row>
    <row r="119" spans="1:46" s="18" customFormat="1" ht="13" x14ac:dyDescent="0.15">
      <c r="A119" s="29" t="s">
        <v>60</v>
      </c>
      <c r="B119" s="30">
        <f>IF(Data!D62=1, MAX(Data!AA62, $E$26) + INDEX(Duplicate!$E$39:$E$43, MATCH( Data!AD62, Duplicate!$B$39:$B$43, 0), 0), MAX(Data!AA62, $E$27) +  INDEX(Duplicate!$E$39:$E$43, MATCH( Data!AD62, Duplicate!$B$39:$B$43, 0), 0))</f>
        <v>0.32908599999999999</v>
      </c>
      <c r="C119" s="128">
        <f>ROUND(Data!R62/13*100, 2)</f>
        <v>0</v>
      </c>
      <c r="D119" s="141">
        <f>ROUND(Data!Q62*C119, 0)</f>
        <v>0</v>
      </c>
      <c r="E119" s="142">
        <f>ROUND($E$22*Data!W62*B119, 0)</f>
        <v>10472448</v>
      </c>
      <c r="F119" s="143">
        <f>IF(E119=0, 0,IF($E$31="Yes", IF(Data!D62=1, MAX(Duplicate!D119+Duplicate!E119, Data!AE62), Duplicate!D119+Duplicate!E119), Duplicate!D119+Duplicate!E119))</f>
        <v>10472448</v>
      </c>
      <c r="G119" s="143">
        <v>10910662</v>
      </c>
      <c r="H119" s="129">
        <f>F119-Data!AL62</f>
        <v>525559</v>
      </c>
      <c r="I119" s="127">
        <f>((F119)/(Data!AL62)) - 1</f>
        <v>5.2836520041593005E-2</v>
      </c>
      <c r="J119" s="127">
        <f t="shared" si="5"/>
        <v>-4.016383240540311E-2</v>
      </c>
      <c r="K119" s="143">
        <f>ROUND(IF($E$31="Yes",IF(Data!AG62&gt;0,(Duplicate!$K$23*Data!AG62)+Data!AI62,(Duplicate!$K$24*Data!AG62)+Data!AI62),IF(Data!AF62&gt;0,(Duplicate!$K$23*Data!AF62)+Data!AI62,(Duplicate!$K$24*Data!AF62)+Data!AI62)),0)</f>
        <v>9783784</v>
      </c>
      <c r="L119" s="143">
        <f>ROUND(IF($E$31="Yes",IF(Data!$AG62&gt;0,(Duplicate!$L$23*Data!$AG62)+K119,(Duplicate!$L$24*Data!$AG62)+K119),IF(Data!$AF62&gt;0,(Duplicate!$L$23*Data!$AF62)+K119,(Duplicate!$L$24*Data!$AF62)+K119)),0)</f>
        <v>9867786</v>
      </c>
      <c r="M119" s="143">
        <f>ROUND(IF($E$31="Yes",IF(Data!$AG62&gt;0,(Duplicate!$M$23*Data!$AG62)+L119,(Duplicate!$M$24*Data!$AG62)+L119),IF(Data!$AF62&gt;0,(Duplicate!$M$23*Data!$AF62)+L119,(Duplicate!$M$24*Data!$AF62)+L119)),0)</f>
        <v>9951788</v>
      </c>
      <c r="N119" s="143">
        <f>ROUND(IF($E$31="Yes",IF(Data!$AG62&gt;0,(Duplicate!$N$23*Data!$AG62)+M119,(Duplicate!$N$24*Data!$AG62)+M119),IF(Data!$AF62&gt;0,(Duplicate!$N$23*Data!$AF62)+M119,(Duplicate!$N$24*Data!$AF62)+M119)),0)</f>
        <v>10035790</v>
      </c>
      <c r="O119" s="143">
        <f>ROUND(IF($E$31="Yes",IF(Data!$AG62&gt;0,(Duplicate!$O$23*Data!$AG62)+N119,(Duplicate!$O$24*Data!$AG62)+N119),IF(Data!$AF62&gt;0,(Duplicate!$O$23*Data!$AF62)+N119,(Duplicate!$O$24*Data!$AF62)+N119)),0)</f>
        <v>10119792</v>
      </c>
      <c r="P119" s="143">
        <f>ROUND(IF($E$31="Yes",IF(Data!$AG62&gt;0,(Duplicate!$P$23*Data!$AG62)+O119,(Duplicate!$P$24*Data!$AG62)+O119),IF(Data!$AF62&gt;0,(Duplicate!$P$23*Data!$AF62)+O119,(Duplicate!$P$24*Data!$AF62)+O119)),0)</f>
        <v>10203794</v>
      </c>
      <c r="Q119" s="143">
        <f>ROUND(IF($E$31="Yes",IF(Data!$AG62&gt;0,(Duplicate!$Q$23*Data!$AG62)+P119,(Duplicate!$Q$24*Data!$AG62)+P119),IF(Data!$AF62&gt;0,(Duplicate!$Q$23*Data!$AF62)+P119,(Duplicate!$Q$24*Data!$AF62)+P119)),0)</f>
        <v>10287796</v>
      </c>
      <c r="R119" s="143">
        <f>ROUND(IF($E$31="Yes",IF(Data!$AG62&gt;0,(Duplicate!$R$23*Data!$AG62)+Q119,(Duplicate!$R$24*Data!$AG62)+Q119),IF(Data!$AF62&gt;0,(Duplicate!$R$23*Data!$AF62)+Q119,(Duplicate!$R$24*Data!$AF62)+Q119)),0)</f>
        <v>10371798</v>
      </c>
      <c r="S119" s="143">
        <f>ROUND(IF($E$31="Yes",IF(Data!$AG62&gt;0,(Duplicate!$S$23*Data!$AG62)+R119,(Duplicate!$S$24*Data!$AG62)+R119),IF(Data!$AF62&gt;0,(Duplicate!$S$23*Data!$AF62)+R119,(Duplicate!$S$24*Data!$AF62)+R119)),0)</f>
        <v>10455800</v>
      </c>
      <c r="T119" s="143">
        <v>9830497</v>
      </c>
      <c r="U119" s="143">
        <v>9961213</v>
      </c>
      <c r="V119" s="143">
        <v>10091929</v>
      </c>
      <c r="W119" s="143">
        <v>10222645</v>
      </c>
      <c r="X119" s="143">
        <v>10353361</v>
      </c>
      <c r="Y119" s="143">
        <v>10484077</v>
      </c>
      <c r="Z119" s="143">
        <v>10614793</v>
      </c>
      <c r="AA119" s="143">
        <v>10745509</v>
      </c>
      <c r="AB119" s="143">
        <v>10876225</v>
      </c>
      <c r="AC119" s="129">
        <f t="shared" si="24"/>
        <v>-46713</v>
      </c>
      <c r="AD119" s="129">
        <f t="shared" si="25"/>
        <v>-93427</v>
      </c>
      <c r="AE119" s="129">
        <f t="shared" si="26"/>
        <v>-140141</v>
      </c>
      <c r="AF119" s="129">
        <f t="shared" si="27"/>
        <v>-186855</v>
      </c>
      <c r="AG119" s="129">
        <f t="shared" si="28"/>
        <v>-233569</v>
      </c>
      <c r="AH119" s="129">
        <f t="shared" si="29"/>
        <v>-280283</v>
      </c>
      <c r="AI119" s="129">
        <f t="shared" si="30"/>
        <v>-326997</v>
      </c>
      <c r="AJ119" s="129">
        <f t="shared" si="31"/>
        <v>-373711</v>
      </c>
      <c r="AK119" s="129">
        <f t="shared" si="32"/>
        <v>-420425</v>
      </c>
      <c r="AL119" s="127">
        <f t="shared" si="33"/>
        <v>-4.7518452017227819E-3</v>
      </c>
      <c r="AM119" s="127">
        <f t="shared" si="34"/>
        <v>-9.379078632291038E-3</v>
      </c>
      <c r="AN119" s="127">
        <f t="shared" si="35"/>
        <v>-1.3886443315247243E-2</v>
      </c>
      <c r="AO119" s="127">
        <f t="shared" si="36"/>
        <v>-1.8278537501791314E-2</v>
      </c>
      <c r="AP119" s="127">
        <f t="shared" si="37"/>
        <v>-2.2559727222879578E-2</v>
      </c>
      <c r="AQ119" s="127">
        <f t="shared" si="38"/>
        <v>-2.6734160765892856E-2</v>
      </c>
      <c r="AR119" s="127">
        <f t="shared" si="39"/>
        <v>-3.0805782081666622E-2</v>
      </c>
      <c r="AS119" s="127">
        <f t="shared" si="40"/>
        <v>-3.477834321296458E-2</v>
      </c>
      <c r="AT119" s="127">
        <f t="shared" si="41"/>
        <v>-3.8655415826722939E-2</v>
      </c>
    </row>
    <row r="120" spans="1:46" s="18" customFormat="1" ht="13" x14ac:dyDescent="0.15">
      <c r="A120" s="29" t="s">
        <v>61</v>
      </c>
      <c r="B120" s="30">
        <f>IF(Data!D63=1, MAX(Data!AA63, $E$26) + INDEX(Duplicate!$E$39:$E$43, MATCH( Data!AD63, Duplicate!$B$39:$B$43, 0), 0), MAX(Data!AA63, $E$27) +  INDEX(Duplicate!$E$39:$E$43, MATCH( Data!AD63, Duplicate!$B$39:$B$43, 0), 0))</f>
        <v>0.45631500000000003</v>
      </c>
      <c r="C120" s="128">
        <f>ROUND(Data!R63/13*100, 2)</f>
        <v>0</v>
      </c>
      <c r="D120" s="141">
        <f>ROUND(Data!Q63*C120, 0)</f>
        <v>0</v>
      </c>
      <c r="E120" s="142">
        <f>ROUND($E$22*Data!W63*B120, 0)</f>
        <v>31137720</v>
      </c>
      <c r="F120" s="143">
        <f>IF(E120=0, 0,IF($E$31="Yes", IF(Data!D63=1, MAX(Duplicate!D120+Duplicate!E120, Data!AE63), Duplicate!D120+Duplicate!E120), Duplicate!D120+Duplicate!E120))</f>
        <v>31137720</v>
      </c>
      <c r="G120" s="143">
        <v>32502986</v>
      </c>
      <c r="H120" s="129">
        <f>F120-Data!AL63</f>
        <v>1586194</v>
      </c>
      <c r="I120" s="127">
        <f>((F120)/(Data!AL63)) - 1</f>
        <v>5.3675536078915176E-2</v>
      </c>
      <c r="J120" s="127">
        <f t="shared" si="5"/>
        <v>-4.2004325387212105E-2</v>
      </c>
      <c r="K120" s="143">
        <f>ROUND(IF($E$31="Yes",IF(Data!AG63&gt;0,(Duplicate!$K$23*Data!AG63)+Data!AI63,(Duplicate!$K$24*Data!AG63)+Data!AI63),IF(Data!AF63&gt;0,(Duplicate!$K$23*Data!AF63)+Data!AI63,(Duplicate!$K$24*Data!AF63)+Data!AI63)),0)</f>
        <v>29024462</v>
      </c>
      <c r="L120" s="143">
        <f>ROUND(IF($E$31="Yes",IF(Data!$AG63&gt;0,(Duplicate!$L$23*Data!$AG63)+K120,(Duplicate!$L$24*Data!$AG63)+K120),IF(Data!$AF63&gt;0,(Duplicate!$L$23*Data!$AF63)+K120,(Duplicate!$L$24*Data!$AF63)+K120)),0)</f>
        <v>29296581</v>
      </c>
      <c r="M120" s="143">
        <f>ROUND(IF($E$31="Yes",IF(Data!$AG63&gt;0,(Duplicate!$M$23*Data!$AG63)+L120,(Duplicate!$M$24*Data!$AG63)+L120),IF(Data!$AF63&gt;0,(Duplicate!$M$23*Data!$AF63)+L120,(Duplicate!$M$24*Data!$AF63)+L120)),0)</f>
        <v>29568700</v>
      </c>
      <c r="N120" s="143">
        <f>ROUND(IF($E$31="Yes",IF(Data!$AG63&gt;0,(Duplicate!$N$23*Data!$AG63)+M120,(Duplicate!$N$24*Data!$AG63)+M120),IF(Data!$AF63&gt;0,(Duplicate!$N$23*Data!$AF63)+M120,(Duplicate!$N$24*Data!$AF63)+M120)),0)</f>
        <v>29840819</v>
      </c>
      <c r="O120" s="143">
        <f>ROUND(IF($E$31="Yes",IF(Data!$AG63&gt;0,(Duplicate!$O$23*Data!$AG63)+N120,(Duplicate!$O$24*Data!$AG63)+N120),IF(Data!$AF63&gt;0,(Duplicate!$O$23*Data!$AF63)+N120,(Duplicate!$O$24*Data!$AF63)+N120)),0)</f>
        <v>30112938</v>
      </c>
      <c r="P120" s="143">
        <f>ROUND(IF($E$31="Yes",IF(Data!$AG63&gt;0,(Duplicate!$P$23*Data!$AG63)+O120,(Duplicate!$P$24*Data!$AG63)+O120),IF(Data!$AF63&gt;0,(Duplicate!$P$23*Data!$AF63)+O120,(Duplicate!$P$24*Data!$AF63)+O120)),0)</f>
        <v>30385057</v>
      </c>
      <c r="Q120" s="143">
        <f>ROUND(IF($E$31="Yes",IF(Data!$AG63&gt;0,(Duplicate!$Q$23*Data!$AG63)+P120,(Duplicate!$Q$24*Data!$AG63)+P120),IF(Data!$AF63&gt;0,(Duplicate!$Q$23*Data!$AF63)+P120,(Duplicate!$Q$24*Data!$AF63)+P120)),0)</f>
        <v>30657176</v>
      </c>
      <c r="R120" s="143">
        <f>ROUND(IF($E$31="Yes",IF(Data!$AG63&gt;0,(Duplicate!$R$23*Data!$AG63)+Q120,(Duplicate!$R$24*Data!$AG63)+Q120),IF(Data!$AF63&gt;0,(Duplicate!$R$23*Data!$AF63)+Q120,(Duplicate!$R$24*Data!$AF63)+Q120)),0)</f>
        <v>30929295</v>
      </c>
      <c r="S120" s="143">
        <f>ROUND(IF($E$31="Yes",IF(Data!$AG63&gt;0,(Duplicate!$S$23*Data!$AG63)+R120,(Duplicate!$S$24*Data!$AG63)+R120),IF(Data!$AF63&gt;0,(Duplicate!$S$23*Data!$AF63)+R120,(Duplicate!$S$24*Data!$AF63)+R120)),0)</f>
        <v>31201414</v>
      </c>
      <c r="T120" s="143">
        <v>29169999</v>
      </c>
      <c r="U120" s="143">
        <v>29587655</v>
      </c>
      <c r="V120" s="143">
        <v>30005311</v>
      </c>
      <c r="W120" s="143">
        <v>30422967</v>
      </c>
      <c r="X120" s="143">
        <v>30840623</v>
      </c>
      <c r="Y120" s="143">
        <v>31258279</v>
      </c>
      <c r="Z120" s="143">
        <v>31675935</v>
      </c>
      <c r="AA120" s="143">
        <v>32093591</v>
      </c>
      <c r="AB120" s="143">
        <v>32511247</v>
      </c>
      <c r="AC120" s="129">
        <f t="shared" si="24"/>
        <v>-145537</v>
      </c>
      <c r="AD120" s="129">
        <f t="shared" si="25"/>
        <v>-291074</v>
      </c>
      <c r="AE120" s="129">
        <f t="shared" si="26"/>
        <v>-436611</v>
      </c>
      <c r="AF120" s="129">
        <f t="shared" si="27"/>
        <v>-582148</v>
      </c>
      <c r="AG120" s="129">
        <f t="shared" si="28"/>
        <v>-727685</v>
      </c>
      <c r="AH120" s="129">
        <f t="shared" si="29"/>
        <v>-873222</v>
      </c>
      <c r="AI120" s="129">
        <f t="shared" si="30"/>
        <v>-1018759</v>
      </c>
      <c r="AJ120" s="129">
        <f t="shared" si="31"/>
        <v>-1164296</v>
      </c>
      <c r="AK120" s="129">
        <f t="shared" si="32"/>
        <v>-1309833</v>
      </c>
      <c r="AL120" s="127">
        <f t="shared" si="33"/>
        <v>-4.9892699687785758E-3</v>
      </c>
      <c r="AM120" s="127">
        <f t="shared" si="34"/>
        <v>-9.8376839935438998E-3</v>
      </c>
      <c r="AN120" s="127">
        <f t="shared" si="35"/>
        <v>-1.455112396602054E-2</v>
      </c>
      <c r="AO120" s="127">
        <f t="shared" si="36"/>
        <v>-1.9135148784140577E-2</v>
      </c>
      <c r="AP120" s="127">
        <f t="shared" si="37"/>
        <v>-2.3595016222597076E-2</v>
      </c>
      <c r="AQ120" s="127">
        <f t="shared" si="38"/>
        <v>-2.7935703050062322E-2</v>
      </c>
      <c r="AR120" s="127">
        <f t="shared" si="39"/>
        <v>-3.2161923554900551E-2</v>
      </c>
      <c r="AS120" s="127">
        <f t="shared" si="40"/>
        <v>-3.627814662435247E-2</v>
      </c>
      <c r="AT120" s="127">
        <f t="shared" si="41"/>
        <v>-4.0288611507273142E-2</v>
      </c>
    </row>
    <row r="121" spans="1:46" s="18" customFormat="1" ht="13" x14ac:dyDescent="0.15">
      <c r="A121" s="29" t="s">
        <v>62</v>
      </c>
      <c r="B121" s="30">
        <f>IF(Data!D64=1, MAX(Data!AA64, $E$26) + INDEX(Duplicate!$E$39:$E$43, MATCH( Data!AD64, Duplicate!$B$39:$B$43, 0), 0), MAX(Data!AA64, $E$27) +  INDEX(Duplicate!$E$39:$E$43, MATCH( Data!AD64, Duplicate!$B$39:$B$43, 0), 0))</f>
        <v>0.01</v>
      </c>
      <c r="C121" s="128">
        <f>ROUND(Data!R64/13*100, 2)</f>
        <v>46.15</v>
      </c>
      <c r="D121" s="141">
        <f>ROUND(Data!Q64*C121, 0)</f>
        <v>16291</v>
      </c>
      <c r="E121" s="142">
        <f>ROUND($E$22*Data!W64*B121, 0)</f>
        <v>78824</v>
      </c>
      <c r="F121" s="143">
        <f>IF(E121=0, 0,IF($E$31="Yes", IF(Data!D64=1, MAX(Duplicate!D121+Duplicate!E121, Data!AE64), Duplicate!D121+Duplicate!E121), Duplicate!D121+Duplicate!E121))</f>
        <v>95115</v>
      </c>
      <c r="G121" s="143">
        <v>99709</v>
      </c>
      <c r="H121" s="129">
        <f>F121-Data!AL64</f>
        <v>-8811</v>
      </c>
      <c r="I121" s="127">
        <f>((F121)/(Data!AL64)) - 1</f>
        <v>-8.4781479129380499E-2</v>
      </c>
      <c r="J121" s="127">
        <f t="shared" si="5"/>
        <v>-4.6074075559879302E-2</v>
      </c>
      <c r="K121" s="143">
        <f>ROUND(IF($E$31="Yes",IF(Data!AG64&gt;0,(Duplicate!$K$23*Data!AG64)+Data!AI64,(Duplicate!$K$24*Data!AG64)+Data!AI64),IF(Data!AF64&gt;0,(Duplicate!$K$23*Data!AF64)+Data!AI64,(Duplicate!$K$24*Data!AF64)+Data!AI64)),0)</f>
        <v>124847</v>
      </c>
      <c r="L121" s="143">
        <f>ROUND(IF($E$31="Yes",IF(Data!$AG64&gt;0,(Duplicate!$L$23*Data!$AG64)+K121,(Duplicate!$L$24*Data!$AG64)+K121),IF(Data!$AF64&gt;0,(Duplicate!$L$23*Data!$AF64)+K121,(Duplicate!$L$24*Data!$AF64)+K121)),0)</f>
        <v>144629</v>
      </c>
      <c r="M121" s="143">
        <f>ROUND(IF($E$31="Yes",IF(Data!$AG64&gt;0,(Duplicate!$M$23*Data!$AG64)+L121,(Duplicate!$M$24*Data!$AG64)+L121),IF(Data!$AF64&gt;0,(Duplicate!$M$23*Data!$AF64)+L121,(Duplicate!$M$24*Data!$AF64)+L121)),0)</f>
        <v>164411</v>
      </c>
      <c r="N121" s="143">
        <f>ROUND(IF($E$31="Yes",IF(Data!$AG64&gt;0,(Duplicate!$N$23*Data!$AG64)+M121,(Duplicate!$N$24*Data!$AG64)+M121),IF(Data!$AF64&gt;0,(Duplicate!$N$23*Data!$AF64)+M121,(Duplicate!$N$24*Data!$AF64)+M121)),0)</f>
        <v>184193</v>
      </c>
      <c r="O121" s="143">
        <f>ROUND(IF($E$31="Yes",IF(Data!$AG64&gt;0,(Duplicate!$O$23*Data!$AG64)+N121,(Duplicate!$O$24*Data!$AG64)+N121),IF(Data!$AF64&gt;0,(Duplicate!$O$23*Data!$AF64)+N121,(Duplicate!$O$24*Data!$AF64)+N121)),0)</f>
        <v>203975</v>
      </c>
      <c r="P121" s="143">
        <f>ROUND(IF($E$31="Yes",IF(Data!$AG64&gt;0,(Duplicate!$P$23*Data!$AG64)+O121,(Duplicate!$P$24*Data!$AG64)+O121),IF(Data!$AF64&gt;0,(Duplicate!$P$23*Data!$AF64)+O121,(Duplicate!$P$24*Data!$AF64)+O121)),0)</f>
        <v>223757</v>
      </c>
      <c r="Q121" s="143">
        <f>ROUND(IF($E$31="Yes",IF(Data!$AG64&gt;0,(Duplicate!$Q$23*Data!$AG64)+P121,(Duplicate!$Q$24*Data!$AG64)+P121),IF(Data!$AF64&gt;0,(Duplicate!$Q$23*Data!$AF64)+P121,(Duplicate!$Q$24*Data!$AF64)+P121)),0)</f>
        <v>243539</v>
      </c>
      <c r="R121" s="143">
        <f>ROUND(IF($E$31="Yes",IF(Data!$AG64&gt;0,(Duplicate!$R$23*Data!$AG64)+Q121,(Duplicate!$R$24*Data!$AG64)+Q121),IF(Data!$AF64&gt;0,(Duplicate!$R$23*Data!$AF64)+Q121,(Duplicate!$R$24*Data!$AF64)+Q121)),0)</f>
        <v>263321</v>
      </c>
      <c r="S121" s="143">
        <f>ROUND(IF($E$31="Yes",IF(Data!$AG64&gt;0,(Duplicate!$S$23*Data!$AG64)+R121,(Duplicate!$S$24*Data!$AG64)+R121),IF(Data!$AF64&gt;0,(Duplicate!$S$23*Data!$AF64)+R121,(Duplicate!$S$24*Data!$AF64)+R121)),0)</f>
        <v>283103</v>
      </c>
      <c r="T121" s="143">
        <v>104620</v>
      </c>
      <c r="U121" s="143">
        <v>104175</v>
      </c>
      <c r="V121" s="143">
        <v>103730</v>
      </c>
      <c r="W121" s="143">
        <v>103285</v>
      </c>
      <c r="X121" s="143">
        <v>102840</v>
      </c>
      <c r="Y121" s="143">
        <v>102395</v>
      </c>
      <c r="Z121" s="143">
        <v>101950</v>
      </c>
      <c r="AA121" s="143">
        <v>101505</v>
      </c>
      <c r="AB121" s="143">
        <v>101060</v>
      </c>
      <c r="AC121" s="129">
        <f t="shared" si="24"/>
        <v>20227</v>
      </c>
      <c r="AD121" s="129">
        <f t="shared" si="25"/>
        <v>40454</v>
      </c>
      <c r="AE121" s="129">
        <f t="shared" si="26"/>
        <v>60681</v>
      </c>
      <c r="AF121" s="129">
        <f t="shared" si="27"/>
        <v>80908</v>
      </c>
      <c r="AG121" s="129">
        <f t="shared" si="28"/>
        <v>101135</v>
      </c>
      <c r="AH121" s="129">
        <f t="shared" si="29"/>
        <v>121362</v>
      </c>
      <c r="AI121" s="129">
        <f t="shared" si="30"/>
        <v>141589</v>
      </c>
      <c r="AJ121" s="129">
        <f t="shared" si="31"/>
        <v>161816</v>
      </c>
      <c r="AK121" s="129">
        <f t="shared" si="32"/>
        <v>182043</v>
      </c>
      <c r="AL121" s="127">
        <f t="shared" si="33"/>
        <v>0.19333779392085648</v>
      </c>
      <c r="AM121" s="127">
        <f t="shared" si="34"/>
        <v>0.38832733381329487</v>
      </c>
      <c r="AN121" s="127">
        <f t="shared" si="35"/>
        <v>0.58498987756675991</v>
      </c>
      <c r="AO121" s="127">
        <f t="shared" si="36"/>
        <v>0.78334704942634459</v>
      </c>
      <c r="AP121" s="127">
        <f t="shared" si="37"/>
        <v>0.98342084791909756</v>
      </c>
      <c r="AQ121" s="127">
        <f t="shared" si="38"/>
        <v>1.185233653987011</v>
      </c>
      <c r="AR121" s="127">
        <f t="shared" si="39"/>
        <v>1.3888082393330063</v>
      </c>
      <c r="AS121" s="127">
        <f t="shared" si="40"/>
        <v>1.5941677749864538</v>
      </c>
      <c r="AT121" s="127">
        <f t="shared" si="41"/>
        <v>1.801335840094993</v>
      </c>
    </row>
    <row r="122" spans="1:46" s="18" customFormat="1" ht="13" x14ac:dyDescent="0.15">
      <c r="A122" s="29" t="s">
        <v>63</v>
      </c>
      <c r="B122" s="30">
        <f>IF(Data!D65=1, MAX(Data!AA65, $E$26) + INDEX(Duplicate!$E$39:$E$43, MATCH( Data!AD65, Duplicate!$B$39:$B$43, 0), 0), MAX(Data!AA65, $E$27) +  INDEX(Duplicate!$E$39:$E$43, MATCH( Data!AD65, Duplicate!$B$39:$B$43, 0), 0))</f>
        <v>0.01</v>
      </c>
      <c r="C122" s="128">
        <f>ROUND(Data!R65/13*100, 2)</f>
        <v>0</v>
      </c>
      <c r="D122" s="141">
        <f>ROUND(Data!Q65*C122, 0)</f>
        <v>0</v>
      </c>
      <c r="E122" s="142">
        <f>ROUND($E$22*Data!W65*B122, 0)</f>
        <v>1145194</v>
      </c>
      <c r="F122" s="143">
        <f>IF(E122=0, 0,IF($E$31="Yes", IF(Data!D65=1, MAX(Duplicate!D122+Duplicate!E122, Data!AE65), Duplicate!D122+Duplicate!E122), Duplicate!D122+Duplicate!E122))</f>
        <v>1145194</v>
      </c>
      <c r="G122" s="143">
        <v>1191587</v>
      </c>
      <c r="H122" s="129">
        <f>F122-Data!AL65</f>
        <v>33650</v>
      </c>
      <c r="I122" s="127">
        <f>((F122)/(Data!AL65)) - 1</f>
        <v>3.0273205559114169E-2</v>
      </c>
      <c r="J122" s="127">
        <f t="shared" si="5"/>
        <v>-3.8933791657680072E-2</v>
      </c>
      <c r="K122" s="143">
        <f>ROUND(IF($E$31="Yes",IF(Data!AG65&gt;0,(Duplicate!$K$23*Data!AG65)+Data!AI65,(Duplicate!$K$24*Data!AG65)+Data!AI65),IF(Data!AF65&gt;0,(Duplicate!$K$23*Data!AF65)+Data!AI65,(Duplicate!$K$24*Data!AF65)+Data!AI65)),0)</f>
        <v>1097519</v>
      </c>
      <c r="L122" s="143">
        <f>ROUND(IF($E$31="Yes",IF(Data!$AG65&gt;0,(Duplicate!$L$23*Data!$AG65)+K122,(Duplicate!$L$24*Data!$AG65)+K122),IF(Data!$AF65&gt;0,(Duplicate!$L$23*Data!$AF65)+K122,(Duplicate!$L$24*Data!$AF65)+K122)),0)</f>
        <v>1103705</v>
      </c>
      <c r="M122" s="143">
        <f>ROUND(IF($E$31="Yes",IF(Data!$AG65&gt;0,(Duplicate!$M$23*Data!$AG65)+L122,(Duplicate!$M$24*Data!$AG65)+L122),IF(Data!$AF65&gt;0,(Duplicate!$M$23*Data!$AF65)+L122,(Duplicate!$M$24*Data!$AF65)+L122)),0)</f>
        <v>1109891</v>
      </c>
      <c r="N122" s="143">
        <f>ROUND(IF($E$31="Yes",IF(Data!$AG65&gt;0,(Duplicate!$N$23*Data!$AG65)+M122,(Duplicate!$N$24*Data!$AG65)+M122),IF(Data!$AF65&gt;0,(Duplicate!$N$23*Data!$AF65)+M122,(Duplicate!$N$24*Data!$AF65)+M122)),0)</f>
        <v>1116077</v>
      </c>
      <c r="O122" s="143">
        <f>ROUND(IF($E$31="Yes",IF(Data!$AG65&gt;0,(Duplicate!$O$23*Data!$AG65)+N122,(Duplicate!$O$24*Data!$AG65)+N122),IF(Data!$AF65&gt;0,(Duplicate!$O$23*Data!$AF65)+N122,(Duplicate!$O$24*Data!$AF65)+N122)),0)</f>
        <v>1122263</v>
      </c>
      <c r="P122" s="143">
        <f>ROUND(IF($E$31="Yes",IF(Data!$AG65&gt;0,(Duplicate!$P$23*Data!$AG65)+O122,(Duplicate!$P$24*Data!$AG65)+O122),IF(Data!$AF65&gt;0,(Duplicate!$P$23*Data!$AF65)+O122,(Duplicate!$P$24*Data!$AF65)+O122)),0)</f>
        <v>1128449</v>
      </c>
      <c r="Q122" s="143">
        <f>ROUND(IF($E$31="Yes",IF(Data!$AG65&gt;0,(Duplicate!$Q$23*Data!$AG65)+P122,(Duplicate!$Q$24*Data!$AG65)+P122),IF(Data!$AF65&gt;0,(Duplicate!$Q$23*Data!$AF65)+P122,(Duplicate!$Q$24*Data!$AF65)+P122)),0)</f>
        <v>1134635</v>
      </c>
      <c r="R122" s="143">
        <f>ROUND(IF($E$31="Yes",IF(Data!$AG65&gt;0,(Duplicate!$R$23*Data!$AG65)+Q122,(Duplicate!$R$24*Data!$AG65)+Q122),IF(Data!$AF65&gt;0,(Duplicate!$R$23*Data!$AF65)+Q122,(Duplicate!$R$24*Data!$AF65)+Q122)),0)</f>
        <v>1140821</v>
      </c>
      <c r="S122" s="143">
        <f>ROUND(IF($E$31="Yes",IF(Data!$AG65&gt;0,(Duplicate!$S$23*Data!$AG65)+R122,(Duplicate!$S$24*Data!$AG65)+R122),IF(Data!$AF65&gt;0,(Duplicate!$S$23*Data!$AF65)+R122,(Duplicate!$S$24*Data!$AF65)+R122)),0)</f>
        <v>1147007</v>
      </c>
      <c r="T122" s="143">
        <v>1102465</v>
      </c>
      <c r="U122" s="143">
        <v>1113596</v>
      </c>
      <c r="V122" s="143">
        <v>1124727</v>
      </c>
      <c r="W122" s="143">
        <v>1135858</v>
      </c>
      <c r="X122" s="143">
        <v>1146989</v>
      </c>
      <c r="Y122" s="143">
        <v>1158120</v>
      </c>
      <c r="Z122" s="143">
        <v>1169251</v>
      </c>
      <c r="AA122" s="143">
        <v>1180382</v>
      </c>
      <c r="AB122" s="143">
        <v>1191513</v>
      </c>
      <c r="AC122" s="129">
        <f t="shared" si="24"/>
        <v>-4946</v>
      </c>
      <c r="AD122" s="129">
        <f t="shared" si="25"/>
        <v>-9891</v>
      </c>
      <c r="AE122" s="129">
        <f t="shared" si="26"/>
        <v>-14836</v>
      </c>
      <c r="AF122" s="129">
        <f t="shared" si="27"/>
        <v>-19781</v>
      </c>
      <c r="AG122" s="129">
        <f t="shared" si="28"/>
        <v>-24726</v>
      </c>
      <c r="AH122" s="129">
        <f t="shared" si="29"/>
        <v>-29671</v>
      </c>
      <c r="AI122" s="129">
        <f t="shared" si="30"/>
        <v>-34616</v>
      </c>
      <c r="AJ122" s="129">
        <f t="shared" si="31"/>
        <v>-39561</v>
      </c>
      <c r="AK122" s="129">
        <f t="shared" si="32"/>
        <v>-44506</v>
      </c>
      <c r="AL122" s="127">
        <f t="shared" si="33"/>
        <v>-4.4863102230002783E-3</v>
      </c>
      <c r="AM122" s="127">
        <f t="shared" si="34"/>
        <v>-8.8820362142105758E-3</v>
      </c>
      <c r="AN122" s="127">
        <f t="shared" si="35"/>
        <v>-1.3190756512469259E-2</v>
      </c>
      <c r="AO122" s="127">
        <f t="shared" si="36"/>
        <v>-1.7415028991299986E-2</v>
      </c>
      <c r="AP122" s="127">
        <f t="shared" si="37"/>
        <v>-2.1557312232288184E-2</v>
      </c>
      <c r="AQ122" s="127">
        <f t="shared" si="38"/>
        <v>-2.5619970296687722E-2</v>
      </c>
      <c r="AR122" s="127">
        <f t="shared" si="39"/>
        <v>-2.9605277224479587E-2</v>
      </c>
      <c r="AS122" s="127">
        <f t="shared" si="40"/>
        <v>-3.351542127887408E-2</v>
      </c>
      <c r="AT122" s="127">
        <f t="shared" si="41"/>
        <v>-3.7352508952902763E-2</v>
      </c>
    </row>
    <row r="123" spans="1:46" s="18" customFormat="1" ht="13" x14ac:dyDescent="0.15">
      <c r="A123" s="29" t="s">
        <v>64</v>
      </c>
      <c r="B123" s="30">
        <f>IF(Data!D66=1, MAX(Data!AA66, $E$26) + INDEX(Duplicate!$E$39:$E$43, MATCH( Data!AD66, Duplicate!$B$39:$B$43, 0), 0), MAX(Data!AA66, $E$27) +  INDEX(Duplicate!$E$39:$E$43, MATCH( Data!AD66, Duplicate!$B$39:$B$43, 0), 0))</f>
        <v>0.01</v>
      </c>
      <c r="C123" s="128">
        <f>ROUND(Data!R66/13*100, 2)</f>
        <v>0</v>
      </c>
      <c r="D123" s="141">
        <f>ROUND(Data!Q66*C123, 0)</f>
        <v>0</v>
      </c>
      <c r="E123" s="142">
        <f>ROUND($E$22*Data!W66*B123, 0)</f>
        <v>493449</v>
      </c>
      <c r="F123" s="143">
        <f>IF(E123=0, 0,IF($E$31="Yes", IF(Data!D66=1, MAX(Duplicate!D123+Duplicate!E123, Data!AE66), Duplicate!D123+Duplicate!E123), Duplicate!D123+Duplicate!E123))</f>
        <v>493449</v>
      </c>
      <c r="G123" s="143">
        <v>491693</v>
      </c>
      <c r="H123" s="129">
        <f>F123-Data!AL66</f>
        <v>-350018</v>
      </c>
      <c r="I123" s="127">
        <f>((F123)/(Data!AL66)) - 1</f>
        <v>-0.41497533394904607</v>
      </c>
      <c r="J123" s="127">
        <f t="shared" si="5"/>
        <v>3.5713341454932657E-3</v>
      </c>
      <c r="K123" s="143">
        <f>ROUND(IF($E$31="Yes",IF(Data!AG66&gt;0,(Duplicate!$K$23*Data!AG66)+Data!AI66,(Duplicate!$K$24*Data!AG66)+Data!AI66),IF(Data!AF66&gt;0,(Duplicate!$K$23*Data!AF66)+Data!AI66,(Duplicate!$K$24*Data!AF66)+Data!AI66)),0)</f>
        <v>893425</v>
      </c>
      <c r="L123" s="143">
        <f>ROUND(IF($E$31="Yes",IF(Data!$AG66&gt;0,(Duplicate!$L$23*Data!$AG66)+K123,(Duplicate!$L$24*Data!$AG66)+K123),IF(Data!$AF66&gt;0,(Duplicate!$L$23*Data!$AF66)+K123,(Duplicate!$L$24*Data!$AF66)+K123)),0)</f>
        <v>843309</v>
      </c>
      <c r="M123" s="143">
        <f>ROUND(IF($E$31="Yes",IF(Data!$AG66&gt;0,(Duplicate!$M$23*Data!$AG66)+L123,(Duplicate!$M$24*Data!$AG66)+L123),IF(Data!$AF66&gt;0,(Duplicate!$M$23*Data!$AF66)+L123,(Duplicate!$M$24*Data!$AF66)+L123)),0)</f>
        <v>793193</v>
      </c>
      <c r="N123" s="143">
        <f>ROUND(IF($E$31="Yes",IF(Data!$AG66&gt;0,(Duplicate!$N$23*Data!$AG66)+M123,(Duplicate!$N$24*Data!$AG66)+M123),IF(Data!$AF66&gt;0,(Duplicate!$N$23*Data!$AF66)+M123,(Duplicate!$N$24*Data!$AF66)+M123)),0)</f>
        <v>743077</v>
      </c>
      <c r="O123" s="143">
        <f>ROUND(IF($E$31="Yes",IF(Data!$AG66&gt;0,(Duplicate!$O$23*Data!$AG66)+N123,(Duplicate!$O$24*Data!$AG66)+N123),IF(Data!$AF66&gt;0,(Duplicate!$O$23*Data!$AF66)+N123,(Duplicate!$O$24*Data!$AF66)+N123)),0)</f>
        <v>692961</v>
      </c>
      <c r="P123" s="143">
        <f>ROUND(IF($E$31="Yes",IF(Data!$AG66&gt;0,(Duplicate!$P$23*Data!$AG66)+O123,(Duplicate!$P$24*Data!$AG66)+O123),IF(Data!$AF66&gt;0,(Duplicate!$P$23*Data!$AF66)+O123,(Duplicate!$P$24*Data!$AF66)+O123)),0)</f>
        <v>642845</v>
      </c>
      <c r="Q123" s="143">
        <f>ROUND(IF($E$31="Yes",IF(Data!$AG66&gt;0,(Duplicate!$Q$23*Data!$AG66)+P123,(Duplicate!$Q$24*Data!$AG66)+P123),IF(Data!$AF66&gt;0,(Duplicate!$Q$23*Data!$AF66)+P123,(Duplicate!$Q$24*Data!$AF66)+P123)),0)</f>
        <v>592729</v>
      </c>
      <c r="R123" s="143">
        <f>ROUND(IF($E$31="Yes",IF(Data!$AG66&gt;0,(Duplicate!$R$23*Data!$AG66)+Q123,(Duplicate!$R$24*Data!$AG66)+Q123),IF(Data!$AF66&gt;0,(Duplicate!$R$23*Data!$AF66)+Q123,(Duplicate!$R$24*Data!$AF66)+Q123)),0)</f>
        <v>542613</v>
      </c>
      <c r="S123" s="143">
        <f>ROUND(IF($E$31="Yes",IF(Data!$AG66&gt;0,(Duplicate!$S$23*Data!$AG66)+R123,(Duplicate!$S$24*Data!$AG66)+R123),IF(Data!$AF66&gt;0,(Duplicate!$S$23*Data!$AF66)+R123,(Duplicate!$S$24*Data!$AF66)+R123)),0)</f>
        <v>492497</v>
      </c>
      <c r="T123" s="143">
        <v>893279</v>
      </c>
      <c r="U123" s="143">
        <v>843017</v>
      </c>
      <c r="V123" s="143">
        <v>792755</v>
      </c>
      <c r="W123" s="143">
        <v>742493</v>
      </c>
      <c r="X123" s="143">
        <v>692231</v>
      </c>
      <c r="Y123" s="143">
        <v>641969</v>
      </c>
      <c r="Z123" s="143">
        <v>591707</v>
      </c>
      <c r="AA123" s="143">
        <v>541445</v>
      </c>
      <c r="AB123" s="143">
        <v>491183</v>
      </c>
      <c r="AC123" s="129">
        <f t="shared" si="24"/>
        <v>146</v>
      </c>
      <c r="AD123" s="129">
        <f t="shared" si="25"/>
        <v>292</v>
      </c>
      <c r="AE123" s="129">
        <f t="shared" si="26"/>
        <v>438</v>
      </c>
      <c r="AF123" s="129">
        <f t="shared" si="27"/>
        <v>584</v>
      </c>
      <c r="AG123" s="129">
        <f t="shared" si="28"/>
        <v>730</v>
      </c>
      <c r="AH123" s="129">
        <f t="shared" si="29"/>
        <v>876</v>
      </c>
      <c r="AI123" s="129">
        <f t="shared" si="30"/>
        <v>1022</v>
      </c>
      <c r="AJ123" s="129">
        <f t="shared" si="31"/>
        <v>1168</v>
      </c>
      <c r="AK123" s="129">
        <f t="shared" si="32"/>
        <v>1314</v>
      </c>
      <c r="AL123" s="127">
        <f t="shared" si="33"/>
        <v>1.6344277655688799E-4</v>
      </c>
      <c r="AM123" s="127">
        <f t="shared" si="34"/>
        <v>3.4637498413436774E-4</v>
      </c>
      <c r="AN123" s="127">
        <f t="shared" si="35"/>
        <v>5.5250361082559429E-4</v>
      </c>
      <c r="AO123" s="127">
        <f t="shared" si="36"/>
        <v>7.8653940171835579E-4</v>
      </c>
      <c r="AP123" s="127">
        <f t="shared" si="37"/>
        <v>1.0545612663981352E-3</v>
      </c>
      <c r="AQ123" s="127">
        <f t="shared" si="38"/>
        <v>1.3645518708846893E-3</v>
      </c>
      <c r="AR123" s="127">
        <f t="shared" si="39"/>
        <v>1.7272062017181788E-3</v>
      </c>
      <c r="AS123" s="127">
        <f t="shared" si="40"/>
        <v>2.1571904810275822E-3</v>
      </c>
      <c r="AT123" s="127">
        <f t="shared" si="41"/>
        <v>2.6751740186448103E-3</v>
      </c>
    </row>
    <row r="124" spans="1:46" s="18" customFormat="1" ht="13" x14ac:dyDescent="0.15">
      <c r="A124" s="29" t="s">
        <v>65</v>
      </c>
      <c r="B124" s="30">
        <f>IF(Data!D67=1, MAX(Data!AA67, $E$26) + INDEX(Duplicate!$E$39:$E$43, MATCH( Data!AD67, Duplicate!$B$39:$B$43, 0), 0), MAX(Data!AA67, $E$27) +  INDEX(Duplicate!$E$39:$E$43, MATCH( Data!AD67, Duplicate!$B$39:$B$43, 0), 0))</f>
        <v>0.106943</v>
      </c>
      <c r="C124" s="128">
        <f>ROUND(Data!R67/13*100, 2)</f>
        <v>0</v>
      </c>
      <c r="D124" s="141">
        <f>ROUND(Data!Q67*C124, 0)</f>
        <v>0</v>
      </c>
      <c r="E124" s="142">
        <f>ROUND($E$22*Data!W67*B124, 0)</f>
        <v>274667</v>
      </c>
      <c r="F124" s="143">
        <f>IF(E124=0, 0,IF($E$31="Yes", IF(Data!D67=1, MAX(Duplicate!D124+Duplicate!E124, Data!AE67), Duplicate!D124+Duplicate!E124), Duplicate!D124+Duplicate!E124))</f>
        <v>274667</v>
      </c>
      <c r="G124" s="143">
        <v>383145</v>
      </c>
      <c r="H124" s="129">
        <f>F124-Data!AL67</f>
        <v>-461589</v>
      </c>
      <c r="I124" s="127">
        <f>((F124)/(Data!AL67)) - 1</f>
        <v>-0.62694090099095967</v>
      </c>
      <c r="J124" s="127">
        <f t="shared" si="5"/>
        <v>-0.28312518759216487</v>
      </c>
      <c r="K124" s="143">
        <f>ROUND(IF($E$31="Yes",IF(Data!AG67&gt;0,(Duplicate!$K$23*Data!AG67)+Data!AI67,(Duplicate!$K$24*Data!AG67)+Data!AI67),IF(Data!AF67&gt;0,(Duplicate!$K$23*Data!AF67)+Data!AI67,(Duplicate!$K$24*Data!AF67)+Data!AI67)),0)</f>
        <v>776683</v>
      </c>
      <c r="L124" s="143">
        <f>ROUND(IF($E$31="Yes",IF(Data!$AG67&gt;0,(Duplicate!$L$23*Data!$AG67)+K124,(Duplicate!$L$24*Data!$AG67)+K124),IF(Data!$AF67&gt;0,(Duplicate!$L$23*Data!$AF67)+K124,(Duplicate!$L$24*Data!$AF67)+K124)),0)</f>
        <v>724286</v>
      </c>
      <c r="M124" s="143">
        <f>ROUND(IF($E$31="Yes",IF(Data!$AG67&gt;0,(Duplicate!$M$23*Data!$AG67)+L124,(Duplicate!$M$24*Data!$AG67)+L124),IF(Data!$AF67&gt;0,(Duplicate!$M$23*Data!$AF67)+L124,(Duplicate!$M$24*Data!$AF67)+L124)),0)</f>
        <v>671889</v>
      </c>
      <c r="N124" s="143">
        <f>ROUND(IF($E$31="Yes",IF(Data!$AG67&gt;0,(Duplicate!$N$23*Data!$AG67)+M124,(Duplicate!$N$24*Data!$AG67)+M124),IF(Data!$AF67&gt;0,(Duplicate!$N$23*Data!$AF67)+M124,(Duplicate!$N$24*Data!$AF67)+M124)),0)</f>
        <v>619492</v>
      </c>
      <c r="O124" s="143">
        <f>ROUND(IF($E$31="Yes",IF(Data!$AG67&gt;0,(Duplicate!$O$23*Data!$AG67)+N124,(Duplicate!$O$24*Data!$AG67)+N124),IF(Data!$AF67&gt;0,(Duplicate!$O$23*Data!$AF67)+N124,(Duplicate!$O$24*Data!$AF67)+N124)),0)</f>
        <v>567095</v>
      </c>
      <c r="P124" s="143">
        <f>ROUND(IF($E$31="Yes",IF(Data!$AG67&gt;0,(Duplicate!$P$23*Data!$AG67)+O124,(Duplicate!$P$24*Data!$AG67)+O124),IF(Data!$AF67&gt;0,(Duplicate!$P$23*Data!$AF67)+O124,(Duplicate!$P$24*Data!$AF67)+O124)),0)</f>
        <v>514698</v>
      </c>
      <c r="Q124" s="143">
        <f>ROUND(IF($E$31="Yes",IF(Data!$AG67&gt;0,(Duplicate!$Q$23*Data!$AG67)+P124,(Duplicate!$Q$24*Data!$AG67)+P124),IF(Data!$AF67&gt;0,(Duplicate!$Q$23*Data!$AF67)+P124,(Duplicate!$Q$24*Data!$AF67)+P124)),0)</f>
        <v>462301</v>
      </c>
      <c r="R124" s="143">
        <f>ROUND(IF($E$31="Yes",IF(Data!$AG67&gt;0,(Duplicate!$R$23*Data!$AG67)+Q124,(Duplicate!$R$24*Data!$AG67)+Q124),IF(Data!$AF67&gt;0,(Duplicate!$R$23*Data!$AF67)+Q124,(Duplicate!$R$24*Data!$AF67)+Q124)),0)</f>
        <v>409904</v>
      </c>
      <c r="S124" s="143">
        <f>ROUND(IF($E$31="Yes",IF(Data!$AG67&gt;0,(Duplicate!$S$23*Data!$AG67)+R124,(Duplicate!$S$24*Data!$AG67)+R124),IF(Data!$AF67&gt;0,(Duplicate!$S$23*Data!$AF67)+R124,(Duplicate!$S$24*Data!$AF67)+R124)),0)</f>
        <v>357507</v>
      </c>
      <c r="T124" s="143">
        <v>784087</v>
      </c>
      <c r="U124" s="143">
        <v>739094</v>
      </c>
      <c r="V124" s="143">
        <v>694101</v>
      </c>
      <c r="W124" s="143">
        <v>649108</v>
      </c>
      <c r="X124" s="143">
        <v>604115</v>
      </c>
      <c r="Y124" s="143">
        <v>559122</v>
      </c>
      <c r="Z124" s="143">
        <v>514129</v>
      </c>
      <c r="AA124" s="143">
        <v>469136</v>
      </c>
      <c r="AB124" s="143">
        <v>424143</v>
      </c>
      <c r="AC124" s="129">
        <f t="shared" si="24"/>
        <v>-7404</v>
      </c>
      <c r="AD124" s="129">
        <f t="shared" si="25"/>
        <v>-14808</v>
      </c>
      <c r="AE124" s="129">
        <f t="shared" si="26"/>
        <v>-22212</v>
      </c>
      <c r="AF124" s="129">
        <f t="shared" si="27"/>
        <v>-29616</v>
      </c>
      <c r="AG124" s="129">
        <f t="shared" si="28"/>
        <v>-37020</v>
      </c>
      <c r="AH124" s="129">
        <f t="shared" si="29"/>
        <v>-44424</v>
      </c>
      <c r="AI124" s="129">
        <f t="shared" si="30"/>
        <v>-51828</v>
      </c>
      <c r="AJ124" s="129">
        <f t="shared" si="31"/>
        <v>-59232</v>
      </c>
      <c r="AK124" s="129">
        <f t="shared" si="32"/>
        <v>-66636</v>
      </c>
      <c r="AL124" s="127">
        <f t="shared" si="33"/>
        <v>-9.4428296859915273E-3</v>
      </c>
      <c r="AM124" s="127">
        <f t="shared" si="34"/>
        <v>-2.0035340565611404E-2</v>
      </c>
      <c r="AN124" s="127">
        <f t="shared" si="35"/>
        <v>-3.2001106467214435E-2</v>
      </c>
      <c r="AO124" s="127">
        <f t="shared" si="36"/>
        <v>-4.5625689407617798E-2</v>
      </c>
      <c r="AP124" s="127">
        <f t="shared" si="37"/>
        <v>-6.1279723231503991E-2</v>
      </c>
      <c r="AQ124" s="127">
        <f t="shared" si="38"/>
        <v>-7.9453142605728222E-2</v>
      </c>
      <c r="AR124" s="127">
        <f t="shared" si="39"/>
        <v>-0.10080738491701502</v>
      </c>
      <c r="AS124" s="127">
        <f t="shared" si="40"/>
        <v>-0.12625763104941845</v>
      </c>
      <c r="AT124" s="127">
        <f t="shared" si="41"/>
        <v>-0.15710739066777002</v>
      </c>
    </row>
    <row r="125" spans="1:46" s="18" customFormat="1" ht="13" x14ac:dyDescent="0.15">
      <c r="A125" s="29" t="s">
        <v>66</v>
      </c>
      <c r="B125" s="30">
        <f>IF(Data!D68=1, MAX(Data!AA68, $E$26) + INDEX(Duplicate!$E$39:$E$43, MATCH( Data!AD68, Duplicate!$B$39:$B$43, 0), 0), MAX(Data!AA68, $E$27) +  INDEX(Duplicate!$E$39:$E$43, MATCH( Data!AD68, Duplicate!$B$39:$B$43, 0), 0))</f>
        <v>6.8029000000000006E-2</v>
      </c>
      <c r="C125" s="128">
        <f>ROUND(Data!R68/13*100, 2)</f>
        <v>0</v>
      </c>
      <c r="D125" s="141">
        <f>ROUND(Data!Q68*C125, 0)</f>
        <v>0</v>
      </c>
      <c r="E125" s="142">
        <f>ROUND($E$22*Data!W68*B125, 0)</f>
        <v>4777834</v>
      </c>
      <c r="F125" s="143">
        <f>IF(E125=0, 0,IF($E$31="Yes", IF(Data!D68=1, MAX(Duplicate!D125+Duplicate!E125, Data!AE68), Duplicate!D125+Duplicate!E125), Duplicate!D125+Duplicate!E125))</f>
        <v>4777834</v>
      </c>
      <c r="G125" s="143">
        <v>3538932</v>
      </c>
      <c r="H125" s="129">
        <f>F125-Data!AL68</f>
        <v>-601421</v>
      </c>
      <c r="I125" s="127">
        <f>((F125)/(Data!AL68)) - 1</f>
        <v>-0.11180377208368075</v>
      </c>
      <c r="J125" s="127">
        <f t="shared" si="5"/>
        <v>0.35007793311654467</v>
      </c>
      <c r="K125" s="143">
        <f>ROUND(IF($E$31="Yes",IF(Data!AG68&gt;0,(Duplicate!$K$23*Data!AG68)+Data!AI68,(Duplicate!$K$24*Data!AG68)+Data!AI68),IF(Data!AF68&gt;0,(Duplicate!$K$23*Data!AF68)+Data!AI68,(Duplicate!$K$24*Data!AF68)+Data!AI68)),0)</f>
        <v>5708911</v>
      </c>
      <c r="L125" s="143">
        <f>ROUND(IF($E$31="Yes",IF(Data!$AG68&gt;0,(Duplicate!$L$23*Data!$AG68)+K125,(Duplicate!$L$24*Data!$AG68)+K125),IF(Data!$AF68&gt;0,(Duplicate!$L$23*Data!$AF68)+K125,(Duplicate!$L$24*Data!$AF68)+K125)),0)</f>
        <v>5552595</v>
      </c>
      <c r="M125" s="143">
        <f>ROUND(IF($E$31="Yes",IF(Data!$AG68&gt;0,(Duplicate!$M$23*Data!$AG68)+L125,(Duplicate!$M$24*Data!$AG68)+L125),IF(Data!$AF68&gt;0,(Duplicate!$M$23*Data!$AF68)+L125,(Duplicate!$M$24*Data!$AF68)+L125)),0)</f>
        <v>5396279</v>
      </c>
      <c r="N125" s="143">
        <f>ROUND(IF($E$31="Yes",IF(Data!$AG68&gt;0,(Duplicate!$N$23*Data!$AG68)+M125,(Duplicate!$N$24*Data!$AG68)+M125),IF(Data!$AF68&gt;0,(Duplicate!$N$23*Data!$AF68)+M125,(Duplicate!$N$24*Data!$AF68)+M125)),0)</f>
        <v>5239963</v>
      </c>
      <c r="O125" s="143">
        <f>ROUND(IF($E$31="Yes",IF(Data!$AG68&gt;0,(Duplicate!$O$23*Data!$AG68)+N125,(Duplicate!$O$24*Data!$AG68)+N125),IF(Data!$AF68&gt;0,(Duplicate!$O$23*Data!$AF68)+N125,(Duplicate!$O$24*Data!$AF68)+N125)),0)</f>
        <v>5083647</v>
      </c>
      <c r="P125" s="143">
        <f>ROUND(IF($E$31="Yes",IF(Data!$AG68&gt;0,(Duplicate!$P$23*Data!$AG68)+O125,(Duplicate!$P$24*Data!$AG68)+O125),IF(Data!$AF68&gt;0,(Duplicate!$P$23*Data!$AF68)+O125,(Duplicate!$P$24*Data!$AF68)+O125)),0)</f>
        <v>4927331</v>
      </c>
      <c r="Q125" s="143">
        <f>ROUND(IF($E$31="Yes",IF(Data!$AG68&gt;0,(Duplicate!$Q$23*Data!$AG68)+P125,(Duplicate!$Q$24*Data!$AG68)+P125),IF(Data!$AF68&gt;0,(Duplicate!$Q$23*Data!$AF68)+P125,(Duplicate!$Q$24*Data!$AF68)+P125)),0)</f>
        <v>4771015</v>
      </c>
      <c r="R125" s="143">
        <f>ROUND(IF($E$31="Yes",IF(Data!$AG68&gt;0,(Duplicate!$R$23*Data!$AG68)+Q125,(Duplicate!$R$24*Data!$AG68)+Q125),IF(Data!$AF68&gt;0,(Duplicate!$R$23*Data!$AF68)+Q125,(Duplicate!$R$24*Data!$AF68)+Q125)),0)</f>
        <v>4614699</v>
      </c>
      <c r="S125" s="143">
        <f>ROUND(IF($E$31="Yes",IF(Data!$AG68&gt;0,(Duplicate!$S$23*Data!$AG68)+R125,(Duplicate!$S$24*Data!$AG68)+R125),IF(Data!$AF68&gt;0,(Duplicate!$S$23*Data!$AF68)+R125,(Duplicate!$S$24*Data!$AF68)+R125)),0)</f>
        <v>4458383</v>
      </c>
      <c r="T125" s="143">
        <v>5605710</v>
      </c>
      <c r="U125" s="143">
        <v>5346193</v>
      </c>
      <c r="V125" s="143">
        <v>5086676</v>
      </c>
      <c r="W125" s="143">
        <v>4827159</v>
      </c>
      <c r="X125" s="143">
        <v>4567642</v>
      </c>
      <c r="Y125" s="143">
        <v>4308125</v>
      </c>
      <c r="Z125" s="143">
        <v>4048608</v>
      </c>
      <c r="AA125" s="143">
        <v>3789091</v>
      </c>
      <c r="AB125" s="143">
        <v>3529574</v>
      </c>
      <c r="AC125" s="129">
        <f t="shared" si="24"/>
        <v>103201</v>
      </c>
      <c r="AD125" s="129">
        <f t="shared" si="25"/>
        <v>206402</v>
      </c>
      <c r="AE125" s="129">
        <f t="shared" si="26"/>
        <v>309603</v>
      </c>
      <c r="AF125" s="129">
        <f t="shared" si="27"/>
        <v>412804</v>
      </c>
      <c r="AG125" s="129">
        <f t="shared" si="28"/>
        <v>516005</v>
      </c>
      <c r="AH125" s="129">
        <f t="shared" si="29"/>
        <v>619206</v>
      </c>
      <c r="AI125" s="129">
        <f t="shared" si="30"/>
        <v>722407</v>
      </c>
      <c r="AJ125" s="129">
        <f t="shared" si="31"/>
        <v>825608</v>
      </c>
      <c r="AK125" s="129">
        <f t="shared" si="32"/>
        <v>928809</v>
      </c>
      <c r="AL125" s="127">
        <f t="shared" si="33"/>
        <v>1.8409978397027293E-2</v>
      </c>
      <c r="AM125" s="127">
        <f t="shared" si="34"/>
        <v>3.8607285595563035E-2</v>
      </c>
      <c r="AN125" s="127">
        <f t="shared" si="35"/>
        <v>6.0865484650486801E-2</v>
      </c>
      <c r="AO125" s="127">
        <f t="shared" si="36"/>
        <v>8.5516967640800745E-2</v>
      </c>
      <c r="AP125" s="127">
        <f t="shared" si="37"/>
        <v>0.11296966793807406</v>
      </c>
      <c r="AQ125" s="127">
        <f t="shared" si="38"/>
        <v>0.14372981285361952</v>
      </c>
      <c r="AR125" s="127">
        <f t="shared" si="39"/>
        <v>0.17843342699515485</v>
      </c>
      <c r="AS125" s="127">
        <f t="shared" si="40"/>
        <v>0.21789078172047072</v>
      </c>
      <c r="AT125" s="127">
        <f t="shared" si="41"/>
        <v>0.26315045385080471</v>
      </c>
    </row>
    <row r="126" spans="1:46" s="18" customFormat="1" ht="13" x14ac:dyDescent="0.15">
      <c r="A126" s="29" t="s">
        <v>67</v>
      </c>
      <c r="B126" s="30">
        <f>IF(Data!D69=1, MAX(Data!AA69, $E$26) + INDEX(Duplicate!$E$39:$E$43, MATCH( Data!AD69, Duplicate!$B$39:$B$43, 0), 0), MAX(Data!AA69, $E$27) +  INDEX(Duplicate!$E$39:$E$43, MATCH( Data!AD69, Duplicate!$B$39:$B$43, 0), 0))</f>
        <v>0.01</v>
      </c>
      <c r="C126" s="128">
        <f>ROUND(Data!R69/13*100, 2)</f>
        <v>100</v>
      </c>
      <c r="D126" s="141">
        <f>ROUND(Data!Q69*C126, 0)</f>
        <v>34100</v>
      </c>
      <c r="E126" s="142">
        <f>ROUND($E$22*Data!W69*B126, 0)</f>
        <v>40901</v>
      </c>
      <c r="F126" s="143">
        <f>IF(E126=0, 0,IF($E$31="Yes", IF(Data!D69=1, MAX(Duplicate!D126+Duplicate!E126, Data!AE69), Duplicate!D126+Duplicate!E126), Duplicate!D126+Duplicate!E126))</f>
        <v>75001</v>
      </c>
      <c r="G126" s="143">
        <v>75662</v>
      </c>
      <c r="H126" s="129">
        <f>F126-Data!AL69</f>
        <v>-5161</v>
      </c>
      <c r="I126" s="127">
        <f>((F126)/(Data!AL69)) - 1</f>
        <v>-6.4382126194456268E-2</v>
      </c>
      <c r="J126" s="127">
        <f t="shared" si="5"/>
        <v>-8.7362216171922302E-3</v>
      </c>
      <c r="K126" s="143">
        <f>ROUND(IF($E$31="Yes",IF(Data!AG69&gt;0,(Duplicate!$K$23*Data!AG69)+Data!AI69,(Duplicate!$K$24*Data!AG69)+Data!AI69),IF(Data!AF69&gt;0,(Duplicate!$K$23*Data!AF69)+Data!AI69,(Duplicate!$K$24*Data!AF69)+Data!AI69)),0)</f>
        <v>123831</v>
      </c>
      <c r="L126" s="143">
        <f>ROUND(IF($E$31="Yes",IF(Data!$AG69&gt;0,(Duplicate!$L$23*Data!$AG69)+K126,(Duplicate!$L$24*Data!$AG69)+K126),IF(Data!$AF69&gt;0,(Duplicate!$L$23*Data!$AF69)+K126,(Duplicate!$L$24*Data!$AF69)+K126)),0)</f>
        <v>166703</v>
      </c>
      <c r="M126" s="143">
        <f>ROUND(IF($E$31="Yes",IF(Data!$AG69&gt;0,(Duplicate!$M$23*Data!$AG69)+L126,(Duplicate!$M$24*Data!$AG69)+L126),IF(Data!$AF69&gt;0,(Duplicate!$M$23*Data!$AF69)+L126,(Duplicate!$M$24*Data!$AF69)+L126)),0)</f>
        <v>209575</v>
      </c>
      <c r="N126" s="143">
        <f>ROUND(IF($E$31="Yes",IF(Data!$AG69&gt;0,(Duplicate!$N$23*Data!$AG69)+M126,(Duplicate!$N$24*Data!$AG69)+M126),IF(Data!$AF69&gt;0,(Duplicate!$N$23*Data!$AF69)+M126,(Duplicate!$N$24*Data!$AF69)+M126)),0)</f>
        <v>252447</v>
      </c>
      <c r="O126" s="143">
        <f>ROUND(IF($E$31="Yes",IF(Data!$AG69&gt;0,(Duplicate!$O$23*Data!$AG69)+N126,(Duplicate!$O$24*Data!$AG69)+N126),IF(Data!$AF69&gt;0,(Duplicate!$O$23*Data!$AF69)+N126,(Duplicate!$O$24*Data!$AF69)+N126)),0)</f>
        <v>295319</v>
      </c>
      <c r="P126" s="143">
        <f>ROUND(IF($E$31="Yes",IF(Data!$AG69&gt;0,(Duplicate!$P$23*Data!$AG69)+O126,(Duplicate!$P$24*Data!$AG69)+O126),IF(Data!$AF69&gt;0,(Duplicate!$P$23*Data!$AF69)+O126,(Duplicate!$P$24*Data!$AF69)+O126)),0)</f>
        <v>338191</v>
      </c>
      <c r="Q126" s="143">
        <f>ROUND(IF($E$31="Yes",IF(Data!$AG69&gt;0,(Duplicate!$Q$23*Data!$AG69)+P126,(Duplicate!$Q$24*Data!$AG69)+P126),IF(Data!$AF69&gt;0,(Duplicate!$Q$23*Data!$AF69)+P126,(Duplicate!$Q$24*Data!$AF69)+P126)),0)</f>
        <v>381063</v>
      </c>
      <c r="R126" s="143">
        <f>ROUND(IF($E$31="Yes",IF(Data!$AG69&gt;0,(Duplicate!$R$23*Data!$AG69)+Q126,(Duplicate!$R$24*Data!$AG69)+Q126),IF(Data!$AF69&gt;0,(Duplicate!$R$23*Data!$AF69)+Q126,(Duplicate!$R$24*Data!$AF69)+Q126)),0)</f>
        <v>423935</v>
      </c>
      <c r="S126" s="143">
        <f>ROUND(IF($E$31="Yes",IF(Data!$AG69&gt;0,(Duplicate!$S$23*Data!$AG69)+R126,(Duplicate!$S$24*Data!$AG69)+R126),IF(Data!$AF69&gt;0,(Duplicate!$S$23*Data!$AF69)+R126,(Duplicate!$S$24*Data!$AF69)+R126)),0)</f>
        <v>466807</v>
      </c>
      <c r="T126" s="143">
        <v>80429</v>
      </c>
      <c r="U126" s="143">
        <v>79899</v>
      </c>
      <c r="V126" s="143">
        <v>79369</v>
      </c>
      <c r="W126" s="143">
        <v>78839</v>
      </c>
      <c r="X126" s="143">
        <v>78309</v>
      </c>
      <c r="Y126" s="143">
        <v>77779</v>
      </c>
      <c r="Z126" s="143">
        <v>77249</v>
      </c>
      <c r="AA126" s="143">
        <v>76719</v>
      </c>
      <c r="AB126" s="143">
        <v>76189</v>
      </c>
      <c r="AC126" s="129">
        <f t="shared" si="24"/>
        <v>43402</v>
      </c>
      <c r="AD126" s="129">
        <f t="shared" si="25"/>
        <v>86804</v>
      </c>
      <c r="AE126" s="129">
        <f t="shared" si="26"/>
        <v>130206</v>
      </c>
      <c r="AF126" s="129">
        <f t="shared" si="27"/>
        <v>173608</v>
      </c>
      <c r="AG126" s="129">
        <f t="shared" si="28"/>
        <v>217010</v>
      </c>
      <c r="AH126" s="129">
        <f t="shared" si="29"/>
        <v>260412</v>
      </c>
      <c r="AI126" s="129">
        <f t="shared" si="30"/>
        <v>303814</v>
      </c>
      <c r="AJ126" s="129">
        <f t="shared" si="31"/>
        <v>347216</v>
      </c>
      <c r="AK126" s="129">
        <f t="shared" si="32"/>
        <v>390618</v>
      </c>
      <c r="AL126" s="127">
        <f t="shared" si="33"/>
        <v>0.5396312275423043</v>
      </c>
      <c r="AM126" s="127">
        <f t="shared" si="34"/>
        <v>1.0864216072791901</v>
      </c>
      <c r="AN126" s="127">
        <f t="shared" si="35"/>
        <v>1.6405145585808061</v>
      </c>
      <c r="AO126" s="127">
        <f t="shared" si="36"/>
        <v>2.2020573573992568</v>
      </c>
      <c r="AP126" s="127">
        <f t="shared" si="37"/>
        <v>2.771201266776488</v>
      </c>
      <c r="AQ126" s="127">
        <f t="shared" si="38"/>
        <v>3.3481016726880002</v>
      </c>
      <c r="AR126" s="127">
        <f t="shared" si="39"/>
        <v>3.9329182254786472</v>
      </c>
      <c r="AS126" s="127">
        <f t="shared" si="40"/>
        <v>4.5258149871609383</v>
      </c>
      <c r="AT126" s="127">
        <f t="shared" si="41"/>
        <v>5.1269605848613313</v>
      </c>
    </row>
    <row r="127" spans="1:46" s="18" customFormat="1" ht="13" x14ac:dyDescent="0.15">
      <c r="A127" s="29" t="s">
        <v>68</v>
      </c>
      <c r="B127" s="30">
        <f>IF(Data!D70=1, MAX(Data!AA70, $E$26) + INDEX(Duplicate!$E$39:$E$43, MATCH( Data!AD70, Duplicate!$B$39:$B$43, 0), 0), MAX(Data!AA70, $E$27) +  INDEX(Duplicate!$E$39:$E$43, MATCH( Data!AD70, Duplicate!$B$39:$B$43, 0), 0))</f>
        <v>0.22311500000000001</v>
      </c>
      <c r="C127" s="128">
        <f>ROUND(Data!R70/13*100, 2)</f>
        <v>0</v>
      </c>
      <c r="D127" s="141">
        <f>ROUND(Data!Q70*C127, 0)</f>
        <v>0</v>
      </c>
      <c r="E127" s="142">
        <f>ROUND($E$22*Data!W70*B127, 0)</f>
        <v>4485808</v>
      </c>
      <c r="F127" s="143">
        <f>IF(E127=0, 0,IF($E$31="Yes", IF(Data!D70=1, MAX(Duplicate!D127+Duplicate!E127, Data!AE70), Duplicate!D127+Duplicate!E127), Duplicate!D127+Duplicate!E127))</f>
        <v>4485808</v>
      </c>
      <c r="G127" s="143">
        <v>4776451</v>
      </c>
      <c r="H127" s="129">
        <f>F127-Data!AL70</f>
        <v>-792506</v>
      </c>
      <c r="I127" s="127">
        <f>((F127)/(Data!AL70)) - 1</f>
        <v>-0.15014377697120707</v>
      </c>
      <c r="J127" s="127">
        <f t="shared" si="5"/>
        <v>-6.0849153482365859E-2</v>
      </c>
      <c r="K127" s="143">
        <f>ROUND(IF($E$31="Yes",IF(Data!AG70&gt;0,(Duplicate!$K$23*Data!AG70)+Data!AI70,(Duplicate!$K$24*Data!AG70)+Data!AI70),IF(Data!AF70&gt;0,(Duplicate!$K$23*Data!AF70)+Data!AI70,(Duplicate!$K$24*Data!AF70)+Data!AI70)),0)</f>
        <v>5306007</v>
      </c>
      <c r="L127" s="143">
        <f>ROUND(IF($E$31="Yes",IF(Data!$AG70&gt;0,(Duplicate!$L$23*Data!$AG70)+K127,(Duplicate!$L$24*Data!$AG70)+K127),IF(Data!$AF70&gt;0,(Duplicate!$L$23*Data!$AF70)+K127,(Duplicate!$L$24*Data!$AF70)+K127)),0)</f>
        <v>5220673</v>
      </c>
      <c r="M127" s="143">
        <f>ROUND(IF($E$31="Yes",IF(Data!$AG70&gt;0,(Duplicate!$M$23*Data!$AG70)+L127,(Duplicate!$M$24*Data!$AG70)+L127),IF(Data!$AF70&gt;0,(Duplicate!$M$23*Data!$AF70)+L127,(Duplicate!$M$24*Data!$AF70)+L127)),0)</f>
        <v>5135339</v>
      </c>
      <c r="N127" s="143">
        <f>ROUND(IF($E$31="Yes",IF(Data!$AG70&gt;0,(Duplicate!$N$23*Data!$AG70)+M127,(Duplicate!$N$24*Data!$AG70)+M127),IF(Data!$AF70&gt;0,(Duplicate!$N$23*Data!$AF70)+M127,(Duplicate!$N$24*Data!$AF70)+M127)),0)</f>
        <v>5050005</v>
      </c>
      <c r="O127" s="143">
        <f>ROUND(IF($E$31="Yes",IF(Data!$AG70&gt;0,(Duplicate!$O$23*Data!$AG70)+N127,(Duplicate!$O$24*Data!$AG70)+N127),IF(Data!$AF70&gt;0,(Duplicate!$O$23*Data!$AF70)+N127,(Duplicate!$O$24*Data!$AF70)+N127)),0)</f>
        <v>4964671</v>
      </c>
      <c r="P127" s="143">
        <f>ROUND(IF($E$31="Yes",IF(Data!$AG70&gt;0,(Duplicate!$P$23*Data!$AG70)+O127,(Duplicate!$P$24*Data!$AG70)+O127),IF(Data!$AF70&gt;0,(Duplicate!$P$23*Data!$AF70)+O127,(Duplicate!$P$24*Data!$AF70)+O127)),0)</f>
        <v>4879337</v>
      </c>
      <c r="Q127" s="143">
        <f>ROUND(IF($E$31="Yes",IF(Data!$AG70&gt;0,(Duplicate!$Q$23*Data!$AG70)+P127,(Duplicate!$Q$24*Data!$AG70)+P127),IF(Data!$AF70&gt;0,(Duplicate!$Q$23*Data!$AF70)+P127,(Duplicate!$Q$24*Data!$AF70)+P127)),0)</f>
        <v>4794003</v>
      </c>
      <c r="R127" s="143">
        <f>ROUND(IF($E$31="Yes",IF(Data!$AG70&gt;0,(Duplicate!$R$23*Data!$AG70)+Q127,(Duplicate!$R$24*Data!$AG70)+Q127),IF(Data!$AF70&gt;0,(Duplicate!$R$23*Data!$AF70)+Q127,(Duplicate!$R$24*Data!$AF70)+Q127)),0)</f>
        <v>4708669</v>
      </c>
      <c r="S127" s="143">
        <f>ROUND(IF($E$31="Yes",IF(Data!$AG70&gt;0,(Duplicate!$S$23*Data!$AG70)+R127,(Duplicate!$S$24*Data!$AG70)+R127),IF(Data!$AF70&gt;0,(Duplicate!$S$23*Data!$AF70)+R127,(Duplicate!$S$24*Data!$AF70)+R127)),0)</f>
        <v>4623335</v>
      </c>
      <c r="T127" s="143">
        <v>5330218</v>
      </c>
      <c r="U127" s="143">
        <v>5269095</v>
      </c>
      <c r="V127" s="143">
        <v>5207972</v>
      </c>
      <c r="W127" s="143">
        <v>5146849</v>
      </c>
      <c r="X127" s="143">
        <v>5085726</v>
      </c>
      <c r="Y127" s="143">
        <v>5024603</v>
      </c>
      <c r="Z127" s="143">
        <v>4963480</v>
      </c>
      <c r="AA127" s="143">
        <v>4902357</v>
      </c>
      <c r="AB127" s="143">
        <v>4841234</v>
      </c>
      <c r="AC127" s="129">
        <f t="shared" si="24"/>
        <v>-24211</v>
      </c>
      <c r="AD127" s="129">
        <f t="shared" si="25"/>
        <v>-48422</v>
      </c>
      <c r="AE127" s="129">
        <f t="shared" si="26"/>
        <v>-72633</v>
      </c>
      <c r="AF127" s="129">
        <f t="shared" si="27"/>
        <v>-96844</v>
      </c>
      <c r="AG127" s="129">
        <f t="shared" si="28"/>
        <v>-121055</v>
      </c>
      <c r="AH127" s="129">
        <f t="shared" si="29"/>
        <v>-145266</v>
      </c>
      <c r="AI127" s="129">
        <f t="shared" si="30"/>
        <v>-169477</v>
      </c>
      <c r="AJ127" s="129">
        <f t="shared" si="31"/>
        <v>-193688</v>
      </c>
      <c r="AK127" s="129">
        <f t="shared" si="32"/>
        <v>-217899</v>
      </c>
      <c r="AL127" s="127">
        <f t="shared" si="33"/>
        <v>-4.5422157217585024E-3</v>
      </c>
      <c r="AM127" s="127">
        <f t="shared" si="34"/>
        <v>-9.1898134309592594E-3</v>
      </c>
      <c r="AN127" s="127">
        <f t="shared" si="35"/>
        <v>-1.3946503552630496E-2</v>
      </c>
      <c r="AO127" s="127">
        <f t="shared" si="36"/>
        <v>-1.8816172769008821E-2</v>
      </c>
      <c r="AP127" s="127">
        <f t="shared" si="37"/>
        <v>-2.3802894611310133E-2</v>
      </c>
      <c r="AQ127" s="127">
        <f t="shared" si="38"/>
        <v>-2.8910940824578568E-2</v>
      </c>
      <c r="AR127" s="127">
        <f t="shared" si="39"/>
        <v>-3.4144793572251753E-2</v>
      </c>
      <c r="AS127" s="127">
        <f t="shared" si="40"/>
        <v>-3.9509158553732382E-2</v>
      </c>
      <c r="AT127" s="127">
        <f t="shared" si="41"/>
        <v>-4.5008979115655268E-2</v>
      </c>
    </row>
    <row r="128" spans="1:46" s="18" customFormat="1" ht="13" x14ac:dyDescent="0.15">
      <c r="A128" s="29" t="s">
        <v>69</v>
      </c>
      <c r="B128" s="30">
        <f>IF(Data!D71=1, MAX(Data!AA71, $E$26) + INDEX(Duplicate!$E$39:$E$43, MATCH( Data!AD71, Duplicate!$B$39:$B$43, 0), 0), MAX(Data!AA71, $E$27) +  INDEX(Duplicate!$E$39:$E$43, MATCH( Data!AD71, Duplicate!$B$39:$B$43, 0), 0))</f>
        <v>0.01</v>
      </c>
      <c r="C128" s="128">
        <f>ROUND(Data!R71/13*100, 2)</f>
        <v>0</v>
      </c>
      <c r="D128" s="141">
        <f>ROUND(Data!Q71*C128, 0)</f>
        <v>0</v>
      </c>
      <c r="E128" s="142">
        <f>ROUND($E$22*Data!W71*B128, 0)</f>
        <v>1065326</v>
      </c>
      <c r="F128" s="143">
        <f>IF(E128=0, 0,IF($E$31="Yes", IF(Data!D71=1, MAX(Duplicate!D128+Duplicate!E128, Data!AE71), Duplicate!D128+Duplicate!E128), Duplicate!D128+Duplicate!E128))</f>
        <v>1065326</v>
      </c>
      <c r="G128" s="143">
        <v>1093698</v>
      </c>
      <c r="H128" s="129">
        <f>F128-Data!AL71</f>
        <v>686677</v>
      </c>
      <c r="I128" s="127">
        <f>((F128)/(Data!AL71)) - 1</f>
        <v>1.813492178772425</v>
      </c>
      <c r="J128" s="127">
        <f t="shared" si="5"/>
        <v>-2.5941347611497911E-2</v>
      </c>
      <c r="K128" s="143">
        <f>ROUND(IF($E$31="Yes",IF(Data!AG71&gt;0,(Duplicate!$K$23*Data!AG71)+Data!AI71,(Duplicate!$K$24*Data!AG71)+Data!AI71),IF(Data!AF71&gt;0,(Duplicate!$K$23*Data!AF71)+Data!AI71,(Duplicate!$K$24*Data!AF71)+Data!AI71)),0)</f>
        <v>274343</v>
      </c>
      <c r="L128" s="143">
        <f>ROUND(IF($E$31="Yes",IF(Data!$AG71&gt;0,(Duplicate!$L$23*Data!$AG71)+K128,(Duplicate!$L$24*Data!$AG71)+K128),IF(Data!$AF71&gt;0,(Duplicate!$L$23*Data!$AF71)+K128,(Duplicate!$L$24*Data!$AF71)+K128)),0)</f>
        <v>373318</v>
      </c>
      <c r="M128" s="143">
        <f>ROUND(IF($E$31="Yes",IF(Data!$AG71&gt;0,(Duplicate!$M$23*Data!$AG71)+L128,(Duplicate!$M$24*Data!$AG71)+L128),IF(Data!$AF71&gt;0,(Duplicate!$M$23*Data!$AF71)+L128,(Duplicate!$M$24*Data!$AF71)+L128)),0)</f>
        <v>472293</v>
      </c>
      <c r="N128" s="143">
        <f>ROUND(IF($E$31="Yes",IF(Data!$AG71&gt;0,(Duplicate!$N$23*Data!$AG71)+M128,(Duplicate!$N$24*Data!$AG71)+M128),IF(Data!$AF71&gt;0,(Duplicate!$N$23*Data!$AF71)+M128,(Duplicate!$N$24*Data!$AF71)+M128)),0)</f>
        <v>571268</v>
      </c>
      <c r="O128" s="143">
        <f>ROUND(IF($E$31="Yes",IF(Data!$AG71&gt;0,(Duplicate!$O$23*Data!$AG71)+N128,(Duplicate!$O$24*Data!$AG71)+N128),IF(Data!$AF71&gt;0,(Duplicate!$O$23*Data!$AF71)+N128,(Duplicate!$O$24*Data!$AF71)+N128)),0)</f>
        <v>670243</v>
      </c>
      <c r="P128" s="143">
        <f>ROUND(IF($E$31="Yes",IF(Data!$AG71&gt;0,(Duplicate!$P$23*Data!$AG71)+O128,(Duplicate!$P$24*Data!$AG71)+O128),IF(Data!$AF71&gt;0,(Duplicate!$P$23*Data!$AF71)+O128,(Duplicate!$P$24*Data!$AF71)+O128)),0)</f>
        <v>769218</v>
      </c>
      <c r="Q128" s="143">
        <f>ROUND(IF($E$31="Yes",IF(Data!$AG71&gt;0,(Duplicate!$Q$23*Data!$AG71)+P128,(Duplicate!$Q$24*Data!$AG71)+P128),IF(Data!$AF71&gt;0,(Duplicate!$Q$23*Data!$AF71)+P128,(Duplicate!$Q$24*Data!$AF71)+P128)),0)</f>
        <v>868193</v>
      </c>
      <c r="R128" s="143">
        <f>ROUND(IF($E$31="Yes",IF(Data!$AG71&gt;0,(Duplicate!$R$23*Data!$AG71)+Q128,(Duplicate!$R$24*Data!$AG71)+Q128),IF(Data!$AF71&gt;0,(Duplicate!$R$23*Data!$AF71)+Q128,(Duplicate!$R$24*Data!$AF71)+Q128)),0)</f>
        <v>967168</v>
      </c>
      <c r="S128" s="143">
        <f>ROUND(IF($E$31="Yes",IF(Data!$AG71&gt;0,(Duplicate!$S$23*Data!$AG71)+R128,(Duplicate!$S$24*Data!$AG71)+R128),IF(Data!$AF71&gt;0,(Duplicate!$S$23*Data!$AF71)+R128,(Duplicate!$S$24*Data!$AF71)+R128)),0)</f>
        <v>1066143</v>
      </c>
      <c r="T128" s="143">
        <v>277367</v>
      </c>
      <c r="U128" s="143">
        <v>379366</v>
      </c>
      <c r="V128" s="143">
        <v>481365</v>
      </c>
      <c r="W128" s="143">
        <v>583364</v>
      </c>
      <c r="X128" s="143">
        <v>685363</v>
      </c>
      <c r="Y128" s="143">
        <v>787362</v>
      </c>
      <c r="Z128" s="143">
        <v>889361</v>
      </c>
      <c r="AA128" s="143">
        <v>991360</v>
      </c>
      <c r="AB128" s="143">
        <v>1093359</v>
      </c>
      <c r="AC128" s="129">
        <f t="shared" si="24"/>
        <v>-3024</v>
      </c>
      <c r="AD128" s="129">
        <f t="shared" si="25"/>
        <v>-6048</v>
      </c>
      <c r="AE128" s="129">
        <f t="shared" si="26"/>
        <v>-9072</v>
      </c>
      <c r="AF128" s="129">
        <f t="shared" si="27"/>
        <v>-12096</v>
      </c>
      <c r="AG128" s="129">
        <f t="shared" si="28"/>
        <v>-15120</v>
      </c>
      <c r="AH128" s="129">
        <f t="shared" si="29"/>
        <v>-18144</v>
      </c>
      <c r="AI128" s="129">
        <f t="shared" si="30"/>
        <v>-21168</v>
      </c>
      <c r="AJ128" s="129">
        <f t="shared" si="31"/>
        <v>-24192</v>
      </c>
      <c r="AK128" s="129">
        <f t="shared" si="32"/>
        <v>-27216</v>
      </c>
      <c r="AL128" s="127">
        <f t="shared" si="33"/>
        <v>-1.0902522650495516E-2</v>
      </c>
      <c r="AM128" s="127">
        <f t="shared" si="34"/>
        <v>-1.5942388089602133E-2</v>
      </c>
      <c r="AN128" s="127">
        <f t="shared" si="35"/>
        <v>-1.8846405534261979E-2</v>
      </c>
      <c r="AO128" s="127">
        <f t="shared" si="36"/>
        <v>-2.0734909936163337E-2</v>
      </c>
      <c r="AP128" s="127">
        <f t="shared" si="37"/>
        <v>-2.2061301821078794E-2</v>
      </c>
      <c r="AQ128" s="127">
        <f t="shared" si="38"/>
        <v>-2.3044038193359651E-2</v>
      </c>
      <c r="AR128" s="127">
        <f t="shared" si="39"/>
        <v>-2.3801358503464876E-2</v>
      </c>
      <c r="AS128" s="127">
        <f t="shared" si="40"/>
        <v>-2.4402840542285364E-2</v>
      </c>
      <c r="AT128" s="127">
        <f t="shared" si="41"/>
        <v>-2.4892098569637255E-2</v>
      </c>
    </row>
    <row r="129" spans="1:46" s="18" customFormat="1" ht="13" x14ac:dyDescent="0.15">
      <c r="A129" s="29" t="s">
        <v>70</v>
      </c>
      <c r="B129" s="30">
        <f>IF(Data!D72=1, MAX(Data!AA72, $E$26) + INDEX(Duplicate!$E$39:$E$43, MATCH( Data!AD72, Duplicate!$B$39:$B$43, 0), 0), MAX(Data!AA72, $E$27) +  INDEX(Duplicate!$E$39:$E$43, MATCH( Data!AD72, Duplicate!$B$39:$B$43, 0), 0))</f>
        <v>0.51212899999999995</v>
      </c>
      <c r="C129" s="128">
        <f>ROUND(Data!R72/13*100, 2)</f>
        <v>0</v>
      </c>
      <c r="D129" s="141">
        <f>ROUND(Data!Q72*C129, 0)</f>
        <v>0</v>
      </c>
      <c r="E129" s="142">
        <f>ROUND($E$22*Data!W72*B129, 0)</f>
        <v>10552108</v>
      </c>
      <c r="F129" s="143">
        <f>IF(E129=0, 0,IF($E$31="Yes", IF(Data!D72=1, MAX(Duplicate!D129+Duplicate!E129, Data!AE72), Duplicate!D129+Duplicate!E129), Duplicate!D129+Duplicate!E129))</f>
        <v>10552108</v>
      </c>
      <c r="G129" s="143">
        <v>11504064</v>
      </c>
      <c r="H129" s="129">
        <f>F129-Data!AL72</f>
        <v>-373043</v>
      </c>
      <c r="I129" s="127">
        <f>((F129)/(Data!AL72)) - 1</f>
        <v>-3.414534041680517E-2</v>
      </c>
      <c r="J129" s="127">
        <f t="shared" si="5"/>
        <v>-8.2749539640947778E-2</v>
      </c>
      <c r="K129" s="143">
        <f>ROUND(IF($E$31="Yes",IF(Data!AG72&gt;0,(Duplicate!$K$23*Data!AG72)+Data!AI72,(Duplicate!$K$24*Data!AG72)+Data!AI72),IF(Data!AF72&gt;0,(Duplicate!$K$23*Data!AF72)+Data!AI72,(Duplicate!$K$24*Data!AF72)+Data!AI72)),0)</f>
        <v>10779336</v>
      </c>
      <c r="L129" s="143">
        <f>ROUND(IF($E$31="Yes",IF(Data!$AG72&gt;0,(Duplicate!$L$23*Data!$AG72)+K129,(Duplicate!$L$24*Data!$AG72)+K129),IF(Data!$AF72&gt;0,(Duplicate!$L$23*Data!$AF72)+K129,(Duplicate!$L$24*Data!$AF72)+K129)),0)</f>
        <v>10760705</v>
      </c>
      <c r="M129" s="143">
        <f>ROUND(IF($E$31="Yes",IF(Data!$AG72&gt;0,(Duplicate!$M$23*Data!$AG72)+L129,(Duplicate!$M$24*Data!$AG72)+L129),IF(Data!$AF72&gt;0,(Duplicate!$M$23*Data!$AF72)+L129,(Duplicate!$M$24*Data!$AF72)+L129)),0)</f>
        <v>10742074</v>
      </c>
      <c r="N129" s="143">
        <f>ROUND(IF($E$31="Yes",IF(Data!$AG72&gt;0,(Duplicate!$N$23*Data!$AG72)+M129,(Duplicate!$N$24*Data!$AG72)+M129),IF(Data!$AF72&gt;0,(Duplicate!$N$23*Data!$AF72)+M129,(Duplicate!$N$24*Data!$AF72)+M129)),0)</f>
        <v>10723443</v>
      </c>
      <c r="O129" s="143">
        <f>ROUND(IF($E$31="Yes",IF(Data!$AG72&gt;0,(Duplicate!$O$23*Data!$AG72)+N129,(Duplicate!$O$24*Data!$AG72)+N129),IF(Data!$AF72&gt;0,(Duplicate!$O$23*Data!$AF72)+N129,(Duplicate!$O$24*Data!$AF72)+N129)),0)</f>
        <v>10704812</v>
      </c>
      <c r="P129" s="143">
        <f>ROUND(IF($E$31="Yes",IF(Data!$AG72&gt;0,(Duplicate!$P$23*Data!$AG72)+O129,(Duplicate!$P$24*Data!$AG72)+O129),IF(Data!$AF72&gt;0,(Duplicate!$P$23*Data!$AF72)+O129,(Duplicate!$P$24*Data!$AF72)+O129)),0)</f>
        <v>10686181</v>
      </c>
      <c r="Q129" s="143">
        <f>ROUND(IF($E$31="Yes",IF(Data!$AG72&gt;0,(Duplicate!$Q$23*Data!$AG72)+P129,(Duplicate!$Q$24*Data!$AG72)+P129),IF(Data!$AF72&gt;0,(Duplicate!$Q$23*Data!$AF72)+P129,(Duplicate!$Q$24*Data!$AF72)+P129)),0)</f>
        <v>10667550</v>
      </c>
      <c r="R129" s="143">
        <f>ROUND(IF($E$31="Yes",IF(Data!$AG72&gt;0,(Duplicate!$R$23*Data!$AG72)+Q129,(Duplicate!$R$24*Data!$AG72)+Q129),IF(Data!$AF72&gt;0,(Duplicate!$R$23*Data!$AF72)+Q129,(Duplicate!$R$24*Data!$AF72)+Q129)),0)</f>
        <v>10648919</v>
      </c>
      <c r="S129" s="143">
        <f>ROUND(IF($E$31="Yes",IF(Data!$AG72&gt;0,(Duplicate!$S$23*Data!$AG72)+R129,(Duplicate!$S$24*Data!$AG72)+R129),IF(Data!$AF72&gt;0,(Duplicate!$S$23*Data!$AF72)+R129,(Duplicate!$S$24*Data!$AF72)+R129)),0)</f>
        <v>10630288</v>
      </c>
      <c r="T129" s="143">
        <v>10875603</v>
      </c>
      <c r="U129" s="143">
        <v>10953239</v>
      </c>
      <c r="V129" s="143">
        <v>11030875</v>
      </c>
      <c r="W129" s="143">
        <v>11108511</v>
      </c>
      <c r="X129" s="143">
        <v>11186147</v>
      </c>
      <c r="Y129" s="143">
        <v>11263783</v>
      </c>
      <c r="Z129" s="143">
        <v>11341419</v>
      </c>
      <c r="AA129" s="143">
        <v>11419055</v>
      </c>
      <c r="AB129" s="143">
        <v>11496691</v>
      </c>
      <c r="AC129" s="129">
        <f t="shared" si="24"/>
        <v>-96267</v>
      </c>
      <c r="AD129" s="129">
        <f t="shared" si="25"/>
        <v>-192534</v>
      </c>
      <c r="AE129" s="129">
        <f t="shared" si="26"/>
        <v>-288801</v>
      </c>
      <c r="AF129" s="129">
        <f t="shared" si="27"/>
        <v>-385068</v>
      </c>
      <c r="AG129" s="129">
        <f t="shared" si="28"/>
        <v>-481335</v>
      </c>
      <c r="AH129" s="129">
        <f t="shared" si="29"/>
        <v>-577602</v>
      </c>
      <c r="AI129" s="129">
        <f t="shared" si="30"/>
        <v>-673869</v>
      </c>
      <c r="AJ129" s="129">
        <f t="shared" si="31"/>
        <v>-770136</v>
      </c>
      <c r="AK129" s="129">
        <f t="shared" si="32"/>
        <v>-866403</v>
      </c>
      <c r="AL129" s="127">
        <f t="shared" si="33"/>
        <v>-8.8516471224630022E-3</v>
      </c>
      <c r="AM129" s="127">
        <f t="shared" si="34"/>
        <v>-1.7577814197243358E-2</v>
      </c>
      <c r="AN129" s="127">
        <f t="shared" si="35"/>
        <v>-2.6181150634015937E-2</v>
      </c>
      <c r="AO129" s="127">
        <f t="shared" si="36"/>
        <v>-3.4664231776878163E-2</v>
      </c>
      <c r="AP129" s="127">
        <f t="shared" si="37"/>
        <v>-4.302956147456316E-2</v>
      </c>
      <c r="AQ129" s="127">
        <f t="shared" si="38"/>
        <v>-5.1279574544360496E-2</v>
      </c>
      <c r="AR129" s="127">
        <f t="shared" si="39"/>
        <v>-5.9416639134838412E-2</v>
      </c>
      <c r="AS129" s="127">
        <f t="shared" si="40"/>
        <v>-6.7443058992184501E-2</v>
      </c>
      <c r="AT129" s="127">
        <f t="shared" si="41"/>
        <v>-7.536107563471961E-2</v>
      </c>
    </row>
    <row r="130" spans="1:46" s="18" customFormat="1" ht="13" x14ac:dyDescent="0.15">
      <c r="A130" s="29" t="s">
        <v>71</v>
      </c>
      <c r="B130" s="30">
        <f>IF(Data!D73=1, MAX(Data!AA73, $E$26) + INDEX(Duplicate!$E$39:$E$43, MATCH( Data!AD73, Duplicate!$B$39:$B$43, 0), 0), MAX(Data!AA73, $E$27) +  INDEX(Duplicate!$E$39:$E$43, MATCH( Data!AD73, Duplicate!$B$39:$B$43, 0), 0))</f>
        <v>0.292487</v>
      </c>
      <c r="C130" s="128">
        <f>ROUND(Data!R73/13*100, 2)</f>
        <v>0</v>
      </c>
      <c r="D130" s="141">
        <f>ROUND(Data!Q73*C130, 0)</f>
        <v>0</v>
      </c>
      <c r="E130" s="142">
        <f>ROUND($E$22*Data!W73*B130, 0)</f>
        <v>17553421</v>
      </c>
      <c r="F130" s="143">
        <f>IF(E130=0, 0,IF($E$31="Yes", IF(Data!D73=1, MAX(Duplicate!D130+Duplicate!E130, Data!AE73), Duplicate!D130+Duplicate!E130), Duplicate!D130+Duplicate!E130))</f>
        <v>25040045</v>
      </c>
      <c r="G130" s="143">
        <v>25040045</v>
      </c>
      <c r="H130" s="129">
        <f>F130-Data!AL73</f>
        <v>0</v>
      </c>
      <c r="I130" s="127">
        <f>((F130)/(Data!AL73)) - 1</f>
        <v>0</v>
      </c>
      <c r="J130" s="127">
        <f t="shared" si="5"/>
        <v>0</v>
      </c>
      <c r="K130" s="143">
        <f>ROUND(IF($E$31="Yes",IF(Data!AG73&gt;0,(Duplicate!$K$23*Data!AG73)+Data!AI73,(Duplicate!$K$24*Data!AG73)+Data!AI73),IF(Data!AF73&gt;0,(Duplicate!$K$23*Data!AF73)+Data!AI73,(Duplicate!$K$24*Data!AF73)+Data!AI73)),0)</f>
        <v>25040045</v>
      </c>
      <c r="L130" s="143">
        <f>ROUND(IF($E$31="Yes",IF(Data!$AG73&gt;0,(Duplicate!$L$23*Data!$AG73)+K130,(Duplicate!$L$24*Data!$AG73)+K130),IF(Data!$AF73&gt;0,(Duplicate!$L$23*Data!$AF73)+K130,(Duplicate!$L$24*Data!$AF73)+K130)),0)</f>
        <v>25040045</v>
      </c>
      <c r="M130" s="143">
        <f>ROUND(IF($E$31="Yes",IF(Data!$AG73&gt;0,(Duplicate!$M$23*Data!$AG73)+L130,(Duplicate!$M$24*Data!$AG73)+L130),IF(Data!$AF73&gt;0,(Duplicate!$M$23*Data!$AF73)+L130,(Duplicate!$M$24*Data!$AF73)+L130)),0)</f>
        <v>25040045</v>
      </c>
      <c r="N130" s="143">
        <f>ROUND(IF($E$31="Yes",IF(Data!$AG73&gt;0,(Duplicate!$N$23*Data!$AG73)+M130,(Duplicate!$N$24*Data!$AG73)+M130),IF(Data!$AF73&gt;0,(Duplicate!$N$23*Data!$AF73)+M130,(Duplicate!$N$24*Data!$AF73)+M130)),0)</f>
        <v>25040045</v>
      </c>
      <c r="O130" s="143">
        <f>ROUND(IF($E$31="Yes",IF(Data!$AG73&gt;0,(Duplicate!$O$23*Data!$AG73)+N130,(Duplicate!$O$24*Data!$AG73)+N130),IF(Data!$AF73&gt;0,(Duplicate!$O$23*Data!$AF73)+N130,(Duplicate!$O$24*Data!$AF73)+N130)),0)</f>
        <v>25040045</v>
      </c>
      <c r="P130" s="143">
        <f>ROUND(IF($E$31="Yes",IF(Data!$AG73&gt;0,(Duplicate!$P$23*Data!$AG73)+O130,(Duplicate!$P$24*Data!$AG73)+O130),IF(Data!$AF73&gt;0,(Duplicate!$P$23*Data!$AF73)+O130,(Duplicate!$P$24*Data!$AF73)+O130)),0)</f>
        <v>25040045</v>
      </c>
      <c r="Q130" s="143">
        <f>ROUND(IF($E$31="Yes",IF(Data!$AG73&gt;0,(Duplicate!$Q$23*Data!$AG73)+P130,(Duplicate!$Q$24*Data!$AG73)+P130),IF(Data!$AF73&gt;0,(Duplicate!$Q$23*Data!$AF73)+P130,(Duplicate!$Q$24*Data!$AF73)+P130)),0)</f>
        <v>25040045</v>
      </c>
      <c r="R130" s="143">
        <f>ROUND(IF($E$31="Yes",IF(Data!$AG73&gt;0,(Duplicate!$R$23*Data!$AG73)+Q130,(Duplicate!$R$24*Data!$AG73)+Q130),IF(Data!$AF73&gt;0,(Duplicate!$R$23*Data!$AF73)+Q130,(Duplicate!$R$24*Data!$AF73)+Q130)),0)</f>
        <v>25040045</v>
      </c>
      <c r="S130" s="143">
        <f>ROUND(IF($E$31="Yes",IF(Data!$AG73&gt;0,(Duplicate!$S$23*Data!$AG73)+R130,(Duplicate!$S$24*Data!$AG73)+R130),IF(Data!$AF73&gt;0,(Duplicate!$S$23*Data!$AF73)+R130,(Duplicate!$S$24*Data!$AF73)+R130)),0)</f>
        <v>25040045</v>
      </c>
      <c r="T130" s="143">
        <v>25040045</v>
      </c>
      <c r="U130" s="143">
        <v>25040045</v>
      </c>
      <c r="V130" s="143">
        <v>25040045</v>
      </c>
      <c r="W130" s="143">
        <v>25040045</v>
      </c>
      <c r="X130" s="143">
        <v>25040045</v>
      </c>
      <c r="Y130" s="143">
        <v>25040045</v>
      </c>
      <c r="Z130" s="143">
        <v>25040045</v>
      </c>
      <c r="AA130" s="143">
        <v>25040045</v>
      </c>
      <c r="AB130" s="143">
        <v>25040045</v>
      </c>
      <c r="AC130" s="129">
        <f t="shared" si="24"/>
        <v>0</v>
      </c>
      <c r="AD130" s="129">
        <f t="shared" si="25"/>
        <v>0</v>
      </c>
      <c r="AE130" s="129">
        <f t="shared" si="26"/>
        <v>0</v>
      </c>
      <c r="AF130" s="129">
        <f t="shared" si="27"/>
        <v>0</v>
      </c>
      <c r="AG130" s="129">
        <f t="shared" si="28"/>
        <v>0</v>
      </c>
      <c r="AH130" s="129">
        <f t="shared" si="29"/>
        <v>0</v>
      </c>
      <c r="AI130" s="129">
        <f t="shared" si="30"/>
        <v>0</v>
      </c>
      <c r="AJ130" s="129">
        <f t="shared" si="31"/>
        <v>0</v>
      </c>
      <c r="AK130" s="129">
        <f t="shared" si="32"/>
        <v>0</v>
      </c>
      <c r="AL130" s="127">
        <f t="shared" si="33"/>
        <v>0</v>
      </c>
      <c r="AM130" s="127">
        <f t="shared" si="34"/>
        <v>0</v>
      </c>
      <c r="AN130" s="127">
        <f t="shared" si="35"/>
        <v>0</v>
      </c>
      <c r="AO130" s="127">
        <f t="shared" si="36"/>
        <v>0</v>
      </c>
      <c r="AP130" s="127">
        <f t="shared" si="37"/>
        <v>0</v>
      </c>
      <c r="AQ130" s="127">
        <f t="shared" si="38"/>
        <v>0</v>
      </c>
      <c r="AR130" s="127">
        <f t="shared" si="39"/>
        <v>0</v>
      </c>
      <c r="AS130" s="127">
        <f t="shared" si="40"/>
        <v>0</v>
      </c>
      <c r="AT130" s="127">
        <f t="shared" si="41"/>
        <v>0</v>
      </c>
    </row>
    <row r="131" spans="1:46" s="18" customFormat="1" ht="13" x14ac:dyDescent="0.15">
      <c r="A131" s="29" t="s">
        <v>72</v>
      </c>
      <c r="B131" s="30">
        <f>IF(Data!D74=1, MAX(Data!AA74, $E$26) + INDEX(Duplicate!$E$39:$E$43, MATCH( Data!AD74, Duplicate!$B$39:$B$43, 0), 0), MAX(Data!AA74, $E$27) +  INDEX(Duplicate!$E$39:$E$43, MATCH( Data!AD74, Duplicate!$B$39:$B$43, 0), 0))</f>
        <v>0.01</v>
      </c>
      <c r="C131" s="128">
        <f>ROUND(Data!R74/13*100, 2)</f>
        <v>0</v>
      </c>
      <c r="D131" s="141">
        <f>ROUND(Data!Q74*C131, 0)</f>
        <v>0</v>
      </c>
      <c r="E131" s="142">
        <f>ROUND($E$22*Data!W74*B131, 0)</f>
        <v>377633</v>
      </c>
      <c r="F131" s="143">
        <f>IF(E131=0, 0,IF($E$31="Yes", IF(Data!D74=1, MAX(Duplicate!D131+Duplicate!E131, Data!AE74), Duplicate!D131+Duplicate!E131), Duplicate!D131+Duplicate!E131))</f>
        <v>377633</v>
      </c>
      <c r="G131" s="143">
        <v>400279</v>
      </c>
      <c r="H131" s="129">
        <f>F131-Data!AL74</f>
        <v>-1388451</v>
      </c>
      <c r="I131" s="127">
        <f>((F131)/(Data!AL74)) - 1</f>
        <v>-0.78617494977588831</v>
      </c>
      <c r="J131" s="127">
        <f t="shared" si="5"/>
        <v>-5.6575538561853156E-2</v>
      </c>
      <c r="K131" s="143">
        <f>ROUND(IF($E$31="Yes",IF(Data!AG74&gt;0,(Duplicate!$K$23*Data!AG74)+Data!AI74,(Duplicate!$K$24*Data!AG74)+Data!AI74),IF(Data!AF74&gt;0,(Duplicate!$K$23*Data!AF74)+Data!AI74,(Duplicate!$K$24*Data!AF74)+Data!AI74)),0)</f>
        <v>1959572</v>
      </c>
      <c r="L131" s="143">
        <f>ROUND(IF($E$31="Yes",IF(Data!$AG74&gt;0,(Duplicate!$L$23*Data!$AG74)+K131,(Duplicate!$L$24*Data!$AG74)+K131),IF(Data!$AF74&gt;0,(Duplicate!$L$23*Data!$AF74)+K131,(Duplicate!$L$24*Data!$AF74)+K131)),0)</f>
        <v>1762754</v>
      </c>
      <c r="M131" s="143">
        <f>ROUND(IF($E$31="Yes",IF(Data!$AG74&gt;0,(Duplicate!$M$23*Data!$AG74)+L131,(Duplicate!$M$24*Data!$AG74)+L131),IF(Data!$AF74&gt;0,(Duplicate!$M$23*Data!$AF74)+L131,(Duplicate!$M$24*Data!$AF74)+L131)),0)</f>
        <v>1565936</v>
      </c>
      <c r="N131" s="143">
        <f>ROUND(IF($E$31="Yes",IF(Data!$AG74&gt;0,(Duplicate!$N$23*Data!$AG74)+M131,(Duplicate!$N$24*Data!$AG74)+M131),IF(Data!$AF74&gt;0,(Duplicate!$N$23*Data!$AF74)+M131,(Duplicate!$N$24*Data!$AF74)+M131)),0)</f>
        <v>1369118</v>
      </c>
      <c r="O131" s="143">
        <f>ROUND(IF($E$31="Yes",IF(Data!$AG74&gt;0,(Duplicate!$O$23*Data!$AG74)+N131,(Duplicate!$O$24*Data!$AG74)+N131),IF(Data!$AF74&gt;0,(Duplicate!$O$23*Data!$AF74)+N131,(Duplicate!$O$24*Data!$AF74)+N131)),0)</f>
        <v>1172300</v>
      </c>
      <c r="P131" s="143">
        <f>ROUND(IF($E$31="Yes",IF(Data!$AG74&gt;0,(Duplicate!$P$23*Data!$AG74)+O131,(Duplicate!$P$24*Data!$AG74)+O131),IF(Data!$AF74&gt;0,(Duplicate!$P$23*Data!$AF74)+O131,(Duplicate!$P$24*Data!$AF74)+O131)),0)</f>
        <v>975482</v>
      </c>
      <c r="Q131" s="143">
        <f>ROUND(IF($E$31="Yes",IF(Data!$AG74&gt;0,(Duplicate!$Q$23*Data!$AG74)+P131,(Duplicate!$Q$24*Data!$AG74)+P131),IF(Data!$AF74&gt;0,(Duplicate!$Q$23*Data!$AF74)+P131,(Duplicate!$Q$24*Data!$AF74)+P131)),0)</f>
        <v>778664</v>
      </c>
      <c r="R131" s="143">
        <f>ROUND(IF($E$31="Yes",IF(Data!$AG74&gt;0,(Duplicate!$R$23*Data!$AG74)+Q131,(Duplicate!$R$24*Data!$AG74)+Q131),IF(Data!$AF74&gt;0,(Duplicate!$R$23*Data!$AF74)+Q131,(Duplicate!$R$24*Data!$AF74)+Q131)),0)</f>
        <v>581846</v>
      </c>
      <c r="S131" s="143">
        <f>ROUND(IF($E$31="Yes",IF(Data!$AG74&gt;0,(Duplicate!$S$23*Data!$AG74)+R131,(Duplicate!$S$24*Data!$AG74)+R131),IF(Data!$AF74&gt;0,(Duplicate!$S$23*Data!$AF74)+R131,(Duplicate!$S$24*Data!$AF74)+R131)),0)</f>
        <v>385028</v>
      </c>
      <c r="T131" s="143">
        <v>1961458</v>
      </c>
      <c r="U131" s="143">
        <v>1766526</v>
      </c>
      <c r="V131" s="143">
        <v>1571594</v>
      </c>
      <c r="W131" s="143">
        <v>1376662</v>
      </c>
      <c r="X131" s="143">
        <v>1181730</v>
      </c>
      <c r="Y131" s="143">
        <v>986798</v>
      </c>
      <c r="Z131" s="143">
        <v>791866</v>
      </c>
      <c r="AA131" s="143">
        <v>596934</v>
      </c>
      <c r="AB131" s="143">
        <v>402002</v>
      </c>
      <c r="AC131" s="129">
        <f t="shared" si="24"/>
        <v>-1886</v>
      </c>
      <c r="AD131" s="129">
        <f t="shared" si="25"/>
        <v>-3772</v>
      </c>
      <c r="AE131" s="129">
        <f t="shared" si="26"/>
        <v>-5658</v>
      </c>
      <c r="AF131" s="129">
        <f t="shared" si="27"/>
        <v>-7544</v>
      </c>
      <c r="AG131" s="129">
        <f t="shared" si="28"/>
        <v>-9430</v>
      </c>
      <c r="AH131" s="129">
        <f t="shared" si="29"/>
        <v>-11316</v>
      </c>
      <c r="AI131" s="129">
        <f t="shared" si="30"/>
        <v>-13202</v>
      </c>
      <c r="AJ131" s="129">
        <f t="shared" si="31"/>
        <v>-15088</v>
      </c>
      <c r="AK131" s="129">
        <f t="shared" si="32"/>
        <v>-16974</v>
      </c>
      <c r="AL131" s="127">
        <f t="shared" si="33"/>
        <v>-9.6152963764706278E-4</v>
      </c>
      <c r="AM131" s="127">
        <f t="shared" si="34"/>
        <v>-2.1352643550108796E-3</v>
      </c>
      <c r="AN131" s="127">
        <f t="shared" si="35"/>
        <v>-3.6001664552041124E-3</v>
      </c>
      <c r="AO131" s="127">
        <f t="shared" si="36"/>
        <v>-5.4799217237055942E-3</v>
      </c>
      <c r="AP131" s="127">
        <f t="shared" si="37"/>
        <v>-7.9798261870308584E-3</v>
      </c>
      <c r="AQ131" s="127">
        <f t="shared" si="38"/>
        <v>-1.1467392515996155E-2</v>
      </c>
      <c r="AR131" s="127">
        <f t="shared" si="39"/>
        <v>-1.6672012689015525E-2</v>
      </c>
      <c r="AS131" s="127">
        <f t="shared" si="40"/>
        <v>-2.5275826138233093E-2</v>
      </c>
      <c r="AT131" s="127">
        <f t="shared" si="41"/>
        <v>-4.2223670529002333E-2</v>
      </c>
    </row>
    <row r="132" spans="1:46" s="18" customFormat="1" ht="13" x14ac:dyDescent="0.15">
      <c r="A132" s="29" t="s">
        <v>73</v>
      </c>
      <c r="B132" s="30">
        <f>IF(Data!D75=1, MAX(Data!AA75, $E$26) + INDEX(Duplicate!$E$39:$E$43, MATCH( Data!AD75, Duplicate!$B$39:$B$43, 0), 0), MAX(Data!AA75, $E$27) +  INDEX(Duplicate!$E$39:$E$43, MATCH( Data!AD75, Duplicate!$B$39:$B$43, 0), 0))</f>
        <v>0.14632999999999999</v>
      </c>
      <c r="C132" s="128">
        <f>ROUND(Data!R75/13*100, 2)</f>
        <v>100</v>
      </c>
      <c r="D132" s="141">
        <f>ROUND(Data!Q75*C132, 0)</f>
        <v>113700</v>
      </c>
      <c r="E132" s="142">
        <f>ROUND($E$22*Data!W75*B132, 0)</f>
        <v>2014654</v>
      </c>
      <c r="F132" s="143">
        <f>IF(E132=0, 0,IF($E$31="Yes", IF(Data!D75=1, MAX(Duplicate!D132+Duplicate!E132, Data!AE75), Duplicate!D132+Duplicate!E132), Duplicate!D132+Duplicate!E132))</f>
        <v>2128354</v>
      </c>
      <c r="G132" s="143">
        <v>2243092</v>
      </c>
      <c r="H132" s="129">
        <f>F132-Data!AL75</f>
        <v>109342</v>
      </c>
      <c r="I132" s="127">
        <f>((F132)/(Data!AL75)) - 1</f>
        <v>5.4156191246015339E-2</v>
      </c>
      <c r="J132" s="127">
        <f t="shared" si="5"/>
        <v>-5.1151713795065001E-2</v>
      </c>
      <c r="K132" s="143">
        <f>ROUND(IF($E$31="Yes",IF(Data!AG75&gt;0,(Duplicate!$K$23*Data!AG75)+Data!AI75,(Duplicate!$K$24*Data!AG75)+Data!AI75),IF(Data!AF75&gt;0,(Duplicate!$K$23*Data!AF75)+Data!AI75,(Duplicate!$K$24*Data!AF75)+Data!AI75)),0)</f>
        <v>2141957</v>
      </c>
      <c r="L132" s="143">
        <f>ROUND(IF($E$31="Yes",IF(Data!$AG75&gt;0,(Duplicate!$L$23*Data!$AG75)+K132,(Duplicate!$L$24*Data!$AG75)+K132),IF(Data!$AF75&gt;0,(Duplicate!$L$23*Data!$AF75)+K132,(Duplicate!$L$24*Data!$AF75)+K132)),0)</f>
        <v>2304125</v>
      </c>
      <c r="M132" s="143">
        <f>ROUND(IF($E$31="Yes",IF(Data!$AG75&gt;0,(Duplicate!$M$23*Data!$AG75)+L132,(Duplicate!$M$24*Data!$AG75)+L132),IF(Data!$AF75&gt;0,(Duplicate!$M$23*Data!$AF75)+L132,(Duplicate!$M$24*Data!$AF75)+L132)),0)</f>
        <v>2466293</v>
      </c>
      <c r="N132" s="143">
        <f>ROUND(IF($E$31="Yes",IF(Data!$AG75&gt;0,(Duplicate!$N$23*Data!$AG75)+M132,(Duplicate!$N$24*Data!$AG75)+M132),IF(Data!$AF75&gt;0,(Duplicate!$N$23*Data!$AF75)+M132,(Duplicate!$N$24*Data!$AF75)+M132)),0)</f>
        <v>2628461</v>
      </c>
      <c r="O132" s="143">
        <f>ROUND(IF($E$31="Yes",IF(Data!$AG75&gt;0,(Duplicate!$O$23*Data!$AG75)+N132,(Duplicate!$O$24*Data!$AG75)+N132),IF(Data!$AF75&gt;0,(Duplicate!$O$23*Data!$AF75)+N132,(Duplicate!$O$24*Data!$AF75)+N132)),0)</f>
        <v>2790629</v>
      </c>
      <c r="P132" s="143">
        <f>ROUND(IF($E$31="Yes",IF(Data!$AG75&gt;0,(Duplicate!$P$23*Data!$AG75)+O132,(Duplicate!$P$24*Data!$AG75)+O132),IF(Data!$AF75&gt;0,(Duplicate!$P$23*Data!$AF75)+O132,(Duplicate!$P$24*Data!$AF75)+O132)),0)</f>
        <v>2952797</v>
      </c>
      <c r="Q132" s="143">
        <f>ROUND(IF($E$31="Yes",IF(Data!$AG75&gt;0,(Duplicate!$Q$23*Data!$AG75)+P132,(Duplicate!$Q$24*Data!$AG75)+P132),IF(Data!$AF75&gt;0,(Duplicate!$Q$23*Data!$AF75)+P132,(Duplicate!$Q$24*Data!$AF75)+P132)),0)</f>
        <v>3114965</v>
      </c>
      <c r="R132" s="143">
        <f>ROUND(IF($E$31="Yes",IF(Data!$AG75&gt;0,(Duplicate!$R$23*Data!$AG75)+Q132,(Duplicate!$R$24*Data!$AG75)+Q132),IF(Data!$AF75&gt;0,(Duplicate!$R$23*Data!$AF75)+Q132,(Duplicate!$R$24*Data!$AF75)+Q132)),0)</f>
        <v>3277133</v>
      </c>
      <c r="S132" s="143">
        <f>ROUND(IF($E$31="Yes",IF(Data!$AG75&gt;0,(Duplicate!$S$23*Data!$AG75)+R132,(Duplicate!$S$24*Data!$AG75)+R132),IF(Data!$AF75&gt;0,(Duplicate!$S$23*Data!$AF75)+R132,(Duplicate!$S$24*Data!$AF75)+R132)),0)</f>
        <v>3439301</v>
      </c>
      <c r="T132" s="143">
        <v>2008743</v>
      </c>
      <c r="U132" s="143">
        <v>2037697</v>
      </c>
      <c r="V132" s="143">
        <v>2066651</v>
      </c>
      <c r="W132" s="143">
        <v>2095605</v>
      </c>
      <c r="X132" s="143">
        <v>2124559</v>
      </c>
      <c r="Y132" s="143">
        <v>2153513</v>
      </c>
      <c r="Z132" s="143">
        <v>2182467</v>
      </c>
      <c r="AA132" s="143">
        <v>2211421</v>
      </c>
      <c r="AB132" s="143">
        <v>2240375</v>
      </c>
      <c r="AC132" s="129">
        <f t="shared" si="24"/>
        <v>133214</v>
      </c>
      <c r="AD132" s="129">
        <f t="shared" si="25"/>
        <v>266428</v>
      </c>
      <c r="AE132" s="129">
        <f t="shared" si="26"/>
        <v>399642</v>
      </c>
      <c r="AF132" s="129">
        <f t="shared" si="27"/>
        <v>532856</v>
      </c>
      <c r="AG132" s="129">
        <f t="shared" si="28"/>
        <v>666070</v>
      </c>
      <c r="AH132" s="129">
        <f t="shared" si="29"/>
        <v>799284</v>
      </c>
      <c r="AI132" s="129">
        <f t="shared" si="30"/>
        <v>932498</v>
      </c>
      <c r="AJ132" s="129">
        <f t="shared" si="31"/>
        <v>1065712</v>
      </c>
      <c r="AK132" s="129">
        <f t="shared" si="32"/>
        <v>1198926</v>
      </c>
      <c r="AL132" s="127">
        <f t="shared" si="33"/>
        <v>6.6317094819994482E-2</v>
      </c>
      <c r="AM132" s="127">
        <f t="shared" si="34"/>
        <v>0.13074956679035199</v>
      </c>
      <c r="AN132" s="127">
        <f t="shared" si="35"/>
        <v>0.193376627209916</v>
      </c>
      <c r="AO132" s="127">
        <f t="shared" si="36"/>
        <v>0.25427310967477168</v>
      </c>
      <c r="AP132" s="127">
        <f t="shared" si="37"/>
        <v>0.31350976838016731</v>
      </c>
      <c r="AQ132" s="127">
        <f t="shared" si="38"/>
        <v>0.37115355235840219</v>
      </c>
      <c r="AR132" s="127">
        <f t="shared" si="39"/>
        <v>0.42726785788742738</v>
      </c>
      <c r="AS132" s="127">
        <f t="shared" si="40"/>
        <v>0.4819127610708227</v>
      </c>
      <c r="AT132" s="127">
        <f t="shared" si="41"/>
        <v>0.53514523238297151</v>
      </c>
    </row>
    <row r="133" spans="1:46" s="18" customFormat="1" ht="13" x14ac:dyDescent="0.15">
      <c r="A133" s="29" t="s">
        <v>74</v>
      </c>
      <c r="B133" s="30">
        <f>IF(Data!D76=1, MAX(Data!AA76, $E$26) + INDEX(Duplicate!$E$39:$E$43, MATCH( Data!AD76, Duplicate!$B$39:$B$43, 0), 0), MAX(Data!AA76, $E$27) +  INDEX(Duplicate!$E$39:$E$43, MATCH( Data!AD76, Duplicate!$B$39:$B$43, 0), 0))</f>
        <v>0.46998800000000002</v>
      </c>
      <c r="C133" s="128">
        <f>ROUND(Data!R76/13*100, 2)</f>
        <v>0</v>
      </c>
      <c r="D133" s="141">
        <f>ROUND(Data!Q76*C133, 0)</f>
        <v>0</v>
      </c>
      <c r="E133" s="142">
        <f>ROUND($E$22*Data!W76*B133, 0)</f>
        <v>38606196</v>
      </c>
      <c r="F133" s="143">
        <f>IF(E133=0, 0,IF($E$31="Yes", IF(Data!D76=1, MAX(Duplicate!D133+Duplicate!E133, Data!AE76), Duplicate!D133+Duplicate!E133), Duplicate!D133+Duplicate!E133))</f>
        <v>38606196</v>
      </c>
      <c r="G133" s="143">
        <v>38701813</v>
      </c>
      <c r="H133" s="129">
        <f>F133-Data!AL76</f>
        <v>8674519</v>
      </c>
      <c r="I133" s="127">
        <f>((F133)/(Data!AL76)) - 1</f>
        <v>0.28981065778572979</v>
      </c>
      <c r="J133" s="127">
        <f t="shared" si="5"/>
        <v>-2.4706077723025688E-3</v>
      </c>
      <c r="K133" s="143">
        <f>ROUND(IF($E$31="Yes",IF(Data!AG76&gt;0,(Duplicate!$K$23*Data!AG76)+Data!AI76,(Duplicate!$K$24*Data!AG76)+Data!AI76),IF(Data!AF76&gt;0,(Duplicate!$K$23*Data!AF76)+Data!AI76,(Duplicate!$K$24*Data!AF76)+Data!AI76)),0)</f>
        <v>28628807</v>
      </c>
      <c r="L133" s="143">
        <f>ROUND(IF($E$31="Yes",IF(Data!$AG76&gt;0,(Duplicate!$L$23*Data!$AG76)+K133,(Duplicate!$L$24*Data!$AG76)+K133),IF(Data!$AF76&gt;0,(Duplicate!$L$23*Data!$AF76)+K133,(Duplicate!$L$24*Data!$AF76)+K133)),0)</f>
        <v>29871839</v>
      </c>
      <c r="M133" s="143">
        <f>ROUND(IF($E$31="Yes",IF(Data!$AG76&gt;0,(Duplicate!$M$23*Data!$AG76)+L133,(Duplicate!$M$24*Data!$AG76)+L133),IF(Data!$AF76&gt;0,(Duplicate!$M$23*Data!$AF76)+L133,(Duplicate!$M$24*Data!$AF76)+L133)),0)</f>
        <v>31114871</v>
      </c>
      <c r="N133" s="143">
        <f>ROUND(IF($E$31="Yes",IF(Data!$AG76&gt;0,(Duplicate!$N$23*Data!$AG76)+M133,(Duplicate!$N$24*Data!$AG76)+M133),IF(Data!$AF76&gt;0,(Duplicate!$N$23*Data!$AF76)+M133,(Duplicate!$N$24*Data!$AF76)+M133)),0)</f>
        <v>32357903</v>
      </c>
      <c r="O133" s="143">
        <f>ROUND(IF($E$31="Yes",IF(Data!$AG76&gt;0,(Duplicate!$O$23*Data!$AG76)+N133,(Duplicate!$O$24*Data!$AG76)+N133),IF(Data!$AF76&gt;0,(Duplicate!$O$23*Data!$AF76)+N133,(Duplicate!$O$24*Data!$AF76)+N133)),0)</f>
        <v>33600935</v>
      </c>
      <c r="P133" s="143">
        <f>ROUND(IF($E$31="Yes",IF(Data!$AG76&gt;0,(Duplicate!$P$23*Data!$AG76)+O133,(Duplicate!$P$24*Data!$AG76)+O133),IF(Data!$AF76&gt;0,(Duplicate!$P$23*Data!$AF76)+O133,(Duplicate!$P$24*Data!$AF76)+O133)),0)</f>
        <v>34843967</v>
      </c>
      <c r="Q133" s="143">
        <f>ROUND(IF($E$31="Yes",IF(Data!$AG76&gt;0,(Duplicate!$Q$23*Data!$AG76)+P133,(Duplicate!$Q$24*Data!$AG76)+P133),IF(Data!$AF76&gt;0,(Duplicate!$Q$23*Data!$AF76)+P133,(Duplicate!$Q$24*Data!$AF76)+P133)),0)</f>
        <v>36086999</v>
      </c>
      <c r="R133" s="143">
        <f>ROUND(IF($E$31="Yes",IF(Data!$AG76&gt;0,(Duplicate!$R$23*Data!$AG76)+Q133,(Duplicate!$R$24*Data!$AG76)+Q133),IF(Data!$AF76&gt;0,(Duplicate!$R$23*Data!$AF76)+Q133,(Duplicate!$R$24*Data!$AF76)+Q133)),0)</f>
        <v>37330031</v>
      </c>
      <c r="S133" s="143">
        <f>ROUND(IF($E$31="Yes",IF(Data!$AG76&gt;0,(Duplicate!$S$23*Data!$AG76)+R133,(Duplicate!$S$24*Data!$AG76)+R133),IF(Data!$AF76&gt;0,(Duplicate!$S$23*Data!$AF76)+R133,(Duplicate!$S$24*Data!$AF76)+R133)),0)</f>
        <v>38573063</v>
      </c>
      <c r="T133" s="143">
        <v>28639000</v>
      </c>
      <c r="U133" s="143">
        <v>29892225</v>
      </c>
      <c r="V133" s="143">
        <v>31145450</v>
      </c>
      <c r="W133" s="143">
        <v>32398675</v>
      </c>
      <c r="X133" s="143">
        <v>33651900</v>
      </c>
      <c r="Y133" s="143">
        <v>34905125</v>
      </c>
      <c r="Z133" s="143">
        <v>36158350</v>
      </c>
      <c r="AA133" s="143">
        <v>37411575</v>
      </c>
      <c r="AB133" s="143">
        <v>38664800</v>
      </c>
      <c r="AC133" s="129">
        <f t="shared" si="24"/>
        <v>-10193</v>
      </c>
      <c r="AD133" s="129">
        <f t="shared" si="25"/>
        <v>-20386</v>
      </c>
      <c r="AE133" s="129">
        <f t="shared" si="26"/>
        <v>-30579</v>
      </c>
      <c r="AF133" s="129">
        <f t="shared" si="27"/>
        <v>-40772</v>
      </c>
      <c r="AG133" s="129">
        <f t="shared" si="28"/>
        <v>-50965</v>
      </c>
      <c r="AH133" s="129">
        <f t="shared" si="29"/>
        <v>-61158</v>
      </c>
      <c r="AI133" s="129">
        <f t="shared" si="30"/>
        <v>-71351</v>
      </c>
      <c r="AJ133" s="129">
        <f t="shared" si="31"/>
        <v>-81544</v>
      </c>
      <c r="AK133" s="129">
        <f t="shared" si="32"/>
        <v>-91737</v>
      </c>
      <c r="AL133" s="127">
        <f t="shared" si="33"/>
        <v>-3.5591326512796062E-4</v>
      </c>
      <c r="AM133" s="127">
        <f t="shared" si="34"/>
        <v>-6.8198335854896541E-4</v>
      </c>
      <c r="AN133" s="127">
        <f t="shared" si="35"/>
        <v>-9.818127527455589E-4</v>
      </c>
      <c r="AO133" s="127">
        <f t="shared" si="36"/>
        <v>-1.2584465259767308E-3</v>
      </c>
      <c r="AP133" s="127">
        <f t="shared" si="37"/>
        <v>-1.5144761514208627E-3</v>
      </c>
      <c r="AQ133" s="127">
        <f t="shared" si="38"/>
        <v>-1.7521209278007488E-3</v>
      </c>
      <c r="AR133" s="127">
        <f t="shared" si="39"/>
        <v>-1.9732924760117454E-3</v>
      </c>
      <c r="AS133" s="127">
        <f t="shared" si="40"/>
        <v>-2.1796462725773846E-3</v>
      </c>
      <c r="AT133" s="127">
        <f t="shared" si="41"/>
        <v>-2.3726231611180815E-3</v>
      </c>
    </row>
    <row r="134" spans="1:46" s="18" customFormat="1" ht="13" x14ac:dyDescent="0.15">
      <c r="A134" s="29" t="s">
        <v>75</v>
      </c>
      <c r="B134" s="30">
        <f>IF(Data!D77=1, MAX(Data!AA77, $E$26) + INDEX(Duplicate!$E$39:$E$43, MATCH( Data!AD77, Duplicate!$B$39:$B$43, 0), 0), MAX(Data!AA77, $E$27) +  INDEX(Duplicate!$E$39:$E$43, MATCH( Data!AD77, Duplicate!$B$39:$B$43, 0), 0))</f>
        <v>0.38769700000000001</v>
      </c>
      <c r="C134" s="128">
        <f>ROUND(Data!R77/13*100, 2)</f>
        <v>46.15</v>
      </c>
      <c r="D134" s="141">
        <f>ROUND(Data!Q77*C134, 0)</f>
        <v>2815</v>
      </c>
      <c r="E134" s="142">
        <f>ROUND($E$22*Data!W77*B134, 0)</f>
        <v>629124</v>
      </c>
      <c r="F134" s="143">
        <f>IF(E134=0, 0,IF($E$31="Yes", IF(Data!D77=1, MAX(Duplicate!D134+Duplicate!E134, Data!AE77), Duplicate!D134+Duplicate!E134), Duplicate!D134+Duplicate!E134))</f>
        <v>631939</v>
      </c>
      <c r="G134" s="143">
        <v>673795</v>
      </c>
      <c r="H134" s="129">
        <f>F134-Data!AL77</f>
        <v>-426469</v>
      </c>
      <c r="I134" s="127">
        <f>((F134)/(Data!AL77)) - 1</f>
        <v>-0.4029344071473383</v>
      </c>
      <c r="J134" s="127">
        <f t="shared" si="5"/>
        <v>-6.2119784207362749E-2</v>
      </c>
      <c r="K134" s="143">
        <f>ROUND(IF($E$31="Yes",IF(Data!AG77&gt;0,(Duplicate!$K$23*Data!AG77)+Data!AI77,(Duplicate!$K$24*Data!AG77)+Data!AI77),IF(Data!AF77&gt;0,(Duplicate!$K$23*Data!AF77)+Data!AI77,(Duplicate!$K$24*Data!AF77)+Data!AI77)),0)</f>
        <v>1113331</v>
      </c>
      <c r="L134" s="143">
        <f>ROUND(IF($E$31="Yes",IF(Data!$AG77&gt;0,(Duplicate!$L$23*Data!$AG77)+K134,(Duplicate!$L$24*Data!$AG77)+K134),IF(Data!$AF77&gt;0,(Duplicate!$L$23*Data!$AF77)+K134,(Duplicate!$L$24*Data!$AF77)+K134)),0)</f>
        <v>1059464</v>
      </c>
      <c r="M134" s="143">
        <f>ROUND(IF($E$31="Yes",IF(Data!$AG77&gt;0,(Duplicate!$M$23*Data!$AG77)+L134,(Duplicate!$M$24*Data!$AG77)+L134),IF(Data!$AF77&gt;0,(Duplicate!$M$23*Data!$AF77)+L134,(Duplicate!$M$24*Data!$AF77)+L134)),0)</f>
        <v>1005597</v>
      </c>
      <c r="N134" s="143">
        <f>ROUND(IF($E$31="Yes",IF(Data!$AG77&gt;0,(Duplicate!$N$23*Data!$AG77)+M134,(Duplicate!$N$24*Data!$AG77)+M134),IF(Data!$AF77&gt;0,(Duplicate!$N$23*Data!$AF77)+M134,(Duplicate!$N$24*Data!$AF77)+M134)),0)</f>
        <v>951730</v>
      </c>
      <c r="O134" s="143">
        <f>ROUND(IF($E$31="Yes",IF(Data!$AG77&gt;0,(Duplicate!$O$23*Data!$AG77)+N134,(Duplicate!$O$24*Data!$AG77)+N134),IF(Data!$AF77&gt;0,(Duplicate!$O$23*Data!$AF77)+N134,(Duplicate!$O$24*Data!$AF77)+N134)),0)</f>
        <v>897863</v>
      </c>
      <c r="P134" s="143">
        <f>ROUND(IF($E$31="Yes",IF(Data!$AG77&gt;0,(Duplicate!$P$23*Data!$AG77)+O134,(Duplicate!$P$24*Data!$AG77)+O134),IF(Data!$AF77&gt;0,(Duplicate!$P$23*Data!$AF77)+O134,(Duplicate!$P$24*Data!$AF77)+O134)),0)</f>
        <v>843996</v>
      </c>
      <c r="Q134" s="143">
        <f>ROUND(IF($E$31="Yes",IF(Data!$AG77&gt;0,(Duplicate!$Q$23*Data!$AG77)+P134,(Duplicate!$Q$24*Data!$AG77)+P134),IF(Data!$AF77&gt;0,(Duplicate!$Q$23*Data!$AF77)+P134,(Duplicate!$Q$24*Data!$AF77)+P134)),0)</f>
        <v>790129</v>
      </c>
      <c r="R134" s="143">
        <f>ROUND(IF($E$31="Yes",IF(Data!$AG77&gt;0,(Duplicate!$R$23*Data!$AG77)+Q134,(Duplicate!$R$24*Data!$AG77)+Q134),IF(Data!$AF77&gt;0,(Duplicate!$R$23*Data!$AF77)+Q134,(Duplicate!$R$24*Data!$AF77)+Q134)),0)</f>
        <v>736262</v>
      </c>
      <c r="S134" s="143">
        <f>ROUND(IF($E$31="Yes",IF(Data!$AG77&gt;0,(Duplicate!$S$23*Data!$AG77)+R134,(Duplicate!$S$24*Data!$AG77)+R134),IF(Data!$AF77&gt;0,(Duplicate!$S$23*Data!$AF77)+R134,(Duplicate!$S$24*Data!$AF77)+R134)),0)</f>
        <v>682395</v>
      </c>
      <c r="T134" s="143">
        <v>1114003</v>
      </c>
      <c r="U134" s="143">
        <v>1060809</v>
      </c>
      <c r="V134" s="143">
        <v>1007615</v>
      </c>
      <c r="W134" s="143">
        <v>954421</v>
      </c>
      <c r="X134" s="143">
        <v>901227</v>
      </c>
      <c r="Y134" s="143">
        <v>848033</v>
      </c>
      <c r="Z134" s="143">
        <v>794839</v>
      </c>
      <c r="AA134" s="143">
        <v>741645</v>
      </c>
      <c r="AB134" s="143">
        <v>688451</v>
      </c>
      <c r="AC134" s="129">
        <f t="shared" si="24"/>
        <v>-672</v>
      </c>
      <c r="AD134" s="129">
        <f t="shared" si="25"/>
        <v>-1345</v>
      </c>
      <c r="AE134" s="129">
        <f t="shared" si="26"/>
        <v>-2018</v>
      </c>
      <c r="AF134" s="129">
        <f t="shared" si="27"/>
        <v>-2691</v>
      </c>
      <c r="AG134" s="129">
        <f t="shared" si="28"/>
        <v>-3364</v>
      </c>
      <c r="AH134" s="129">
        <f t="shared" si="29"/>
        <v>-4037</v>
      </c>
      <c r="AI134" s="129">
        <f t="shared" si="30"/>
        <v>-4710</v>
      </c>
      <c r="AJ134" s="129">
        <f t="shared" si="31"/>
        <v>-5383</v>
      </c>
      <c r="AK134" s="129">
        <f t="shared" si="32"/>
        <v>-6056</v>
      </c>
      <c r="AL134" s="127">
        <f t="shared" si="33"/>
        <v>-6.032299733483848E-4</v>
      </c>
      <c r="AM134" s="127">
        <f t="shared" si="34"/>
        <v>-1.2679002534857764E-3</v>
      </c>
      <c r="AN134" s="127">
        <f t="shared" si="35"/>
        <v>-2.0027490658633962E-3</v>
      </c>
      <c r="AO134" s="127">
        <f t="shared" si="36"/>
        <v>-2.8195104676028704E-3</v>
      </c>
      <c r="AP134" s="127">
        <f t="shared" si="37"/>
        <v>-3.7326888786065604E-3</v>
      </c>
      <c r="AQ134" s="127">
        <f t="shared" si="38"/>
        <v>-4.7604279550441664E-3</v>
      </c>
      <c r="AR134" s="127">
        <f t="shared" si="39"/>
        <v>-5.9257283550505635E-3</v>
      </c>
      <c r="AS134" s="127">
        <f t="shared" si="40"/>
        <v>-7.258189565088391E-3</v>
      </c>
      <c r="AT134" s="127">
        <f t="shared" si="41"/>
        <v>-8.7965592322474251E-3</v>
      </c>
    </row>
    <row r="135" spans="1:46" s="18" customFormat="1" ht="13" x14ac:dyDescent="0.15">
      <c r="A135" s="29" t="s">
        <v>76</v>
      </c>
      <c r="B135" s="30">
        <f>IF(Data!D78=1, MAX(Data!AA78, $E$26) + INDEX(Duplicate!$E$39:$E$43, MATCH( Data!AD78, Duplicate!$B$39:$B$43, 0), 0), MAX(Data!AA78, $E$27) +  INDEX(Duplicate!$E$39:$E$43, MATCH( Data!AD78, Duplicate!$B$39:$B$43, 0), 0))</f>
        <v>0.76999100000000009</v>
      </c>
      <c r="C135" s="128">
        <f>ROUND(Data!R78/13*100, 2)</f>
        <v>0</v>
      </c>
      <c r="D135" s="141">
        <f>ROUND(Data!Q78*C135, 0)</f>
        <v>0</v>
      </c>
      <c r="E135" s="142">
        <f>ROUND($E$22*Data!W78*B135, 0)</f>
        <v>232789859</v>
      </c>
      <c r="F135" s="143">
        <f>IF(E135=0, 0,IF($E$31="Yes", IF(Data!D78=1, MAX(Duplicate!D135+Duplicate!E135, Data!AE78), Duplicate!D135+Duplicate!E135), Duplicate!D135+Duplicate!E135))</f>
        <v>232789859</v>
      </c>
      <c r="G135" s="143">
        <v>238731629</v>
      </c>
      <c r="H135" s="129">
        <f>F135-Data!AL78</f>
        <v>23685082</v>
      </c>
      <c r="I135" s="127">
        <f>((F135)/(Data!AL78)) - 1</f>
        <v>0.11326896659084928</v>
      </c>
      <c r="J135" s="127">
        <f t="shared" si="5"/>
        <v>-2.488890988131276E-2</v>
      </c>
      <c r="K135" s="143">
        <f>ROUND(IF($E$31="Yes",IF(Data!AG78&gt;0,(Duplicate!$K$23*Data!AG78)+Data!AI78,(Duplicate!$K$24*Data!AG78)+Data!AI78),IF(Data!AF78&gt;0,(Duplicate!$K$23*Data!AF78)+Data!AI78,(Duplicate!$K$24*Data!AF78)+Data!AI78)),0)</f>
        <v>205274800</v>
      </c>
      <c r="L135" s="143">
        <f>ROUND(IF($E$31="Yes",IF(Data!$AG78&gt;0,(Duplicate!$L$23*Data!$AG78)+K135,(Duplicate!$L$24*Data!$AG78)+K135),IF(Data!$AF78&gt;0,(Duplicate!$L$23*Data!$AF78)+K135,(Duplicate!$L$24*Data!$AF78)+K135)),0)</f>
        <v>208714954</v>
      </c>
      <c r="M135" s="143">
        <f>ROUND(IF($E$31="Yes",IF(Data!$AG78&gt;0,(Duplicate!$M$23*Data!$AG78)+L135,(Duplicate!$M$24*Data!$AG78)+L135),IF(Data!$AF78&gt;0,(Duplicate!$M$23*Data!$AF78)+L135,(Duplicate!$M$24*Data!$AF78)+L135)),0)</f>
        <v>212155108</v>
      </c>
      <c r="N135" s="143">
        <f>ROUND(IF($E$31="Yes",IF(Data!$AG78&gt;0,(Duplicate!$N$23*Data!$AG78)+M135,(Duplicate!$N$24*Data!$AG78)+M135),IF(Data!$AF78&gt;0,(Duplicate!$N$23*Data!$AF78)+M135,(Duplicate!$N$24*Data!$AF78)+M135)),0)</f>
        <v>215595262</v>
      </c>
      <c r="O135" s="143">
        <f>ROUND(IF($E$31="Yes",IF(Data!$AG78&gt;0,(Duplicate!$O$23*Data!$AG78)+N135,(Duplicate!$O$24*Data!$AG78)+N135),IF(Data!$AF78&gt;0,(Duplicate!$O$23*Data!$AF78)+N135,(Duplicate!$O$24*Data!$AF78)+N135)),0)</f>
        <v>219035416</v>
      </c>
      <c r="P135" s="143">
        <f>ROUND(IF($E$31="Yes",IF(Data!$AG78&gt;0,(Duplicate!$P$23*Data!$AG78)+O135,(Duplicate!$P$24*Data!$AG78)+O135),IF(Data!$AF78&gt;0,(Duplicate!$P$23*Data!$AF78)+O135,(Duplicate!$P$24*Data!$AF78)+O135)),0)</f>
        <v>222475570</v>
      </c>
      <c r="Q135" s="143">
        <f>ROUND(IF($E$31="Yes",IF(Data!$AG78&gt;0,(Duplicate!$Q$23*Data!$AG78)+P135,(Duplicate!$Q$24*Data!$AG78)+P135),IF(Data!$AF78&gt;0,(Duplicate!$Q$23*Data!$AF78)+P135,(Duplicate!$Q$24*Data!$AF78)+P135)),0)</f>
        <v>225915724</v>
      </c>
      <c r="R135" s="143">
        <f>ROUND(IF($E$31="Yes",IF(Data!$AG78&gt;0,(Duplicate!$R$23*Data!$AG78)+Q135,(Duplicate!$R$24*Data!$AG78)+Q135),IF(Data!$AF78&gt;0,(Duplicate!$R$23*Data!$AF78)+Q135,(Duplicate!$R$24*Data!$AF78)+Q135)),0)</f>
        <v>229355878</v>
      </c>
      <c r="S135" s="143">
        <f>ROUND(IF($E$31="Yes",IF(Data!$AG78&gt;0,(Duplicate!$S$23*Data!$AG78)+R135,(Duplicate!$S$24*Data!$AG78)+R135),IF(Data!$AF78&gt;0,(Duplicate!$S$23*Data!$AF78)+R135,(Duplicate!$S$24*Data!$AF78)+R135)),0)</f>
        <v>232796032</v>
      </c>
      <c r="T135" s="143">
        <v>205908193</v>
      </c>
      <c r="U135" s="143">
        <v>209981740</v>
      </c>
      <c r="V135" s="143">
        <v>214055287</v>
      </c>
      <c r="W135" s="143">
        <v>218128834</v>
      </c>
      <c r="X135" s="143">
        <v>222202381</v>
      </c>
      <c r="Y135" s="143">
        <v>226275928</v>
      </c>
      <c r="Z135" s="143">
        <v>230349475</v>
      </c>
      <c r="AA135" s="143">
        <v>234423022</v>
      </c>
      <c r="AB135" s="143">
        <v>238496569</v>
      </c>
      <c r="AC135" s="129">
        <f t="shared" si="24"/>
        <v>-633393</v>
      </c>
      <c r="AD135" s="129">
        <f t="shared" si="25"/>
        <v>-1266786</v>
      </c>
      <c r="AE135" s="129">
        <f t="shared" si="26"/>
        <v>-1900179</v>
      </c>
      <c r="AF135" s="129">
        <f t="shared" si="27"/>
        <v>-2533572</v>
      </c>
      <c r="AG135" s="129">
        <f t="shared" si="28"/>
        <v>-3166965</v>
      </c>
      <c r="AH135" s="129">
        <f t="shared" si="29"/>
        <v>-3800358</v>
      </c>
      <c r="AI135" s="129">
        <f t="shared" si="30"/>
        <v>-4433751</v>
      </c>
      <c r="AJ135" s="129">
        <f t="shared" si="31"/>
        <v>-5067144</v>
      </c>
      <c r="AK135" s="129">
        <f t="shared" si="32"/>
        <v>-5700537</v>
      </c>
      <c r="AL135" s="127">
        <f t="shared" si="33"/>
        <v>-3.076094208645741E-3</v>
      </c>
      <c r="AM135" s="127">
        <f t="shared" si="34"/>
        <v>-6.0328388554166112E-3</v>
      </c>
      <c r="AN135" s="127">
        <f t="shared" si="35"/>
        <v>-8.8770477320655461E-3</v>
      </c>
      <c r="AO135" s="127">
        <f t="shared" si="36"/>
        <v>-1.1615025641222632E-2</v>
      </c>
      <c r="AP135" s="127">
        <f t="shared" si="37"/>
        <v>-1.4252615051861262E-2</v>
      </c>
      <c r="AQ135" s="127">
        <f t="shared" si="38"/>
        <v>-1.6795237715255373E-2</v>
      </c>
      <c r="AR135" s="127">
        <f t="shared" si="39"/>
        <v>-1.9247931865266854E-2</v>
      </c>
      <c r="AS135" s="127">
        <f t="shared" si="40"/>
        <v>-2.1615385540077248E-2</v>
      </c>
      <c r="AT135" s="127">
        <f t="shared" si="41"/>
        <v>-2.3901966489086046E-2</v>
      </c>
    </row>
    <row r="136" spans="1:46" s="18" customFormat="1" ht="13" x14ac:dyDescent="0.15">
      <c r="A136" s="29" t="s">
        <v>77</v>
      </c>
      <c r="B136" s="30">
        <f>IF(Data!D79=1, MAX(Data!AA79, $E$26) + INDEX(Duplicate!$E$39:$E$43, MATCH( Data!AD79, Duplicate!$B$39:$B$43, 0), 0), MAX(Data!AA79, $E$27) +  INDEX(Duplicate!$E$39:$E$43, MATCH( Data!AD79, Duplicate!$B$39:$B$43, 0), 0))</f>
        <v>0.23219000000000001</v>
      </c>
      <c r="C136" s="128">
        <f>ROUND(Data!R79/13*100, 2)</f>
        <v>0</v>
      </c>
      <c r="D136" s="141">
        <f>ROUND(Data!Q79*C136, 0)</f>
        <v>0</v>
      </c>
      <c r="E136" s="142">
        <f>ROUND($E$22*Data!W79*B136, 0)</f>
        <v>652861</v>
      </c>
      <c r="F136" s="143">
        <f>IF(E136=0, 0,IF($E$31="Yes", IF(Data!D79=1, MAX(Duplicate!D136+Duplicate!E136, Data!AE79), Duplicate!D136+Duplicate!E136), Duplicate!D136+Duplicate!E136))</f>
        <v>652861</v>
      </c>
      <c r="G136" s="143">
        <v>743879</v>
      </c>
      <c r="H136" s="129">
        <f>F136-Data!AL79</f>
        <v>-418861</v>
      </c>
      <c r="I136" s="127">
        <f>((F136)/(Data!AL79)) - 1</f>
        <v>-0.39082989805192014</v>
      </c>
      <c r="J136" s="127">
        <f t="shared" ref="J136:J199" si="42">IFERROR(F136/G136-1, 0)</f>
        <v>-0.12235592078819268</v>
      </c>
      <c r="K136" s="143">
        <f>ROUND(IF($E$31="Yes",IF(Data!AG79&gt;0,(Duplicate!$K$23*Data!AG79)+Data!AI79,(Duplicate!$K$24*Data!AG79)+Data!AI79),IF(Data!AF79&gt;0,(Duplicate!$K$23*Data!AF79)+Data!AI79,(Duplicate!$K$24*Data!AF79)+Data!AI79)),0)</f>
        <v>1119327</v>
      </c>
      <c r="L136" s="143">
        <f>ROUND(IF($E$31="Yes",IF(Data!$AG79&gt;0,(Duplicate!$L$23*Data!$AG79)+K136,(Duplicate!$L$24*Data!$AG79)+K136),IF(Data!$AF79&gt;0,(Duplicate!$L$23*Data!$AF79)+K136,(Duplicate!$L$24*Data!$AF79)+K136)),0)</f>
        <v>1063150</v>
      </c>
      <c r="M136" s="143">
        <f>ROUND(IF($E$31="Yes",IF(Data!$AG79&gt;0,(Duplicate!$M$23*Data!$AG79)+L136,(Duplicate!$M$24*Data!$AG79)+L136),IF(Data!$AF79&gt;0,(Duplicate!$M$23*Data!$AF79)+L136,(Duplicate!$M$24*Data!$AF79)+L136)),0)</f>
        <v>1006973</v>
      </c>
      <c r="N136" s="143">
        <f>ROUND(IF($E$31="Yes",IF(Data!$AG79&gt;0,(Duplicate!$N$23*Data!$AG79)+M136,(Duplicate!$N$24*Data!$AG79)+M136),IF(Data!$AF79&gt;0,(Duplicate!$N$23*Data!$AF79)+M136,(Duplicate!$N$24*Data!$AF79)+M136)),0)</f>
        <v>950796</v>
      </c>
      <c r="O136" s="143">
        <f>ROUND(IF($E$31="Yes",IF(Data!$AG79&gt;0,(Duplicate!$O$23*Data!$AG79)+N136,(Duplicate!$O$24*Data!$AG79)+N136),IF(Data!$AF79&gt;0,(Duplicate!$O$23*Data!$AF79)+N136,(Duplicate!$O$24*Data!$AF79)+N136)),0)</f>
        <v>894619</v>
      </c>
      <c r="P136" s="143">
        <f>ROUND(IF($E$31="Yes",IF(Data!$AG79&gt;0,(Duplicate!$P$23*Data!$AG79)+O136,(Duplicate!$P$24*Data!$AG79)+O136),IF(Data!$AF79&gt;0,(Duplicate!$P$23*Data!$AF79)+O136,(Duplicate!$P$24*Data!$AF79)+O136)),0)</f>
        <v>838442</v>
      </c>
      <c r="Q136" s="143">
        <f>ROUND(IF($E$31="Yes",IF(Data!$AG79&gt;0,(Duplicate!$Q$23*Data!$AG79)+P136,(Duplicate!$Q$24*Data!$AG79)+P136),IF(Data!$AF79&gt;0,(Duplicate!$Q$23*Data!$AF79)+P136,(Duplicate!$Q$24*Data!$AF79)+P136)),0)</f>
        <v>782265</v>
      </c>
      <c r="R136" s="143">
        <f>ROUND(IF($E$31="Yes",IF(Data!$AG79&gt;0,(Duplicate!$R$23*Data!$AG79)+Q136,(Duplicate!$R$24*Data!$AG79)+Q136),IF(Data!$AF79&gt;0,(Duplicate!$R$23*Data!$AF79)+Q136,(Duplicate!$R$24*Data!$AF79)+Q136)),0)</f>
        <v>726088</v>
      </c>
      <c r="S136" s="143">
        <f>ROUND(IF($E$31="Yes",IF(Data!$AG79&gt;0,(Duplicate!$S$23*Data!$AG79)+R136,(Duplicate!$S$24*Data!$AG79)+R136),IF(Data!$AF79&gt;0,(Duplicate!$S$23*Data!$AF79)+R136,(Duplicate!$S$24*Data!$AF79)+R136)),0)</f>
        <v>669911</v>
      </c>
      <c r="T136" s="143">
        <v>1126876</v>
      </c>
      <c r="U136" s="143">
        <v>1078248</v>
      </c>
      <c r="V136" s="143">
        <v>1029620</v>
      </c>
      <c r="W136" s="143">
        <v>980992</v>
      </c>
      <c r="X136" s="143">
        <v>932364</v>
      </c>
      <c r="Y136" s="143">
        <v>883736</v>
      </c>
      <c r="Z136" s="143">
        <v>835108</v>
      </c>
      <c r="AA136" s="143">
        <v>786480</v>
      </c>
      <c r="AB136" s="143">
        <v>737852</v>
      </c>
      <c r="AC136" s="129">
        <f t="shared" ref="AC136:AC167" si="43">K136-T136</f>
        <v>-7549</v>
      </c>
      <c r="AD136" s="129">
        <f t="shared" ref="AD136:AD167" si="44">L136-U136</f>
        <v>-15098</v>
      </c>
      <c r="AE136" s="129">
        <f t="shared" ref="AE136:AE167" si="45">M136-V136</f>
        <v>-22647</v>
      </c>
      <c r="AF136" s="129">
        <f t="shared" ref="AF136:AF167" si="46">N136-W136</f>
        <v>-30196</v>
      </c>
      <c r="AG136" s="129">
        <f t="shared" ref="AG136:AG167" si="47">O136-X136</f>
        <v>-37745</v>
      </c>
      <c r="AH136" s="129">
        <f t="shared" ref="AH136:AH167" si="48">P136-Y136</f>
        <v>-45294</v>
      </c>
      <c r="AI136" s="129">
        <f t="shared" ref="AI136:AI167" si="49">Q136-Z136</f>
        <v>-52843</v>
      </c>
      <c r="AJ136" s="129">
        <f t="shared" ref="AJ136:AJ167" si="50">R136-AA136</f>
        <v>-60392</v>
      </c>
      <c r="AK136" s="129">
        <f t="shared" ref="AK136:AK167" si="51">S136-AB136</f>
        <v>-67941</v>
      </c>
      <c r="AL136" s="127">
        <f t="shared" ref="AL136:AL167" si="52">IFERROR(K136/T136-1, 0)</f>
        <v>-6.6990511822063725E-3</v>
      </c>
      <c r="AM136" s="127">
        <f t="shared" ref="AM136:AM167" si="53">IFERROR(L136/U136-1, 0)</f>
        <v>-1.4002344544112311E-2</v>
      </c>
      <c r="AN136" s="127">
        <f t="shared" ref="AN136:AN167" si="54">IFERROR(M136/V136-1, 0)</f>
        <v>-2.1995493483032535E-2</v>
      </c>
      <c r="AO136" s="127">
        <f t="shared" ref="AO136:AO167" si="55">IFERROR(N136/W136-1, 0)</f>
        <v>-3.0781086899791199E-2</v>
      </c>
      <c r="AP136" s="127">
        <f t="shared" ref="AP136:AP167" si="56">IFERROR(O136/X136-1, 0)</f>
        <v>-4.048311603622623E-2</v>
      </c>
      <c r="AQ136" s="127">
        <f t="shared" ref="AQ136:AQ167" si="57">IFERROR(P136/Y136-1, 0)</f>
        <v>-5.125286284591779E-2</v>
      </c>
      <c r="AR136" s="127">
        <f t="shared" ref="AR136:AR167" si="58">IFERROR(Q136/Z136-1, 0)</f>
        <v>-6.3276845629547274E-2</v>
      </c>
      <c r="AS136" s="127">
        <f t="shared" ref="AS136:AS167" si="59">IFERROR(R136/AA136-1, 0)</f>
        <v>-7.6787712338520997E-2</v>
      </c>
      <c r="AT136" s="127">
        <f t="shared" ref="AT136:AT167" si="60">IFERROR(S136/AB136-1, 0)</f>
        <v>-9.2079441405593543E-2</v>
      </c>
    </row>
    <row r="137" spans="1:46" s="18" customFormat="1" ht="13" x14ac:dyDescent="0.15">
      <c r="A137" s="29" t="s">
        <v>78</v>
      </c>
      <c r="B137" s="30">
        <f>IF(Data!D80=1, MAX(Data!AA80, $E$26) + INDEX(Duplicate!$E$39:$E$43, MATCH( Data!AD80, Duplicate!$B$39:$B$43, 0), 0), MAX(Data!AA80, $E$27) +  INDEX(Duplicate!$E$39:$E$43, MATCH( Data!AD80, Duplicate!$B$39:$B$43, 0), 0))</f>
        <v>0.18199799999999999</v>
      </c>
      <c r="C137" s="128">
        <f>ROUND(Data!R80/13*100, 2)</f>
        <v>100</v>
      </c>
      <c r="D137" s="141">
        <f>ROUND(Data!Q80*C137, 0)</f>
        <v>76300</v>
      </c>
      <c r="E137" s="142">
        <f>ROUND($E$22*Data!W80*B137, 0)</f>
        <v>1683937</v>
      </c>
      <c r="F137" s="143">
        <f>IF(E137=0, 0,IF($E$31="Yes", IF(Data!D80=1, MAX(Duplicate!D137+Duplicate!E137, Data!AE80), Duplicate!D137+Duplicate!E137), Duplicate!D137+Duplicate!E137))</f>
        <v>1760237</v>
      </c>
      <c r="G137" s="143">
        <v>2107688</v>
      </c>
      <c r="H137" s="129">
        <f>F137-Data!AL80</f>
        <v>-669813</v>
      </c>
      <c r="I137" s="127">
        <f>((F137)/(Data!AL80)) - 1</f>
        <v>-0.27563753832225679</v>
      </c>
      <c r="J137" s="127">
        <f t="shared" si="42"/>
        <v>-0.16484935151692282</v>
      </c>
      <c r="K137" s="143">
        <f>ROUND(IF($E$31="Yes",IF(Data!AG80&gt;0,(Duplicate!$K$23*Data!AG80)+Data!AI80,(Duplicate!$K$24*Data!AG80)+Data!AI80),IF(Data!AF80&gt;0,(Duplicate!$K$23*Data!AF80)+Data!AI80,(Duplicate!$K$24*Data!AF80)+Data!AI80)),0)</f>
        <v>2555187</v>
      </c>
      <c r="L137" s="143">
        <f>ROUND(IF($E$31="Yes",IF(Data!$AG80&gt;0,(Duplicate!$L$23*Data!$AG80)+K137,(Duplicate!$L$24*Data!$AG80)+K137),IF(Data!$AF80&gt;0,(Duplicate!$L$23*Data!$AF80)+K137,(Duplicate!$L$24*Data!$AF80)+K137)),0)</f>
        <v>2552443</v>
      </c>
      <c r="M137" s="143">
        <f>ROUND(IF($E$31="Yes",IF(Data!$AG80&gt;0,(Duplicate!$M$23*Data!$AG80)+L137,(Duplicate!$M$24*Data!$AG80)+L137),IF(Data!$AF80&gt;0,(Duplicate!$M$23*Data!$AF80)+L137,(Duplicate!$M$24*Data!$AF80)+L137)),0)</f>
        <v>2549699</v>
      </c>
      <c r="N137" s="143">
        <f>ROUND(IF($E$31="Yes",IF(Data!$AG80&gt;0,(Duplicate!$N$23*Data!$AG80)+M137,(Duplicate!$N$24*Data!$AG80)+M137),IF(Data!$AF80&gt;0,(Duplicate!$N$23*Data!$AF80)+M137,(Duplicate!$N$24*Data!$AF80)+M137)),0)</f>
        <v>2546955</v>
      </c>
      <c r="O137" s="143">
        <f>ROUND(IF($E$31="Yes",IF(Data!$AG80&gt;0,(Duplicate!$O$23*Data!$AG80)+N137,(Duplicate!$O$24*Data!$AG80)+N137),IF(Data!$AF80&gt;0,(Duplicate!$O$23*Data!$AF80)+N137,(Duplicate!$O$24*Data!$AF80)+N137)),0)</f>
        <v>2544211</v>
      </c>
      <c r="P137" s="143">
        <f>ROUND(IF($E$31="Yes",IF(Data!$AG80&gt;0,(Duplicate!$P$23*Data!$AG80)+O137,(Duplicate!$P$24*Data!$AG80)+O137),IF(Data!$AF80&gt;0,(Duplicate!$P$23*Data!$AF80)+O137,(Duplicate!$P$24*Data!$AF80)+O137)),0)</f>
        <v>2541467</v>
      </c>
      <c r="Q137" s="143">
        <f>ROUND(IF($E$31="Yes",IF(Data!$AG80&gt;0,(Duplicate!$Q$23*Data!$AG80)+P137,(Duplicate!$Q$24*Data!$AG80)+P137),IF(Data!$AF80&gt;0,(Duplicate!$Q$23*Data!$AF80)+P137,(Duplicate!$Q$24*Data!$AF80)+P137)),0)</f>
        <v>2538723</v>
      </c>
      <c r="R137" s="143">
        <f>ROUND(IF($E$31="Yes",IF(Data!$AG80&gt;0,(Duplicate!$R$23*Data!$AG80)+Q137,(Duplicate!$R$24*Data!$AG80)+Q137),IF(Data!$AF80&gt;0,(Duplicate!$R$23*Data!$AF80)+Q137,(Duplicate!$R$24*Data!$AF80)+Q137)),0)</f>
        <v>2535979</v>
      </c>
      <c r="S137" s="143">
        <f>ROUND(IF($E$31="Yes",IF(Data!$AG80&gt;0,(Duplicate!$S$23*Data!$AG80)+R137,(Duplicate!$S$24*Data!$AG80)+R137),IF(Data!$AF80&gt;0,(Duplicate!$S$23*Data!$AF80)+R137,(Duplicate!$S$24*Data!$AF80)+R137)),0)</f>
        <v>2533235</v>
      </c>
      <c r="T137" s="143">
        <v>2507860</v>
      </c>
      <c r="U137" s="143">
        <v>2457790</v>
      </c>
      <c r="V137" s="143">
        <v>2407720</v>
      </c>
      <c r="W137" s="143">
        <v>2357650</v>
      </c>
      <c r="X137" s="143">
        <v>2307580</v>
      </c>
      <c r="Y137" s="143">
        <v>2257510</v>
      </c>
      <c r="Z137" s="143">
        <v>2207440</v>
      </c>
      <c r="AA137" s="143">
        <v>2157370</v>
      </c>
      <c r="AB137" s="143">
        <v>2107300</v>
      </c>
      <c r="AC137" s="129">
        <f t="shared" si="43"/>
        <v>47327</v>
      </c>
      <c r="AD137" s="129">
        <f t="shared" si="44"/>
        <v>94653</v>
      </c>
      <c r="AE137" s="129">
        <f t="shared" si="45"/>
        <v>141979</v>
      </c>
      <c r="AF137" s="129">
        <f t="shared" si="46"/>
        <v>189305</v>
      </c>
      <c r="AG137" s="129">
        <f t="shared" si="47"/>
        <v>236631</v>
      </c>
      <c r="AH137" s="129">
        <f t="shared" si="48"/>
        <v>283957</v>
      </c>
      <c r="AI137" s="129">
        <f t="shared" si="49"/>
        <v>331283</v>
      </c>
      <c r="AJ137" s="129">
        <f t="shared" si="50"/>
        <v>378609</v>
      </c>
      <c r="AK137" s="129">
        <f t="shared" si="51"/>
        <v>425935</v>
      </c>
      <c r="AL137" s="127">
        <f t="shared" si="52"/>
        <v>1.8871468104280087E-2</v>
      </c>
      <c r="AM137" s="127">
        <f t="shared" si="53"/>
        <v>3.8511426932325454E-2</v>
      </c>
      <c r="AN137" s="127">
        <f t="shared" si="54"/>
        <v>5.8968235509112343E-2</v>
      </c>
      <c r="AO137" s="127">
        <f t="shared" si="55"/>
        <v>8.0293936759060935E-2</v>
      </c>
      <c r="AP137" s="127">
        <f t="shared" si="56"/>
        <v>0.10254509052773897</v>
      </c>
      <c r="AQ137" s="127">
        <f t="shared" si="57"/>
        <v>0.12578327449269322</v>
      </c>
      <c r="AR137" s="127">
        <f t="shared" si="58"/>
        <v>0.15007565324538841</v>
      </c>
      <c r="AS137" s="127">
        <f t="shared" si="59"/>
        <v>0.17549562661944873</v>
      </c>
      <c r="AT137" s="127">
        <f t="shared" si="60"/>
        <v>0.20212357044559393</v>
      </c>
    </row>
    <row r="138" spans="1:46" s="18" customFormat="1" ht="13" x14ac:dyDescent="0.15">
      <c r="A138" s="29" t="s">
        <v>79</v>
      </c>
      <c r="B138" s="30">
        <f>IF(Data!D81=1, MAX(Data!AA81, $E$26) + INDEX(Duplicate!$E$39:$E$43, MATCH( Data!AD81, Duplicate!$B$39:$B$43, 0), 0), MAX(Data!AA81, $E$27) +  INDEX(Duplicate!$E$39:$E$43, MATCH( Data!AD81, Duplicate!$B$39:$B$43, 0), 0))</f>
        <v>0.28831200000000001</v>
      </c>
      <c r="C138" s="128">
        <f>ROUND(Data!R81/13*100, 2)</f>
        <v>46.15</v>
      </c>
      <c r="D138" s="141">
        <f>ROUND(Data!Q81*C138, 0)</f>
        <v>29536</v>
      </c>
      <c r="E138" s="142">
        <f>ROUND($E$22*Data!W81*B138, 0)</f>
        <v>4334587</v>
      </c>
      <c r="F138" s="143">
        <f>IF(E138=0, 0,IF($E$31="Yes", IF(Data!D81=1, MAX(Duplicate!D138+Duplicate!E138, Data!AE81), Duplicate!D138+Duplicate!E138), Duplicate!D138+Duplicate!E138))</f>
        <v>4364123</v>
      </c>
      <c r="G138" s="143">
        <v>4619748</v>
      </c>
      <c r="H138" s="129">
        <f>F138-Data!AL81</f>
        <v>-1633570</v>
      </c>
      <c r="I138" s="127">
        <f>((F138)/(Data!AL81)) - 1</f>
        <v>-0.27236639154421538</v>
      </c>
      <c r="J138" s="127">
        <f t="shared" si="42"/>
        <v>-5.5333104749436535E-2</v>
      </c>
      <c r="K138" s="143">
        <f>ROUND(IF($E$31="Yes",IF(Data!AG81&gt;0,(Duplicate!$K$23*Data!AG81)+Data!AI81,(Duplicate!$K$24*Data!AG81)+Data!AI81),IF(Data!AF81&gt;0,(Duplicate!$K$23*Data!AF81)+Data!AI81,(Duplicate!$K$24*Data!AF81)+Data!AI81)),0)</f>
        <v>6186548</v>
      </c>
      <c r="L138" s="143">
        <f>ROUND(IF($E$31="Yes",IF(Data!$AG81&gt;0,(Duplicate!$L$23*Data!$AG81)+K138,(Duplicate!$L$24*Data!$AG81)+K138),IF(Data!$AF81&gt;0,(Duplicate!$L$23*Data!$AF81)+K138,(Duplicate!$L$24*Data!$AF81)+K138)),0)</f>
        <v>6006909</v>
      </c>
      <c r="M138" s="143">
        <f>ROUND(IF($E$31="Yes",IF(Data!$AG81&gt;0,(Duplicate!$M$23*Data!$AG81)+L138,(Duplicate!$M$24*Data!$AG81)+L138),IF(Data!$AF81&gt;0,(Duplicate!$M$23*Data!$AF81)+L138,(Duplicate!$M$24*Data!$AF81)+L138)),0)</f>
        <v>5827270</v>
      </c>
      <c r="N138" s="143">
        <f>ROUND(IF($E$31="Yes",IF(Data!$AG81&gt;0,(Duplicate!$N$23*Data!$AG81)+M138,(Duplicate!$N$24*Data!$AG81)+M138),IF(Data!$AF81&gt;0,(Duplicate!$N$23*Data!$AF81)+M138,(Duplicate!$N$24*Data!$AF81)+M138)),0)</f>
        <v>5647631</v>
      </c>
      <c r="O138" s="143">
        <f>ROUND(IF($E$31="Yes",IF(Data!$AG81&gt;0,(Duplicate!$O$23*Data!$AG81)+N138,(Duplicate!$O$24*Data!$AG81)+N138),IF(Data!$AF81&gt;0,(Duplicate!$O$23*Data!$AF81)+N138,(Duplicate!$O$24*Data!$AF81)+N138)),0)</f>
        <v>5467992</v>
      </c>
      <c r="P138" s="143">
        <f>ROUND(IF($E$31="Yes",IF(Data!$AG81&gt;0,(Duplicate!$P$23*Data!$AG81)+O138,(Duplicate!$P$24*Data!$AG81)+O138),IF(Data!$AF81&gt;0,(Duplicate!$P$23*Data!$AF81)+O138,(Duplicate!$P$24*Data!$AF81)+O138)),0)</f>
        <v>5288353</v>
      </c>
      <c r="Q138" s="143">
        <f>ROUND(IF($E$31="Yes",IF(Data!$AG81&gt;0,(Duplicate!$Q$23*Data!$AG81)+P138,(Duplicate!$Q$24*Data!$AG81)+P138),IF(Data!$AF81&gt;0,(Duplicate!$Q$23*Data!$AF81)+P138,(Duplicate!$Q$24*Data!$AF81)+P138)),0)</f>
        <v>5108714</v>
      </c>
      <c r="R138" s="143">
        <f>ROUND(IF($E$31="Yes",IF(Data!$AG81&gt;0,(Duplicate!$R$23*Data!$AG81)+Q138,(Duplicate!$R$24*Data!$AG81)+Q138),IF(Data!$AF81&gt;0,(Duplicate!$R$23*Data!$AF81)+Q138,(Duplicate!$R$24*Data!$AF81)+Q138)),0)</f>
        <v>4929075</v>
      </c>
      <c r="S138" s="143">
        <f>ROUND(IF($E$31="Yes",IF(Data!$AG81&gt;0,(Duplicate!$S$23*Data!$AG81)+R138,(Duplicate!$S$24*Data!$AG81)+R138),IF(Data!$AF81&gt;0,(Duplicate!$S$23*Data!$AF81)+R138,(Duplicate!$S$24*Data!$AF81)+R138)),0)</f>
        <v>4749436</v>
      </c>
      <c r="T138" s="143">
        <v>6178314</v>
      </c>
      <c r="U138" s="143">
        <v>5990441</v>
      </c>
      <c r="V138" s="143">
        <v>5802568</v>
      </c>
      <c r="W138" s="143">
        <v>5614695</v>
      </c>
      <c r="X138" s="143">
        <v>5426822</v>
      </c>
      <c r="Y138" s="143">
        <v>5238949</v>
      </c>
      <c r="Z138" s="143">
        <v>5051076</v>
      </c>
      <c r="AA138" s="143">
        <v>4863203</v>
      </c>
      <c r="AB138" s="143">
        <v>4675330</v>
      </c>
      <c r="AC138" s="129">
        <f t="shared" si="43"/>
        <v>8234</v>
      </c>
      <c r="AD138" s="129">
        <f t="shared" si="44"/>
        <v>16468</v>
      </c>
      <c r="AE138" s="129">
        <f t="shared" si="45"/>
        <v>24702</v>
      </c>
      <c r="AF138" s="129">
        <f t="shared" si="46"/>
        <v>32936</v>
      </c>
      <c r="AG138" s="129">
        <f t="shared" si="47"/>
        <v>41170</v>
      </c>
      <c r="AH138" s="129">
        <f t="shared" si="48"/>
        <v>49404</v>
      </c>
      <c r="AI138" s="129">
        <f t="shared" si="49"/>
        <v>57638</v>
      </c>
      <c r="AJ138" s="129">
        <f t="shared" si="50"/>
        <v>65872</v>
      </c>
      <c r="AK138" s="129">
        <f t="shared" si="51"/>
        <v>74106</v>
      </c>
      <c r="AL138" s="127">
        <f t="shared" si="52"/>
        <v>1.3327260479152336E-3</v>
      </c>
      <c r="AM138" s="127">
        <f t="shared" si="53"/>
        <v>2.7490463556856248E-3</v>
      </c>
      <c r="AN138" s="127">
        <f t="shared" si="54"/>
        <v>4.2570806580810583E-3</v>
      </c>
      <c r="AO138" s="127">
        <f t="shared" si="55"/>
        <v>5.8660354658623959E-3</v>
      </c>
      <c r="AP138" s="127">
        <f t="shared" si="56"/>
        <v>7.5863921831229586E-3</v>
      </c>
      <c r="AQ138" s="127">
        <f t="shared" si="57"/>
        <v>9.4301357008819142E-3</v>
      </c>
      <c r="AR138" s="127">
        <f t="shared" si="58"/>
        <v>1.1411034005427645E-2</v>
      </c>
      <c r="AS138" s="127">
        <f t="shared" si="59"/>
        <v>1.3544982596860544E-2</v>
      </c>
      <c r="AT138" s="127">
        <f t="shared" si="60"/>
        <v>1.5850431948119192E-2</v>
      </c>
    </row>
    <row r="139" spans="1:46" s="18" customFormat="1" ht="13" x14ac:dyDescent="0.15">
      <c r="A139" s="29" t="s">
        <v>80</v>
      </c>
      <c r="B139" s="30">
        <f>IF(Data!D82=1, MAX(Data!AA82, $E$26) + INDEX(Duplicate!$E$39:$E$43, MATCH( Data!AD82, Duplicate!$B$39:$B$43, 0), 0), MAX(Data!AA82, $E$27) +  INDEX(Duplicate!$E$39:$E$43, MATCH( Data!AD82, Duplicate!$B$39:$B$43, 0), 0))</f>
        <v>0.01</v>
      </c>
      <c r="C139" s="128">
        <f>ROUND(Data!R82/13*100, 2)</f>
        <v>30.77</v>
      </c>
      <c r="D139" s="141">
        <f>ROUND(Data!Q82*C139, 0)</f>
        <v>1354</v>
      </c>
      <c r="E139" s="142">
        <f>ROUND($E$22*Data!W82*B139, 0)</f>
        <v>29399</v>
      </c>
      <c r="F139" s="143">
        <f>IF(E139=0, 0,IF($E$31="Yes", IF(Data!D82=1, MAX(Duplicate!D139+Duplicate!E139, Data!AE82), Duplicate!D139+Duplicate!E139), Duplicate!D139+Duplicate!E139))</f>
        <v>30753</v>
      </c>
      <c r="G139" s="143">
        <v>34330</v>
      </c>
      <c r="H139" s="129">
        <f>F139-Data!AL82</f>
        <v>3159</v>
      </c>
      <c r="I139" s="127">
        <f>((F139)/(Data!AL82)) - 1</f>
        <v>0.11448140900195702</v>
      </c>
      <c r="J139" s="127">
        <f t="shared" si="42"/>
        <v>-0.10419458199825227</v>
      </c>
      <c r="K139" s="143">
        <f>ROUND(IF($E$31="Yes",IF(Data!AG82&gt;0,(Duplicate!$K$23*Data!AG82)+Data!AI82,(Duplicate!$K$24*Data!AG82)+Data!AI82),IF(Data!AF82&gt;0,(Duplicate!$K$23*Data!AF82)+Data!AI82,(Duplicate!$K$24*Data!AF82)+Data!AI82)),0)</f>
        <v>28297</v>
      </c>
      <c r="L139" s="143">
        <f>ROUND(IF($E$31="Yes",IF(Data!$AG82&gt;0,(Duplicate!$L$23*Data!$AG82)+K139,(Duplicate!$L$24*Data!$AG82)+K139),IF(Data!$AF82&gt;0,(Duplicate!$L$23*Data!$AF82)+K139,(Duplicate!$L$24*Data!$AF82)+K139)),0)</f>
        <v>30575</v>
      </c>
      <c r="M139" s="143">
        <f>ROUND(IF($E$31="Yes",IF(Data!$AG82&gt;0,(Duplicate!$M$23*Data!$AG82)+L139,(Duplicate!$M$24*Data!$AG82)+L139),IF(Data!$AF82&gt;0,(Duplicate!$M$23*Data!$AF82)+L139,(Duplicate!$M$24*Data!$AF82)+L139)),0)</f>
        <v>32853</v>
      </c>
      <c r="N139" s="143">
        <f>ROUND(IF($E$31="Yes",IF(Data!$AG82&gt;0,(Duplicate!$N$23*Data!$AG82)+M139,(Duplicate!$N$24*Data!$AG82)+M139),IF(Data!$AF82&gt;0,(Duplicate!$N$23*Data!$AF82)+M139,(Duplicate!$N$24*Data!$AF82)+M139)),0)</f>
        <v>35131</v>
      </c>
      <c r="O139" s="143">
        <f>ROUND(IF($E$31="Yes",IF(Data!$AG82&gt;0,(Duplicate!$O$23*Data!$AG82)+N139,(Duplicate!$O$24*Data!$AG82)+N139),IF(Data!$AF82&gt;0,(Duplicate!$O$23*Data!$AF82)+N139,(Duplicate!$O$24*Data!$AF82)+N139)),0)</f>
        <v>37409</v>
      </c>
      <c r="P139" s="143">
        <f>ROUND(IF($E$31="Yes",IF(Data!$AG82&gt;0,(Duplicate!$P$23*Data!$AG82)+O139,(Duplicate!$P$24*Data!$AG82)+O139),IF(Data!$AF82&gt;0,(Duplicate!$P$23*Data!$AF82)+O139,(Duplicate!$P$24*Data!$AF82)+O139)),0)</f>
        <v>39687</v>
      </c>
      <c r="Q139" s="143">
        <f>ROUND(IF($E$31="Yes",IF(Data!$AG82&gt;0,(Duplicate!$Q$23*Data!$AG82)+P139,(Duplicate!$Q$24*Data!$AG82)+P139),IF(Data!$AF82&gt;0,(Duplicate!$Q$23*Data!$AF82)+P139,(Duplicate!$Q$24*Data!$AF82)+P139)),0)</f>
        <v>41965</v>
      </c>
      <c r="R139" s="143">
        <f>ROUND(IF($E$31="Yes",IF(Data!$AG82&gt;0,(Duplicate!$R$23*Data!$AG82)+Q139,(Duplicate!$R$24*Data!$AG82)+Q139),IF(Data!$AF82&gt;0,(Duplicate!$R$23*Data!$AF82)+Q139,(Duplicate!$R$24*Data!$AF82)+Q139)),0)</f>
        <v>44243</v>
      </c>
      <c r="S139" s="143">
        <f>ROUND(IF($E$31="Yes",IF(Data!$AG82&gt;0,(Duplicate!$S$23*Data!$AG82)+R139,(Duplicate!$S$24*Data!$AG82)+R139),IF(Data!$AF82&gt;0,(Duplicate!$S$23*Data!$AF82)+R139,(Duplicate!$S$24*Data!$AF82)+R139)),0)</f>
        <v>46521</v>
      </c>
      <c r="T139" s="143">
        <v>26947</v>
      </c>
      <c r="U139" s="143">
        <v>27874</v>
      </c>
      <c r="V139" s="143">
        <v>28801</v>
      </c>
      <c r="W139" s="143">
        <v>29728</v>
      </c>
      <c r="X139" s="143">
        <v>30655</v>
      </c>
      <c r="Y139" s="143">
        <v>31582</v>
      </c>
      <c r="Z139" s="143">
        <v>32509</v>
      </c>
      <c r="AA139" s="143">
        <v>33436</v>
      </c>
      <c r="AB139" s="143">
        <v>34363</v>
      </c>
      <c r="AC139" s="129">
        <f t="shared" si="43"/>
        <v>1350</v>
      </c>
      <c r="AD139" s="129">
        <f t="shared" si="44"/>
        <v>2701</v>
      </c>
      <c r="AE139" s="129">
        <f t="shared" si="45"/>
        <v>4052</v>
      </c>
      <c r="AF139" s="129">
        <f t="shared" si="46"/>
        <v>5403</v>
      </c>
      <c r="AG139" s="129">
        <f t="shared" si="47"/>
        <v>6754</v>
      </c>
      <c r="AH139" s="129">
        <f t="shared" si="48"/>
        <v>8105</v>
      </c>
      <c r="AI139" s="129">
        <f t="shared" si="49"/>
        <v>9456</v>
      </c>
      <c r="AJ139" s="129">
        <f t="shared" si="50"/>
        <v>10807</v>
      </c>
      <c r="AK139" s="129">
        <f t="shared" si="51"/>
        <v>12158</v>
      </c>
      <c r="AL139" s="127">
        <f t="shared" si="52"/>
        <v>5.0098341188258511E-2</v>
      </c>
      <c r="AM139" s="127">
        <f t="shared" si="53"/>
        <v>9.6900337231828892E-2</v>
      </c>
      <c r="AN139" s="127">
        <f t="shared" si="54"/>
        <v>0.14068955939029903</v>
      </c>
      <c r="AO139" s="127">
        <f t="shared" si="55"/>
        <v>0.1817478471474705</v>
      </c>
      <c r="AP139" s="127">
        <f t="shared" si="56"/>
        <v>0.22032294894796944</v>
      </c>
      <c r="AQ139" s="127">
        <f t="shared" si="57"/>
        <v>0.25663352542587559</v>
      </c>
      <c r="AR139" s="127">
        <f t="shared" si="58"/>
        <v>0.29087329662554984</v>
      </c>
      <c r="AS139" s="127">
        <f t="shared" si="59"/>
        <v>0.32321449934202651</v>
      </c>
      <c r="AT139" s="127">
        <f t="shared" si="60"/>
        <v>0.35381078485580431</v>
      </c>
    </row>
    <row r="140" spans="1:46" s="18" customFormat="1" ht="13" x14ac:dyDescent="0.15">
      <c r="A140" s="29" t="s">
        <v>81</v>
      </c>
      <c r="B140" s="30">
        <f>IF(Data!D83=1, MAX(Data!AA83, $E$26) + INDEX(Duplicate!$E$39:$E$43, MATCH( Data!AD83, Duplicate!$B$39:$B$43, 0), 0), MAX(Data!AA83, $E$27) +  INDEX(Duplicate!$E$39:$E$43, MATCH( Data!AD83, Duplicate!$B$39:$B$43, 0), 0))</f>
        <v>0.42790800000000001</v>
      </c>
      <c r="C140" s="128">
        <f>ROUND(Data!R83/13*100, 2)</f>
        <v>0</v>
      </c>
      <c r="D140" s="141">
        <f>ROUND(Data!Q83*C140, 0)</f>
        <v>0</v>
      </c>
      <c r="E140" s="142">
        <f>ROUND($E$22*Data!W83*B140, 0)</f>
        <v>12031327</v>
      </c>
      <c r="F140" s="143">
        <f>IF(E140=0, 0,IF($E$31="Yes", IF(Data!D83=1, MAX(Duplicate!D140+Duplicate!E140, Data!AE83), Duplicate!D140+Duplicate!E140), Duplicate!D140+Duplicate!E140))</f>
        <v>15574402</v>
      </c>
      <c r="G140" s="143">
        <v>15574402</v>
      </c>
      <c r="H140" s="129">
        <f>F140-Data!AL83</f>
        <v>0</v>
      </c>
      <c r="I140" s="127">
        <f>((F140)/(Data!AL83)) - 1</f>
        <v>0</v>
      </c>
      <c r="J140" s="127">
        <f t="shared" si="42"/>
        <v>0</v>
      </c>
      <c r="K140" s="143">
        <f>ROUND(IF($E$31="Yes",IF(Data!AG83&gt;0,(Duplicate!$K$23*Data!AG83)+Data!AI83,(Duplicate!$K$24*Data!AG83)+Data!AI83),IF(Data!AF83&gt;0,(Duplicate!$K$23*Data!AF83)+Data!AI83,(Duplicate!$K$24*Data!AF83)+Data!AI83)),0)</f>
        <v>15574402</v>
      </c>
      <c r="L140" s="143">
        <f>ROUND(IF($E$31="Yes",IF(Data!$AG83&gt;0,(Duplicate!$L$23*Data!$AG83)+K140,(Duplicate!$L$24*Data!$AG83)+K140),IF(Data!$AF83&gt;0,(Duplicate!$L$23*Data!$AF83)+K140,(Duplicate!$L$24*Data!$AF83)+K140)),0)</f>
        <v>15574402</v>
      </c>
      <c r="M140" s="143">
        <f>ROUND(IF($E$31="Yes",IF(Data!$AG83&gt;0,(Duplicate!$M$23*Data!$AG83)+L140,(Duplicate!$M$24*Data!$AG83)+L140),IF(Data!$AF83&gt;0,(Duplicate!$M$23*Data!$AF83)+L140,(Duplicate!$M$24*Data!$AF83)+L140)),0)</f>
        <v>15574402</v>
      </c>
      <c r="N140" s="143">
        <f>ROUND(IF($E$31="Yes",IF(Data!$AG83&gt;0,(Duplicate!$N$23*Data!$AG83)+M140,(Duplicate!$N$24*Data!$AG83)+M140),IF(Data!$AF83&gt;0,(Duplicate!$N$23*Data!$AF83)+M140,(Duplicate!$N$24*Data!$AF83)+M140)),0)</f>
        <v>15574402</v>
      </c>
      <c r="O140" s="143">
        <f>ROUND(IF($E$31="Yes",IF(Data!$AG83&gt;0,(Duplicate!$O$23*Data!$AG83)+N140,(Duplicate!$O$24*Data!$AG83)+N140),IF(Data!$AF83&gt;0,(Duplicate!$O$23*Data!$AF83)+N140,(Duplicate!$O$24*Data!$AF83)+N140)),0)</f>
        <v>15574402</v>
      </c>
      <c r="P140" s="143">
        <f>ROUND(IF($E$31="Yes",IF(Data!$AG83&gt;0,(Duplicate!$P$23*Data!$AG83)+O140,(Duplicate!$P$24*Data!$AG83)+O140),IF(Data!$AF83&gt;0,(Duplicate!$P$23*Data!$AF83)+O140,(Duplicate!$P$24*Data!$AF83)+O140)),0)</f>
        <v>15574402</v>
      </c>
      <c r="Q140" s="143">
        <f>ROUND(IF($E$31="Yes",IF(Data!$AG83&gt;0,(Duplicate!$Q$23*Data!$AG83)+P140,(Duplicate!$Q$24*Data!$AG83)+P140),IF(Data!$AF83&gt;0,(Duplicate!$Q$23*Data!$AF83)+P140,(Duplicate!$Q$24*Data!$AF83)+P140)),0)</f>
        <v>15574402</v>
      </c>
      <c r="R140" s="143">
        <f>ROUND(IF($E$31="Yes",IF(Data!$AG83&gt;0,(Duplicate!$R$23*Data!$AG83)+Q140,(Duplicate!$R$24*Data!$AG83)+Q140),IF(Data!$AF83&gt;0,(Duplicate!$R$23*Data!$AF83)+Q140,(Duplicate!$R$24*Data!$AF83)+Q140)),0)</f>
        <v>15574402</v>
      </c>
      <c r="S140" s="143">
        <f>ROUND(IF($E$31="Yes",IF(Data!$AG83&gt;0,(Duplicate!$S$23*Data!$AG83)+R140,(Duplicate!$S$24*Data!$AG83)+R140),IF(Data!$AF83&gt;0,(Duplicate!$S$23*Data!$AF83)+R140,(Duplicate!$S$24*Data!$AF83)+R140)),0)</f>
        <v>15574402</v>
      </c>
      <c r="T140" s="143">
        <v>15574402</v>
      </c>
      <c r="U140" s="143">
        <v>15574402</v>
      </c>
      <c r="V140" s="143">
        <v>15574402</v>
      </c>
      <c r="W140" s="143">
        <v>15574402</v>
      </c>
      <c r="X140" s="143">
        <v>15574402</v>
      </c>
      <c r="Y140" s="143">
        <v>15574402</v>
      </c>
      <c r="Z140" s="143">
        <v>15574402</v>
      </c>
      <c r="AA140" s="143">
        <v>15574402</v>
      </c>
      <c r="AB140" s="143">
        <v>15574402</v>
      </c>
      <c r="AC140" s="129">
        <f t="shared" si="43"/>
        <v>0</v>
      </c>
      <c r="AD140" s="129">
        <f t="shared" si="44"/>
        <v>0</v>
      </c>
      <c r="AE140" s="129">
        <f t="shared" si="45"/>
        <v>0</v>
      </c>
      <c r="AF140" s="129">
        <f t="shared" si="46"/>
        <v>0</v>
      </c>
      <c r="AG140" s="129">
        <f t="shared" si="47"/>
        <v>0</v>
      </c>
      <c r="AH140" s="129">
        <f t="shared" si="48"/>
        <v>0</v>
      </c>
      <c r="AI140" s="129">
        <f t="shared" si="49"/>
        <v>0</v>
      </c>
      <c r="AJ140" s="129">
        <f t="shared" si="50"/>
        <v>0</v>
      </c>
      <c r="AK140" s="129">
        <f t="shared" si="51"/>
        <v>0</v>
      </c>
      <c r="AL140" s="127">
        <f t="shared" si="52"/>
        <v>0</v>
      </c>
      <c r="AM140" s="127">
        <f t="shared" si="53"/>
        <v>0</v>
      </c>
      <c r="AN140" s="127">
        <f t="shared" si="54"/>
        <v>0</v>
      </c>
      <c r="AO140" s="127">
        <f t="shared" si="55"/>
        <v>0</v>
      </c>
      <c r="AP140" s="127">
        <f t="shared" si="56"/>
        <v>0</v>
      </c>
      <c r="AQ140" s="127">
        <f t="shared" si="57"/>
        <v>0</v>
      </c>
      <c r="AR140" s="127">
        <f t="shared" si="58"/>
        <v>0</v>
      </c>
      <c r="AS140" s="127">
        <f t="shared" si="59"/>
        <v>0</v>
      </c>
      <c r="AT140" s="127">
        <f t="shared" si="60"/>
        <v>0</v>
      </c>
    </row>
    <row r="141" spans="1:46" s="18" customFormat="1" ht="13" x14ac:dyDescent="0.15">
      <c r="A141" s="29" t="s">
        <v>82</v>
      </c>
      <c r="B141" s="30">
        <f>IF(Data!D84=1, MAX(Data!AA84, $E$26) + INDEX(Duplicate!$E$39:$E$43, MATCH( Data!AD84, Duplicate!$B$39:$B$43, 0), 0), MAX(Data!AA84, $E$27) +  INDEX(Duplicate!$E$39:$E$43, MATCH( Data!AD84, Duplicate!$B$39:$B$43, 0), 0))</f>
        <v>0.141509</v>
      </c>
      <c r="C141" s="128">
        <f>ROUND(Data!R84/13*100, 2)</f>
        <v>100</v>
      </c>
      <c r="D141" s="141">
        <f>ROUND(Data!Q84*C141, 0)</f>
        <v>73900</v>
      </c>
      <c r="E141" s="142">
        <f>ROUND($E$22*Data!W84*B141, 0)</f>
        <v>1230785</v>
      </c>
      <c r="F141" s="143">
        <f>IF(E141=0, 0,IF($E$31="Yes", IF(Data!D84=1, MAX(Duplicate!D141+Duplicate!E141, Data!AE84), Duplicate!D141+Duplicate!E141), Duplicate!D141+Duplicate!E141))</f>
        <v>1304685</v>
      </c>
      <c r="G141" s="143">
        <v>1326155</v>
      </c>
      <c r="H141" s="129">
        <f>F141-Data!AL84</f>
        <v>-372978</v>
      </c>
      <c r="I141" s="127">
        <f>((F141)/(Data!AL84)) - 1</f>
        <v>-0.22231997725407304</v>
      </c>
      <c r="J141" s="127">
        <f t="shared" si="42"/>
        <v>-1.618966108788189E-2</v>
      </c>
      <c r="K141" s="143">
        <f>ROUND(IF($E$31="Yes",IF(Data!AG84&gt;0,(Duplicate!$K$23*Data!AG84)+Data!AI84,(Duplicate!$K$24*Data!AG84)+Data!AI84),IF(Data!AF84&gt;0,(Duplicate!$K$23*Data!AF84)+Data!AI84,(Duplicate!$K$24*Data!AF84)+Data!AI84)),0)</f>
        <v>1839786</v>
      </c>
      <c r="L141" s="143">
        <f>ROUND(IF($E$31="Yes",IF(Data!$AG84&gt;0,(Duplicate!$L$23*Data!$AG84)+K141,(Duplicate!$L$24*Data!$AG84)+K141),IF(Data!$AF84&gt;0,(Duplicate!$L$23*Data!$AF84)+K141,(Duplicate!$L$24*Data!$AF84)+K141)),0)</f>
        <v>1841712</v>
      </c>
      <c r="M141" s="143">
        <f>ROUND(IF($E$31="Yes",IF(Data!$AG84&gt;0,(Duplicate!$M$23*Data!$AG84)+L141,(Duplicate!$M$24*Data!$AG84)+L141),IF(Data!$AF84&gt;0,(Duplicate!$M$23*Data!$AF84)+L141,(Duplicate!$M$24*Data!$AF84)+L141)),0)</f>
        <v>1843638</v>
      </c>
      <c r="N141" s="143">
        <f>ROUND(IF($E$31="Yes",IF(Data!$AG84&gt;0,(Duplicate!$N$23*Data!$AG84)+M141,(Duplicate!$N$24*Data!$AG84)+M141),IF(Data!$AF84&gt;0,(Duplicate!$N$23*Data!$AF84)+M141,(Duplicate!$N$24*Data!$AF84)+M141)),0)</f>
        <v>1845564</v>
      </c>
      <c r="O141" s="143">
        <f>ROUND(IF($E$31="Yes",IF(Data!$AG84&gt;0,(Duplicate!$O$23*Data!$AG84)+N141,(Duplicate!$O$24*Data!$AG84)+N141),IF(Data!$AF84&gt;0,(Duplicate!$O$23*Data!$AF84)+N141,(Duplicate!$O$24*Data!$AF84)+N141)),0)</f>
        <v>1847490</v>
      </c>
      <c r="P141" s="143">
        <f>ROUND(IF($E$31="Yes",IF(Data!$AG84&gt;0,(Duplicate!$P$23*Data!$AG84)+O141,(Duplicate!$P$24*Data!$AG84)+O141),IF(Data!$AF84&gt;0,(Duplicate!$P$23*Data!$AF84)+O141,(Duplicate!$P$24*Data!$AF84)+O141)),0)</f>
        <v>1849416</v>
      </c>
      <c r="Q141" s="143">
        <f>ROUND(IF($E$31="Yes",IF(Data!$AG84&gt;0,(Duplicate!$Q$23*Data!$AG84)+P141,(Duplicate!$Q$24*Data!$AG84)+P141),IF(Data!$AF84&gt;0,(Duplicate!$Q$23*Data!$AF84)+P141,(Duplicate!$Q$24*Data!$AF84)+P141)),0)</f>
        <v>1851342</v>
      </c>
      <c r="R141" s="143">
        <f>ROUND(IF($E$31="Yes",IF(Data!$AG84&gt;0,(Duplicate!$R$23*Data!$AG84)+Q141,(Duplicate!$R$24*Data!$AG84)+Q141),IF(Data!$AF84&gt;0,(Duplicate!$R$23*Data!$AF84)+Q141,(Duplicate!$R$24*Data!$AF84)+Q141)),0)</f>
        <v>1853268</v>
      </c>
      <c r="S141" s="143">
        <f>ROUND(IF($E$31="Yes",IF(Data!$AG84&gt;0,(Duplicate!$S$23*Data!$AG84)+R141,(Duplicate!$S$24*Data!$AG84)+R141),IF(Data!$AF84&gt;0,(Duplicate!$S$23*Data!$AF84)+R141,(Duplicate!$S$24*Data!$AF84)+R141)),0)</f>
        <v>1855194</v>
      </c>
      <c r="T141" s="143">
        <v>1767283</v>
      </c>
      <c r="U141" s="143">
        <v>1696706</v>
      </c>
      <c r="V141" s="143">
        <v>1626129</v>
      </c>
      <c r="W141" s="143">
        <v>1555552</v>
      </c>
      <c r="X141" s="143">
        <v>1484975</v>
      </c>
      <c r="Y141" s="143">
        <v>1414398</v>
      </c>
      <c r="Z141" s="143">
        <v>1343821</v>
      </c>
      <c r="AA141" s="143">
        <v>1273244</v>
      </c>
      <c r="AB141" s="143">
        <v>1202667</v>
      </c>
      <c r="AC141" s="129">
        <f t="shared" si="43"/>
        <v>72503</v>
      </c>
      <c r="AD141" s="129">
        <f t="shared" si="44"/>
        <v>145006</v>
      </c>
      <c r="AE141" s="129">
        <f t="shared" si="45"/>
        <v>217509</v>
      </c>
      <c r="AF141" s="129">
        <f t="shared" si="46"/>
        <v>290012</v>
      </c>
      <c r="AG141" s="129">
        <f t="shared" si="47"/>
        <v>362515</v>
      </c>
      <c r="AH141" s="129">
        <f t="shared" si="48"/>
        <v>435018</v>
      </c>
      <c r="AI141" s="129">
        <f t="shared" si="49"/>
        <v>507521</v>
      </c>
      <c r="AJ141" s="129">
        <f t="shared" si="50"/>
        <v>580024</v>
      </c>
      <c r="AK141" s="129">
        <f t="shared" si="51"/>
        <v>652527</v>
      </c>
      <c r="AL141" s="127">
        <f t="shared" si="52"/>
        <v>4.1025121613233351E-2</v>
      </c>
      <c r="AM141" s="127">
        <f t="shared" si="53"/>
        <v>8.5463244663483318E-2</v>
      </c>
      <c r="AN141" s="127">
        <f t="shared" si="54"/>
        <v>0.13375876083631733</v>
      </c>
      <c r="AO141" s="127">
        <f t="shared" si="55"/>
        <v>0.18643671185534139</v>
      </c>
      <c r="AP141" s="127">
        <f t="shared" si="56"/>
        <v>0.24412195491506594</v>
      </c>
      <c r="AQ141" s="127">
        <f t="shared" si="57"/>
        <v>0.30756406612565912</v>
      </c>
      <c r="AR141" s="127">
        <f t="shared" si="58"/>
        <v>0.37767009147795716</v>
      </c>
      <c r="AS141" s="127">
        <f t="shared" si="59"/>
        <v>0.45554819029188431</v>
      </c>
      <c r="AT141" s="127">
        <f t="shared" si="60"/>
        <v>0.54256664563008705</v>
      </c>
    </row>
    <row r="142" spans="1:46" s="18" customFormat="1" ht="13" x14ac:dyDescent="0.15">
      <c r="A142" s="29" t="s">
        <v>83</v>
      </c>
      <c r="B142" s="30">
        <f>IF(Data!D85=1, MAX(Data!AA85, $E$26) + INDEX(Duplicate!$E$39:$E$43, MATCH( Data!AD85, Duplicate!$B$39:$B$43, 0), 0), MAX(Data!AA85, $E$27) +  INDEX(Duplicate!$E$39:$E$43, MATCH( Data!AD85, Duplicate!$B$39:$B$43, 0), 0))</f>
        <v>0.28275699999999998</v>
      </c>
      <c r="C142" s="128">
        <f>ROUND(Data!R85/13*100, 2)</f>
        <v>0</v>
      </c>
      <c r="D142" s="141">
        <f>ROUND(Data!Q85*C142, 0)</f>
        <v>0</v>
      </c>
      <c r="E142" s="142">
        <f>ROUND($E$22*Data!W85*B142, 0)</f>
        <v>3172906</v>
      </c>
      <c r="F142" s="143">
        <f>IF(E142=0, 0,IF($E$31="Yes", IF(Data!D85=1, MAX(Duplicate!D142+Duplicate!E142, Data!AE85), Duplicate!D142+Duplicate!E142), Duplicate!D142+Duplicate!E142))</f>
        <v>3172906</v>
      </c>
      <c r="G142" s="143">
        <v>3540627</v>
      </c>
      <c r="H142" s="129">
        <f>F142-Data!AL85</f>
        <v>-1405683</v>
      </c>
      <c r="I142" s="127">
        <f>((F142)/(Data!AL85)) - 1</f>
        <v>-0.30701226950049454</v>
      </c>
      <c r="J142" s="127">
        <f t="shared" si="42"/>
        <v>-0.10385759358441315</v>
      </c>
      <c r="K142" s="143">
        <f>ROUND(IF($E$31="Yes",IF(Data!AG85&gt;0,(Duplicate!$K$23*Data!AG85)+Data!AI85,(Duplicate!$K$24*Data!AG85)+Data!AI85),IF(Data!AF85&gt;0,(Duplicate!$K$23*Data!AF85)+Data!AI85,(Duplicate!$K$24*Data!AF85)+Data!AI85)),0)</f>
        <v>4730432</v>
      </c>
      <c r="L142" s="143">
        <f>ROUND(IF($E$31="Yes",IF(Data!$AG85&gt;0,(Duplicate!$L$23*Data!$AG85)+K142,(Duplicate!$L$24*Data!$AG85)+K142),IF(Data!$AF85&gt;0,(Duplicate!$L$23*Data!$AF85)+K142,(Duplicate!$L$24*Data!$AF85)+K142)),0)</f>
        <v>4544048</v>
      </c>
      <c r="M142" s="143">
        <f>ROUND(IF($E$31="Yes",IF(Data!$AG85&gt;0,(Duplicate!$M$23*Data!$AG85)+L142,(Duplicate!$M$24*Data!$AG85)+L142),IF(Data!$AF85&gt;0,(Duplicate!$M$23*Data!$AF85)+L142,(Duplicate!$M$24*Data!$AF85)+L142)),0)</f>
        <v>4357664</v>
      </c>
      <c r="N142" s="143">
        <f>ROUND(IF($E$31="Yes",IF(Data!$AG85&gt;0,(Duplicate!$N$23*Data!$AG85)+M142,(Duplicate!$N$24*Data!$AG85)+M142),IF(Data!$AF85&gt;0,(Duplicate!$N$23*Data!$AF85)+M142,(Duplicate!$N$24*Data!$AF85)+M142)),0)</f>
        <v>4171280</v>
      </c>
      <c r="O142" s="143">
        <f>ROUND(IF($E$31="Yes",IF(Data!$AG85&gt;0,(Duplicate!$O$23*Data!$AG85)+N142,(Duplicate!$O$24*Data!$AG85)+N142),IF(Data!$AF85&gt;0,(Duplicate!$O$23*Data!$AF85)+N142,(Duplicate!$O$24*Data!$AF85)+N142)),0)</f>
        <v>3984896</v>
      </c>
      <c r="P142" s="143">
        <f>ROUND(IF($E$31="Yes",IF(Data!$AG85&gt;0,(Duplicate!$P$23*Data!$AG85)+O142,(Duplicate!$P$24*Data!$AG85)+O142),IF(Data!$AF85&gt;0,(Duplicate!$P$23*Data!$AF85)+O142,(Duplicate!$P$24*Data!$AF85)+O142)),0)</f>
        <v>3798512</v>
      </c>
      <c r="Q142" s="143">
        <f>ROUND(IF($E$31="Yes",IF(Data!$AG85&gt;0,(Duplicate!$Q$23*Data!$AG85)+P142,(Duplicate!$Q$24*Data!$AG85)+P142),IF(Data!$AF85&gt;0,(Duplicate!$Q$23*Data!$AF85)+P142,(Duplicate!$Q$24*Data!$AF85)+P142)),0)</f>
        <v>3612128</v>
      </c>
      <c r="R142" s="143">
        <f>ROUND(IF($E$31="Yes",IF(Data!$AG85&gt;0,(Duplicate!$R$23*Data!$AG85)+Q142,(Duplicate!$R$24*Data!$AG85)+Q142),IF(Data!$AF85&gt;0,(Duplicate!$R$23*Data!$AF85)+Q142,(Duplicate!$R$24*Data!$AF85)+Q142)),0)</f>
        <v>3425744</v>
      </c>
      <c r="S142" s="143">
        <f>ROUND(IF($E$31="Yes",IF(Data!$AG85&gt;0,(Duplicate!$S$23*Data!$AG85)+R142,(Duplicate!$S$24*Data!$AG85)+R142),IF(Data!$AF85&gt;0,(Duplicate!$S$23*Data!$AF85)+R142,(Duplicate!$S$24*Data!$AF85)+R142)),0)</f>
        <v>3239360</v>
      </c>
      <c r="T142" s="143">
        <v>4761063</v>
      </c>
      <c r="U142" s="143">
        <v>4605311</v>
      </c>
      <c r="V142" s="143">
        <v>4449559</v>
      </c>
      <c r="W142" s="143">
        <v>4293807</v>
      </c>
      <c r="X142" s="143">
        <v>4138055</v>
      </c>
      <c r="Y142" s="143">
        <v>3982303</v>
      </c>
      <c r="Z142" s="143">
        <v>3826551</v>
      </c>
      <c r="AA142" s="143">
        <v>3670799</v>
      </c>
      <c r="AB142" s="143">
        <v>3515047</v>
      </c>
      <c r="AC142" s="129">
        <f t="shared" si="43"/>
        <v>-30631</v>
      </c>
      <c r="AD142" s="129">
        <f t="shared" si="44"/>
        <v>-61263</v>
      </c>
      <c r="AE142" s="129">
        <f t="shared" si="45"/>
        <v>-91895</v>
      </c>
      <c r="AF142" s="129">
        <f t="shared" si="46"/>
        <v>-122527</v>
      </c>
      <c r="AG142" s="129">
        <f t="shared" si="47"/>
        <v>-153159</v>
      </c>
      <c r="AH142" s="129">
        <f t="shared" si="48"/>
        <v>-183791</v>
      </c>
      <c r="AI142" s="129">
        <f t="shared" si="49"/>
        <v>-214423</v>
      </c>
      <c r="AJ142" s="129">
        <f t="shared" si="50"/>
        <v>-245055</v>
      </c>
      <c r="AK142" s="129">
        <f t="shared" si="51"/>
        <v>-275687</v>
      </c>
      <c r="AL142" s="127">
        <f t="shared" si="52"/>
        <v>-6.4336472758289576E-3</v>
      </c>
      <c r="AM142" s="127">
        <f t="shared" si="53"/>
        <v>-1.3302684661253061E-2</v>
      </c>
      <c r="AN142" s="127">
        <f t="shared" si="54"/>
        <v>-2.0652608494459823E-2</v>
      </c>
      <c r="AO142" s="127">
        <f t="shared" si="55"/>
        <v>-2.8535749277971756E-2</v>
      </c>
      <c r="AP142" s="127">
        <f t="shared" si="56"/>
        <v>-3.7012316172694626E-2</v>
      </c>
      <c r="AQ142" s="127">
        <f t="shared" si="57"/>
        <v>-4.6151937710415258E-2</v>
      </c>
      <c r="AR142" s="127">
        <f t="shared" si="58"/>
        <v>-5.603557877576959E-2</v>
      </c>
      <c r="AS142" s="127">
        <f t="shared" si="59"/>
        <v>-6.6757945613475478E-2</v>
      </c>
      <c r="AT142" s="127">
        <f t="shared" si="60"/>
        <v>-7.8430530231885953E-2</v>
      </c>
    </row>
    <row r="143" spans="1:46" s="18" customFormat="1" ht="13" x14ac:dyDescent="0.15">
      <c r="A143" s="29" t="s">
        <v>84</v>
      </c>
      <c r="B143" s="30">
        <f>IF(Data!D86=1, MAX(Data!AA86, $E$26) + INDEX(Duplicate!$E$39:$E$43, MATCH( Data!AD86, Duplicate!$B$39:$B$43, 0), 0), MAX(Data!AA86, $E$27) +  INDEX(Duplicate!$E$39:$E$43, MATCH( Data!AD86, Duplicate!$B$39:$B$43, 0), 0))</f>
        <v>0.36441299999999999</v>
      </c>
      <c r="C143" s="128">
        <f>ROUND(Data!R86/13*100, 2)</f>
        <v>0</v>
      </c>
      <c r="D143" s="141">
        <f>ROUND(Data!Q86*C143, 0)</f>
        <v>0</v>
      </c>
      <c r="E143" s="142">
        <f>ROUND($E$22*Data!W86*B143, 0)</f>
        <v>10619178</v>
      </c>
      <c r="F143" s="143">
        <f>IF(E143=0, 0,IF($E$31="Yes", IF(Data!D86=1, MAX(Duplicate!D143+Duplicate!E143, Data!AE86), Duplicate!D143+Duplicate!E143), Duplicate!D143+Duplicate!E143))</f>
        <v>10619178</v>
      </c>
      <c r="G143" s="143">
        <v>10950442</v>
      </c>
      <c r="H143" s="129">
        <f>F143-Data!AL86</f>
        <v>-873338</v>
      </c>
      <c r="I143" s="127">
        <f>((F143)/(Data!AL86)) - 1</f>
        <v>-7.5991888982360312E-2</v>
      </c>
      <c r="J143" s="127">
        <f t="shared" si="42"/>
        <v>-3.0251198992698236E-2</v>
      </c>
      <c r="K143" s="143">
        <f>ROUND(IF($E$31="Yes",IF(Data!AG86&gt;0,(Duplicate!$K$23*Data!AG86)+Data!AI86,(Duplicate!$K$24*Data!AG86)+Data!AI86),IF(Data!AF86&gt;0,(Duplicate!$K$23*Data!AF86)+Data!AI86,(Duplicate!$K$24*Data!AF86)+Data!AI86)),0)</f>
        <v>11573723</v>
      </c>
      <c r="L143" s="143">
        <f>ROUND(IF($E$31="Yes",IF(Data!$AG86&gt;0,(Duplicate!$L$23*Data!$AG86)+K143,(Duplicate!$L$24*Data!$AG86)+K143),IF(Data!$AF86&gt;0,(Duplicate!$L$23*Data!$AF86)+K143,(Duplicate!$L$24*Data!$AF86)+K143)),0)</f>
        <v>11460584</v>
      </c>
      <c r="M143" s="143">
        <f>ROUND(IF($E$31="Yes",IF(Data!$AG86&gt;0,(Duplicate!$M$23*Data!$AG86)+L143,(Duplicate!$M$24*Data!$AG86)+L143),IF(Data!$AF86&gt;0,(Duplicate!$M$23*Data!$AF86)+L143,(Duplicate!$M$24*Data!$AF86)+L143)),0)</f>
        <v>11347445</v>
      </c>
      <c r="N143" s="143">
        <f>ROUND(IF($E$31="Yes",IF(Data!$AG86&gt;0,(Duplicate!$N$23*Data!$AG86)+M143,(Duplicate!$N$24*Data!$AG86)+M143),IF(Data!$AF86&gt;0,(Duplicate!$N$23*Data!$AF86)+M143,(Duplicate!$N$24*Data!$AF86)+M143)),0)</f>
        <v>11234306</v>
      </c>
      <c r="O143" s="143">
        <f>ROUND(IF($E$31="Yes",IF(Data!$AG86&gt;0,(Duplicate!$O$23*Data!$AG86)+N143,(Duplicate!$O$24*Data!$AG86)+N143),IF(Data!$AF86&gt;0,(Duplicate!$O$23*Data!$AF86)+N143,(Duplicate!$O$24*Data!$AF86)+N143)),0)</f>
        <v>11121167</v>
      </c>
      <c r="P143" s="143">
        <f>ROUND(IF($E$31="Yes",IF(Data!$AG86&gt;0,(Duplicate!$P$23*Data!$AG86)+O143,(Duplicate!$P$24*Data!$AG86)+O143),IF(Data!$AF86&gt;0,(Duplicate!$P$23*Data!$AF86)+O143,(Duplicate!$P$24*Data!$AF86)+O143)),0)</f>
        <v>11008028</v>
      </c>
      <c r="Q143" s="143">
        <f>ROUND(IF($E$31="Yes",IF(Data!$AG86&gt;0,(Duplicate!$Q$23*Data!$AG86)+P143,(Duplicate!$Q$24*Data!$AG86)+P143),IF(Data!$AF86&gt;0,(Duplicate!$Q$23*Data!$AF86)+P143,(Duplicate!$Q$24*Data!$AF86)+P143)),0)</f>
        <v>10894889</v>
      </c>
      <c r="R143" s="143">
        <f>ROUND(IF($E$31="Yes",IF(Data!$AG86&gt;0,(Duplicate!$R$23*Data!$AG86)+Q143,(Duplicate!$R$24*Data!$AG86)+Q143),IF(Data!$AF86&gt;0,(Duplicate!$R$23*Data!$AF86)+Q143,(Duplicate!$R$24*Data!$AF86)+Q143)),0)</f>
        <v>10781750</v>
      </c>
      <c r="S143" s="143">
        <f>ROUND(IF($E$31="Yes",IF(Data!$AG86&gt;0,(Duplicate!$S$23*Data!$AG86)+R143,(Duplicate!$S$24*Data!$AG86)+R143),IF(Data!$AF86&gt;0,(Duplicate!$S$23*Data!$AF86)+R143,(Duplicate!$S$24*Data!$AF86)+R143)),0)</f>
        <v>10668611</v>
      </c>
      <c r="T143" s="143">
        <v>11601318</v>
      </c>
      <c r="U143" s="143">
        <v>11515774</v>
      </c>
      <c r="V143" s="143">
        <v>11430230</v>
      </c>
      <c r="W143" s="143">
        <v>11344686</v>
      </c>
      <c r="X143" s="143">
        <v>11259142</v>
      </c>
      <c r="Y143" s="143">
        <v>11173598</v>
      </c>
      <c r="Z143" s="143">
        <v>11088054</v>
      </c>
      <c r="AA143" s="143">
        <v>11002510</v>
      </c>
      <c r="AB143" s="143">
        <v>10916966</v>
      </c>
      <c r="AC143" s="129">
        <f t="shared" si="43"/>
        <v>-27595</v>
      </c>
      <c r="AD143" s="129">
        <f t="shared" si="44"/>
        <v>-55190</v>
      </c>
      <c r="AE143" s="129">
        <f t="shared" si="45"/>
        <v>-82785</v>
      </c>
      <c r="AF143" s="129">
        <f t="shared" si="46"/>
        <v>-110380</v>
      </c>
      <c r="AG143" s="129">
        <f t="shared" si="47"/>
        <v>-137975</v>
      </c>
      <c r="AH143" s="129">
        <f t="shared" si="48"/>
        <v>-165570</v>
      </c>
      <c r="AI143" s="129">
        <f t="shared" si="49"/>
        <v>-193165</v>
      </c>
      <c r="AJ143" s="129">
        <f t="shared" si="50"/>
        <v>-220760</v>
      </c>
      <c r="AK143" s="129">
        <f t="shared" si="51"/>
        <v>-248355</v>
      </c>
      <c r="AL143" s="127">
        <f t="shared" si="52"/>
        <v>-2.378609051144065E-3</v>
      </c>
      <c r="AM143" s="127">
        <f t="shared" si="53"/>
        <v>-4.7925567139472935E-3</v>
      </c>
      <c r="AN143" s="127">
        <f t="shared" si="54"/>
        <v>-7.2426364123906462E-3</v>
      </c>
      <c r="AO143" s="127">
        <f t="shared" si="55"/>
        <v>-9.7296655015396416E-3</v>
      </c>
      <c r="AP143" s="127">
        <f t="shared" si="56"/>
        <v>-1.2254486176655366E-2</v>
      </c>
      <c r="AQ143" s="127">
        <f t="shared" si="57"/>
        <v>-1.4817966424064966E-2</v>
      </c>
      <c r="AR143" s="127">
        <f t="shared" si="58"/>
        <v>-1.7421001016048487E-2</v>
      </c>
      <c r="AS143" s="127">
        <f t="shared" si="59"/>
        <v>-2.0064512552135816E-2</v>
      </c>
      <c r="AT143" s="127">
        <f t="shared" si="60"/>
        <v>-2.2749452549362115E-2</v>
      </c>
    </row>
    <row r="144" spans="1:46" s="18" customFormat="1" ht="13" x14ac:dyDescent="0.15">
      <c r="A144" s="29" t="s">
        <v>85</v>
      </c>
      <c r="B144" s="30">
        <f>IF(Data!D87=1, MAX(Data!AA87, $E$26) + INDEX(Duplicate!$E$39:$E$43, MATCH( Data!AD87, Duplicate!$B$39:$B$43, 0), 0), MAX(Data!AA87, $E$27) +  INDEX(Duplicate!$E$39:$E$43, MATCH( Data!AD87, Duplicate!$B$39:$B$43, 0), 0))</f>
        <v>0.28601199999999999</v>
      </c>
      <c r="C144" s="128">
        <f>ROUND(Data!R87/13*100, 2)</f>
        <v>0</v>
      </c>
      <c r="D144" s="141">
        <f>ROUND(Data!Q87*C144, 0)</f>
        <v>0</v>
      </c>
      <c r="E144" s="142">
        <f>ROUND($E$22*Data!W87*B144, 0)</f>
        <v>2122546</v>
      </c>
      <c r="F144" s="143">
        <f>IF(E144=0, 0,IF($E$31="Yes", IF(Data!D87=1, MAX(Duplicate!D144+Duplicate!E144, Data!AE87), Duplicate!D144+Duplicate!E144), Duplicate!D144+Duplicate!E144))</f>
        <v>2122546</v>
      </c>
      <c r="G144" s="143">
        <v>1999433</v>
      </c>
      <c r="H144" s="129">
        <f>F144-Data!AL87</f>
        <v>-776970</v>
      </c>
      <c r="I144" s="127">
        <f>((F144)/(Data!AL87)) - 1</f>
        <v>-0.26796541215844305</v>
      </c>
      <c r="J144" s="127">
        <f t="shared" si="42"/>
        <v>6.1573956216587344E-2</v>
      </c>
      <c r="K144" s="143">
        <f>ROUND(IF($E$31="Yes",IF(Data!AG87&gt;0,(Duplicate!$K$23*Data!AG87)+Data!AI87,(Duplicate!$K$24*Data!AG87)+Data!AI87),IF(Data!AF87&gt;0,(Duplicate!$K$23*Data!AF87)+Data!AI87,(Duplicate!$K$24*Data!AF87)+Data!AI87)),0)</f>
        <v>3033824</v>
      </c>
      <c r="L144" s="143">
        <f>ROUND(IF($E$31="Yes",IF(Data!$AG87&gt;0,(Duplicate!$L$23*Data!$AG87)+K144,(Duplicate!$L$24*Data!$AG87)+K144),IF(Data!$AF87&gt;0,(Duplicate!$L$23*Data!$AF87)+K144,(Duplicate!$L$24*Data!$AF87)+K144)),0)</f>
        <v>2921588</v>
      </c>
      <c r="M144" s="143">
        <f>ROUND(IF($E$31="Yes",IF(Data!$AG87&gt;0,(Duplicate!$M$23*Data!$AG87)+L144,(Duplicate!$M$24*Data!$AG87)+L144),IF(Data!$AF87&gt;0,(Duplicate!$M$23*Data!$AF87)+L144,(Duplicate!$M$24*Data!$AF87)+L144)),0)</f>
        <v>2809352</v>
      </c>
      <c r="N144" s="143">
        <f>ROUND(IF($E$31="Yes",IF(Data!$AG87&gt;0,(Duplicate!$N$23*Data!$AG87)+M144,(Duplicate!$N$24*Data!$AG87)+M144),IF(Data!$AF87&gt;0,(Duplicate!$N$23*Data!$AF87)+M144,(Duplicate!$N$24*Data!$AF87)+M144)),0)</f>
        <v>2697116</v>
      </c>
      <c r="O144" s="143">
        <f>ROUND(IF($E$31="Yes",IF(Data!$AG87&gt;0,(Duplicate!$O$23*Data!$AG87)+N144,(Duplicate!$O$24*Data!$AG87)+N144),IF(Data!$AF87&gt;0,(Duplicate!$O$23*Data!$AF87)+N144,(Duplicate!$O$24*Data!$AF87)+N144)),0)</f>
        <v>2584880</v>
      </c>
      <c r="P144" s="143">
        <f>ROUND(IF($E$31="Yes",IF(Data!$AG87&gt;0,(Duplicate!$P$23*Data!$AG87)+O144,(Duplicate!$P$24*Data!$AG87)+O144),IF(Data!$AF87&gt;0,(Duplicate!$P$23*Data!$AF87)+O144,(Duplicate!$P$24*Data!$AF87)+O144)),0)</f>
        <v>2472644</v>
      </c>
      <c r="Q144" s="143">
        <f>ROUND(IF($E$31="Yes",IF(Data!$AG87&gt;0,(Duplicate!$Q$23*Data!$AG87)+P144,(Duplicate!$Q$24*Data!$AG87)+P144),IF(Data!$AF87&gt;0,(Duplicate!$Q$23*Data!$AF87)+P144,(Duplicate!$Q$24*Data!$AF87)+P144)),0)</f>
        <v>2360408</v>
      </c>
      <c r="R144" s="143">
        <f>ROUND(IF($E$31="Yes",IF(Data!$AG87&gt;0,(Duplicate!$R$23*Data!$AG87)+Q144,(Duplicate!$R$24*Data!$AG87)+Q144),IF(Data!$AF87&gt;0,(Duplicate!$R$23*Data!$AF87)+Q144,(Duplicate!$R$24*Data!$AF87)+Q144)),0)</f>
        <v>2248172</v>
      </c>
      <c r="S144" s="143">
        <f>ROUND(IF($E$31="Yes",IF(Data!$AG87&gt;0,(Duplicate!$S$23*Data!$AG87)+R144,(Duplicate!$S$24*Data!$AG87)+R144),IF(Data!$AF87&gt;0,(Duplicate!$S$23*Data!$AF87)+R144,(Duplicate!$S$24*Data!$AF87)+R144)),0)</f>
        <v>2135936</v>
      </c>
      <c r="T144" s="143">
        <v>3019504</v>
      </c>
      <c r="U144" s="143">
        <v>2892948</v>
      </c>
      <c r="V144" s="143">
        <v>2766392</v>
      </c>
      <c r="W144" s="143">
        <v>2639836</v>
      </c>
      <c r="X144" s="143">
        <v>2513280</v>
      </c>
      <c r="Y144" s="143">
        <v>2386724</v>
      </c>
      <c r="Z144" s="143">
        <v>2260168</v>
      </c>
      <c r="AA144" s="143">
        <v>2133612</v>
      </c>
      <c r="AB144" s="143">
        <v>2007056</v>
      </c>
      <c r="AC144" s="129">
        <f t="shared" si="43"/>
        <v>14320</v>
      </c>
      <c r="AD144" s="129">
        <f t="shared" si="44"/>
        <v>28640</v>
      </c>
      <c r="AE144" s="129">
        <f t="shared" si="45"/>
        <v>42960</v>
      </c>
      <c r="AF144" s="129">
        <f t="shared" si="46"/>
        <v>57280</v>
      </c>
      <c r="AG144" s="129">
        <f t="shared" si="47"/>
        <v>71600</v>
      </c>
      <c r="AH144" s="129">
        <f t="shared" si="48"/>
        <v>85920</v>
      </c>
      <c r="AI144" s="129">
        <f t="shared" si="49"/>
        <v>100240</v>
      </c>
      <c r="AJ144" s="129">
        <f t="shared" si="50"/>
        <v>114560</v>
      </c>
      <c r="AK144" s="129">
        <f t="shared" si="51"/>
        <v>128880</v>
      </c>
      <c r="AL144" s="127">
        <f t="shared" si="52"/>
        <v>4.7425007550909726E-3</v>
      </c>
      <c r="AM144" s="127">
        <f t="shared" si="53"/>
        <v>9.8999359822575794E-3</v>
      </c>
      <c r="AN144" s="127">
        <f t="shared" si="54"/>
        <v>1.552925254266202E-2</v>
      </c>
      <c r="AO144" s="127">
        <f t="shared" si="55"/>
        <v>2.1698317622761421E-2</v>
      </c>
      <c r="AP144" s="127">
        <f t="shared" si="56"/>
        <v>2.8488668194550648E-2</v>
      </c>
      <c r="AQ144" s="127">
        <f t="shared" si="57"/>
        <v>3.5999135216304934E-2</v>
      </c>
      <c r="AR144" s="127">
        <f t="shared" si="58"/>
        <v>4.4350685435772919E-2</v>
      </c>
      <c r="AS144" s="127">
        <f t="shared" si="59"/>
        <v>5.369298635365749E-2</v>
      </c>
      <c r="AT144" s="127">
        <f t="shared" si="60"/>
        <v>6.4213454931003389E-2</v>
      </c>
    </row>
    <row r="145" spans="1:46" s="18" customFormat="1" ht="13" x14ac:dyDescent="0.15">
      <c r="A145" s="29" t="s">
        <v>86</v>
      </c>
      <c r="B145" s="30">
        <f>IF(Data!D88=1, MAX(Data!AA88, $E$26) + INDEX(Duplicate!$E$39:$E$43, MATCH( Data!AD88, Duplicate!$B$39:$B$43, 0), 0), MAX(Data!AA88, $E$27) +  INDEX(Duplicate!$E$39:$E$43, MATCH( Data!AD88, Duplicate!$B$39:$B$43, 0), 0))</f>
        <v>0.13877999999999999</v>
      </c>
      <c r="C145" s="128">
        <f>ROUND(Data!R88/13*100, 2)</f>
        <v>0</v>
      </c>
      <c r="D145" s="141">
        <f>ROUND(Data!Q88*C145, 0)</f>
        <v>0</v>
      </c>
      <c r="E145" s="142">
        <f>ROUND($E$22*Data!W88*B145, 0)</f>
        <v>1383579</v>
      </c>
      <c r="F145" s="143">
        <f>IF(E145=0, 0,IF($E$31="Yes", IF(Data!D88=1, MAX(Duplicate!D145+Duplicate!E145, Data!AE88), Duplicate!D145+Duplicate!E145), Duplicate!D145+Duplicate!E145))</f>
        <v>1383579</v>
      </c>
      <c r="G145" s="143">
        <v>1087767</v>
      </c>
      <c r="H145" s="129">
        <f>F145-Data!AL88</f>
        <v>90077</v>
      </c>
      <c r="I145" s="127">
        <f>((F145)/(Data!AL88)) - 1</f>
        <v>6.9638083280891827E-2</v>
      </c>
      <c r="J145" s="127">
        <f t="shared" si="42"/>
        <v>0.27194426747639899</v>
      </c>
      <c r="K145" s="143">
        <f>ROUND(IF($E$31="Yes",IF(Data!AG88&gt;0,(Duplicate!$K$23*Data!AG88)+Data!AI88,(Duplicate!$K$24*Data!AG88)+Data!AI88),IF(Data!AF88&gt;0,(Duplicate!$K$23*Data!AF88)+Data!AI88,(Duplicate!$K$24*Data!AF88)+Data!AI88)),0)</f>
        <v>1325568</v>
      </c>
      <c r="L145" s="143">
        <f>ROUND(IF($E$31="Yes",IF(Data!$AG88&gt;0,(Duplicate!$L$23*Data!$AG88)+K145,(Duplicate!$L$24*Data!$AG88)+K145),IF(Data!$AF88&gt;0,(Duplicate!$L$23*Data!$AF88)+K145,(Duplicate!$L$24*Data!$AF88)+K145)),0)</f>
        <v>1320319</v>
      </c>
      <c r="M145" s="143">
        <f>ROUND(IF($E$31="Yes",IF(Data!$AG88&gt;0,(Duplicate!$M$23*Data!$AG88)+L145,(Duplicate!$M$24*Data!$AG88)+L145),IF(Data!$AF88&gt;0,(Duplicate!$M$23*Data!$AF88)+L145,(Duplicate!$M$24*Data!$AF88)+L145)),0)</f>
        <v>1315070</v>
      </c>
      <c r="N145" s="143">
        <f>ROUND(IF($E$31="Yes",IF(Data!$AG88&gt;0,(Duplicate!$N$23*Data!$AG88)+M145,(Duplicate!$N$24*Data!$AG88)+M145),IF(Data!$AF88&gt;0,(Duplicate!$N$23*Data!$AF88)+M145,(Duplicate!$N$24*Data!$AF88)+M145)),0)</f>
        <v>1309821</v>
      </c>
      <c r="O145" s="143">
        <f>ROUND(IF($E$31="Yes",IF(Data!$AG88&gt;0,(Duplicate!$O$23*Data!$AG88)+N145,(Duplicate!$O$24*Data!$AG88)+N145),IF(Data!$AF88&gt;0,(Duplicate!$O$23*Data!$AF88)+N145,(Duplicate!$O$24*Data!$AF88)+N145)),0)</f>
        <v>1304572</v>
      </c>
      <c r="P145" s="143">
        <f>ROUND(IF($E$31="Yes",IF(Data!$AG88&gt;0,(Duplicate!$P$23*Data!$AG88)+O145,(Duplicate!$P$24*Data!$AG88)+O145),IF(Data!$AF88&gt;0,(Duplicate!$P$23*Data!$AF88)+O145,(Duplicate!$P$24*Data!$AF88)+O145)),0)</f>
        <v>1299323</v>
      </c>
      <c r="Q145" s="143">
        <f>ROUND(IF($E$31="Yes",IF(Data!$AG88&gt;0,(Duplicate!$Q$23*Data!$AG88)+P145,(Duplicate!$Q$24*Data!$AG88)+P145),IF(Data!$AF88&gt;0,(Duplicate!$Q$23*Data!$AF88)+P145,(Duplicate!$Q$24*Data!$AF88)+P145)),0)</f>
        <v>1294074</v>
      </c>
      <c r="R145" s="143">
        <f>ROUND(IF($E$31="Yes",IF(Data!$AG88&gt;0,(Duplicate!$R$23*Data!$AG88)+Q145,(Duplicate!$R$24*Data!$AG88)+Q145),IF(Data!$AF88&gt;0,(Duplicate!$R$23*Data!$AF88)+Q145,(Duplicate!$R$24*Data!$AF88)+Q145)),0)</f>
        <v>1288825</v>
      </c>
      <c r="S145" s="143">
        <f>ROUND(IF($E$31="Yes",IF(Data!$AG88&gt;0,(Duplicate!$S$23*Data!$AG88)+R145,(Duplicate!$S$24*Data!$AG88)+R145),IF(Data!$AF88&gt;0,(Duplicate!$S$23*Data!$AF88)+R145,(Duplicate!$S$24*Data!$AF88)+R145)),0)</f>
        <v>1283576</v>
      </c>
      <c r="T145" s="143">
        <v>1300927</v>
      </c>
      <c r="U145" s="143">
        <v>1271036</v>
      </c>
      <c r="V145" s="143">
        <v>1241145</v>
      </c>
      <c r="W145" s="143">
        <v>1211254</v>
      </c>
      <c r="X145" s="143">
        <v>1181363</v>
      </c>
      <c r="Y145" s="143">
        <v>1151472</v>
      </c>
      <c r="Z145" s="143">
        <v>1121581</v>
      </c>
      <c r="AA145" s="143">
        <v>1091690</v>
      </c>
      <c r="AB145" s="143">
        <v>1061799</v>
      </c>
      <c r="AC145" s="129">
        <f t="shared" si="43"/>
        <v>24641</v>
      </c>
      <c r="AD145" s="129">
        <f t="shared" si="44"/>
        <v>49283</v>
      </c>
      <c r="AE145" s="129">
        <f t="shared" si="45"/>
        <v>73925</v>
      </c>
      <c r="AF145" s="129">
        <f t="shared" si="46"/>
        <v>98567</v>
      </c>
      <c r="AG145" s="129">
        <f t="shared" si="47"/>
        <v>123209</v>
      </c>
      <c r="AH145" s="129">
        <f t="shared" si="48"/>
        <v>147851</v>
      </c>
      <c r="AI145" s="129">
        <f t="shared" si="49"/>
        <v>172493</v>
      </c>
      <c r="AJ145" s="129">
        <f t="shared" si="50"/>
        <v>197135</v>
      </c>
      <c r="AK145" s="129">
        <f t="shared" si="51"/>
        <v>221777</v>
      </c>
      <c r="AL145" s="127">
        <f t="shared" si="52"/>
        <v>1.8941108916949112E-2</v>
      </c>
      <c r="AM145" s="127">
        <f t="shared" si="53"/>
        <v>3.8773882093032785E-2</v>
      </c>
      <c r="AN145" s="127">
        <f t="shared" si="54"/>
        <v>5.9561936760007983E-2</v>
      </c>
      <c r="AO145" s="127">
        <f t="shared" si="55"/>
        <v>8.137599545594898E-2</v>
      </c>
      <c r="AP145" s="127">
        <f t="shared" si="56"/>
        <v>0.10429393844229073</v>
      </c>
      <c r="AQ145" s="127">
        <f t="shared" si="57"/>
        <v>0.12840173273861621</v>
      </c>
      <c r="AR145" s="127">
        <f t="shared" si="58"/>
        <v>0.153794509714412</v>
      </c>
      <c r="AS145" s="127">
        <f t="shared" si="59"/>
        <v>0.18057781971072373</v>
      </c>
      <c r="AT145" s="127">
        <f t="shared" si="60"/>
        <v>0.20886909857703762</v>
      </c>
    </row>
    <row r="146" spans="1:46" s="18" customFormat="1" ht="13" x14ac:dyDescent="0.15">
      <c r="A146" s="29" t="s">
        <v>87</v>
      </c>
      <c r="B146" s="30">
        <f>IF(Data!D89=1, MAX(Data!AA89, $E$26) + INDEX(Duplicate!$E$39:$E$43, MATCH( Data!AD89, Duplicate!$B$39:$B$43, 0), 0), MAX(Data!AA89, $E$27) +  INDEX(Duplicate!$E$39:$E$43, MATCH( Data!AD89, Duplicate!$B$39:$B$43, 0), 0))</f>
        <v>0.01</v>
      </c>
      <c r="C146" s="128">
        <f>ROUND(Data!R89/13*100, 2)</f>
        <v>100</v>
      </c>
      <c r="D146" s="141">
        <f>ROUND(Data!Q89*C146, 0)</f>
        <v>23800</v>
      </c>
      <c r="E146" s="142">
        <f>ROUND($E$22*Data!W89*B146, 0)</f>
        <v>29341</v>
      </c>
      <c r="F146" s="143">
        <f>IF(E146=0, 0,IF($E$31="Yes", IF(Data!D89=1, MAX(Duplicate!D146+Duplicate!E146, Data!AE89), Duplicate!D146+Duplicate!E146), Duplicate!D146+Duplicate!E146))</f>
        <v>53141</v>
      </c>
      <c r="G146" s="143">
        <v>54850</v>
      </c>
      <c r="H146" s="129">
        <f>F146-Data!AL89</f>
        <v>-7075</v>
      </c>
      <c r="I146" s="127">
        <f>((F146)/(Data!AL89)) - 1</f>
        <v>-0.11749368938488114</v>
      </c>
      <c r="J146" s="127">
        <f t="shared" si="42"/>
        <v>-3.1157702825888811E-2</v>
      </c>
      <c r="K146" s="143">
        <f>ROUND(IF($E$31="Yes",IF(Data!AG89&gt;0,(Duplicate!$K$23*Data!AG89)+Data!AI89,(Duplicate!$K$24*Data!AG89)+Data!AI89),IF(Data!AF89&gt;0,(Duplicate!$K$23*Data!AF89)+Data!AI89,(Duplicate!$K$24*Data!AF89)+Data!AI89)),0)</f>
        <v>90984</v>
      </c>
      <c r="L146" s="143">
        <f>ROUND(IF($E$31="Yes",IF(Data!$AG89&gt;0,(Duplicate!$L$23*Data!$AG89)+K146,(Duplicate!$L$24*Data!$AG89)+K146),IF(Data!$AF89&gt;0,(Duplicate!$L$23*Data!$AF89)+K146,(Duplicate!$L$24*Data!$AF89)+K146)),0)</f>
        <v>120371</v>
      </c>
      <c r="M146" s="143">
        <f>ROUND(IF($E$31="Yes",IF(Data!$AG89&gt;0,(Duplicate!$M$23*Data!$AG89)+L146,(Duplicate!$M$24*Data!$AG89)+L146),IF(Data!$AF89&gt;0,(Duplicate!$M$23*Data!$AF89)+L146,(Duplicate!$M$24*Data!$AF89)+L146)),0)</f>
        <v>149758</v>
      </c>
      <c r="N146" s="143">
        <f>ROUND(IF($E$31="Yes",IF(Data!$AG89&gt;0,(Duplicate!$N$23*Data!$AG89)+M146,(Duplicate!$N$24*Data!$AG89)+M146),IF(Data!$AF89&gt;0,(Duplicate!$N$23*Data!$AF89)+M146,(Duplicate!$N$24*Data!$AF89)+M146)),0)</f>
        <v>179145</v>
      </c>
      <c r="O146" s="143">
        <f>ROUND(IF($E$31="Yes",IF(Data!$AG89&gt;0,(Duplicate!$O$23*Data!$AG89)+N146,(Duplicate!$O$24*Data!$AG89)+N146),IF(Data!$AF89&gt;0,(Duplicate!$O$23*Data!$AF89)+N146,(Duplicate!$O$24*Data!$AF89)+N146)),0)</f>
        <v>208532</v>
      </c>
      <c r="P146" s="143">
        <f>ROUND(IF($E$31="Yes",IF(Data!$AG89&gt;0,(Duplicate!$P$23*Data!$AG89)+O146,(Duplicate!$P$24*Data!$AG89)+O146),IF(Data!$AF89&gt;0,(Duplicate!$P$23*Data!$AF89)+O146,(Duplicate!$P$24*Data!$AF89)+O146)),0)</f>
        <v>237919</v>
      </c>
      <c r="Q146" s="143">
        <f>ROUND(IF($E$31="Yes",IF(Data!$AG89&gt;0,(Duplicate!$Q$23*Data!$AG89)+P146,(Duplicate!$Q$24*Data!$AG89)+P146),IF(Data!$AF89&gt;0,(Duplicate!$Q$23*Data!$AF89)+P146,(Duplicate!$Q$24*Data!$AF89)+P146)),0)</f>
        <v>267306</v>
      </c>
      <c r="R146" s="143">
        <f>ROUND(IF($E$31="Yes",IF(Data!$AG89&gt;0,(Duplicate!$R$23*Data!$AG89)+Q146,(Duplicate!$R$24*Data!$AG89)+Q146),IF(Data!$AF89&gt;0,(Duplicate!$R$23*Data!$AF89)+Q146,(Duplicate!$R$24*Data!$AF89)+Q146)),0)</f>
        <v>296693</v>
      </c>
      <c r="S146" s="143">
        <f>ROUND(IF($E$31="Yes",IF(Data!$AG89&gt;0,(Duplicate!$S$23*Data!$AG89)+R146,(Duplicate!$S$24*Data!$AG89)+R146),IF(Data!$AF89&gt;0,(Duplicate!$S$23*Data!$AF89)+R146,(Duplicate!$S$24*Data!$AF89)+R146)),0)</f>
        <v>326080</v>
      </c>
      <c r="T146" s="143">
        <v>60912</v>
      </c>
      <c r="U146" s="143">
        <v>60227</v>
      </c>
      <c r="V146" s="143">
        <v>59542</v>
      </c>
      <c r="W146" s="143">
        <v>58857</v>
      </c>
      <c r="X146" s="143">
        <v>58172</v>
      </c>
      <c r="Y146" s="143">
        <v>57487</v>
      </c>
      <c r="Z146" s="143">
        <v>56802</v>
      </c>
      <c r="AA146" s="143">
        <v>56117</v>
      </c>
      <c r="AB146" s="143">
        <v>55432</v>
      </c>
      <c r="AC146" s="129">
        <f t="shared" si="43"/>
        <v>30072</v>
      </c>
      <c r="AD146" s="129">
        <f t="shared" si="44"/>
        <v>60144</v>
      </c>
      <c r="AE146" s="129">
        <f t="shared" si="45"/>
        <v>90216</v>
      </c>
      <c r="AF146" s="129">
        <f t="shared" si="46"/>
        <v>120288</v>
      </c>
      <c r="AG146" s="129">
        <f t="shared" si="47"/>
        <v>150360</v>
      </c>
      <c r="AH146" s="129">
        <f t="shared" si="48"/>
        <v>180432</v>
      </c>
      <c r="AI146" s="129">
        <f t="shared" si="49"/>
        <v>210504</v>
      </c>
      <c r="AJ146" s="129">
        <f t="shared" si="50"/>
        <v>240576</v>
      </c>
      <c r="AK146" s="129">
        <f t="shared" si="51"/>
        <v>270648</v>
      </c>
      <c r="AL146" s="127">
        <f t="shared" si="52"/>
        <v>0.49369582348305752</v>
      </c>
      <c r="AM146" s="127">
        <f t="shared" si="53"/>
        <v>0.99862188055191203</v>
      </c>
      <c r="AN146" s="127">
        <f t="shared" si="54"/>
        <v>1.5151657653421116</v>
      </c>
      <c r="AO146" s="127">
        <f t="shared" si="55"/>
        <v>2.0437331158570773</v>
      </c>
      <c r="AP146" s="127">
        <f t="shared" si="56"/>
        <v>2.5847486763391321</v>
      </c>
      <c r="AQ146" s="127">
        <f t="shared" si="57"/>
        <v>3.1386574355941343</v>
      </c>
      <c r="AR146" s="127">
        <f t="shared" si="58"/>
        <v>3.7059258476814199</v>
      </c>
      <c r="AS146" s="127">
        <f t="shared" si="59"/>
        <v>4.2870431420068789</v>
      </c>
      <c r="AT146" s="127">
        <f t="shared" si="60"/>
        <v>4.8825227305527497</v>
      </c>
    </row>
    <row r="147" spans="1:46" s="18" customFormat="1" ht="13" x14ac:dyDescent="0.15">
      <c r="A147" s="29" t="s">
        <v>88</v>
      </c>
      <c r="B147" s="30">
        <f>IF(Data!D90=1, MAX(Data!AA90, $E$26) + INDEX(Duplicate!$E$39:$E$43, MATCH( Data!AD90, Duplicate!$B$39:$B$43, 0), 0), MAX(Data!AA90, $E$27) +  INDEX(Duplicate!$E$39:$E$43, MATCH( Data!AD90, Duplicate!$B$39:$B$43, 0), 0))</f>
        <v>0.01</v>
      </c>
      <c r="C147" s="128">
        <f>ROUND(Data!R90/13*100, 2)</f>
        <v>0</v>
      </c>
      <c r="D147" s="141">
        <f>ROUND(Data!Q90*C147, 0)</f>
        <v>0</v>
      </c>
      <c r="E147" s="142">
        <f>ROUND($E$22*Data!W90*B147, 0)</f>
        <v>289705</v>
      </c>
      <c r="F147" s="143">
        <f>IF(E147=0, 0,IF($E$31="Yes", IF(Data!D90=1, MAX(Duplicate!D147+Duplicate!E147, Data!AE90), Duplicate!D147+Duplicate!E147), Duplicate!D147+Duplicate!E147))</f>
        <v>289705</v>
      </c>
      <c r="G147" s="143">
        <v>319798</v>
      </c>
      <c r="H147" s="129">
        <f>F147-Data!AL90</f>
        <v>-105761</v>
      </c>
      <c r="I147" s="127">
        <f>((F147)/(Data!AL90)) - 1</f>
        <v>-0.2674338628352374</v>
      </c>
      <c r="J147" s="127">
        <f t="shared" si="42"/>
        <v>-9.4100025641186025E-2</v>
      </c>
      <c r="K147" s="143">
        <f>ROUND(IF($E$31="Yes",IF(Data!AG90&gt;0,(Duplicate!$K$23*Data!AG90)+Data!AI90,(Duplicate!$K$24*Data!AG90)+Data!AI90),IF(Data!AF90&gt;0,(Duplicate!$K$23*Data!AF90)+Data!AI90,(Duplicate!$K$24*Data!AF90)+Data!AI90)),0)</f>
        <v>404608</v>
      </c>
      <c r="L147" s="143">
        <f>ROUND(IF($E$31="Yes",IF(Data!$AG90&gt;0,(Duplicate!$L$23*Data!$AG90)+K147,(Duplicate!$L$24*Data!$AG90)+K147),IF(Data!$AF90&gt;0,(Duplicate!$L$23*Data!$AF90)+K147,(Duplicate!$L$24*Data!$AF90)+K147)),0)</f>
        <v>391547</v>
      </c>
      <c r="M147" s="143">
        <f>ROUND(IF($E$31="Yes",IF(Data!$AG90&gt;0,(Duplicate!$M$23*Data!$AG90)+L147,(Duplicate!$M$24*Data!$AG90)+L147),IF(Data!$AF90&gt;0,(Duplicate!$M$23*Data!$AF90)+L147,(Duplicate!$M$24*Data!$AF90)+L147)),0)</f>
        <v>378486</v>
      </c>
      <c r="N147" s="143">
        <f>ROUND(IF($E$31="Yes",IF(Data!$AG90&gt;0,(Duplicate!$N$23*Data!$AG90)+M147,(Duplicate!$N$24*Data!$AG90)+M147),IF(Data!$AF90&gt;0,(Duplicate!$N$23*Data!$AF90)+M147,(Duplicate!$N$24*Data!$AF90)+M147)),0)</f>
        <v>365425</v>
      </c>
      <c r="O147" s="143">
        <f>ROUND(IF($E$31="Yes",IF(Data!$AG90&gt;0,(Duplicate!$O$23*Data!$AG90)+N147,(Duplicate!$O$24*Data!$AG90)+N147),IF(Data!$AF90&gt;0,(Duplicate!$O$23*Data!$AF90)+N147,(Duplicate!$O$24*Data!$AF90)+N147)),0)</f>
        <v>352364</v>
      </c>
      <c r="P147" s="143">
        <f>ROUND(IF($E$31="Yes",IF(Data!$AG90&gt;0,(Duplicate!$P$23*Data!$AG90)+O147,(Duplicate!$P$24*Data!$AG90)+O147),IF(Data!$AF90&gt;0,(Duplicate!$P$23*Data!$AF90)+O147,(Duplicate!$P$24*Data!$AF90)+O147)),0)</f>
        <v>339303</v>
      </c>
      <c r="Q147" s="143">
        <f>ROUND(IF($E$31="Yes",IF(Data!$AG90&gt;0,(Duplicate!$Q$23*Data!$AG90)+P147,(Duplicate!$Q$24*Data!$AG90)+P147),IF(Data!$AF90&gt;0,(Duplicate!$Q$23*Data!$AF90)+P147,(Duplicate!$Q$24*Data!$AF90)+P147)),0)</f>
        <v>326242</v>
      </c>
      <c r="R147" s="143">
        <f>ROUND(IF($E$31="Yes",IF(Data!$AG90&gt;0,(Duplicate!$R$23*Data!$AG90)+Q147,(Duplicate!$R$24*Data!$AG90)+Q147),IF(Data!$AF90&gt;0,(Duplicate!$R$23*Data!$AF90)+Q147,(Duplicate!$R$24*Data!$AF90)+Q147)),0)</f>
        <v>313181</v>
      </c>
      <c r="S147" s="143">
        <f>ROUND(IF($E$31="Yes",IF(Data!$AG90&gt;0,(Duplicate!$S$23*Data!$AG90)+R147,(Duplicate!$S$24*Data!$AG90)+R147),IF(Data!$AF90&gt;0,(Duplicate!$S$23*Data!$AF90)+R147,(Duplicate!$S$24*Data!$AF90)+R147)),0)</f>
        <v>300120</v>
      </c>
      <c r="T147" s="143">
        <v>407115</v>
      </c>
      <c r="U147" s="143">
        <v>396561</v>
      </c>
      <c r="V147" s="143">
        <v>386007</v>
      </c>
      <c r="W147" s="143">
        <v>375453</v>
      </c>
      <c r="X147" s="143">
        <v>364899</v>
      </c>
      <c r="Y147" s="143">
        <v>354345</v>
      </c>
      <c r="Z147" s="143">
        <v>343791</v>
      </c>
      <c r="AA147" s="143">
        <v>333237</v>
      </c>
      <c r="AB147" s="143">
        <v>322683</v>
      </c>
      <c r="AC147" s="129">
        <f t="shared" si="43"/>
        <v>-2507</v>
      </c>
      <c r="AD147" s="129">
        <f t="shared" si="44"/>
        <v>-5014</v>
      </c>
      <c r="AE147" s="129">
        <f t="shared" si="45"/>
        <v>-7521</v>
      </c>
      <c r="AF147" s="129">
        <f t="shared" si="46"/>
        <v>-10028</v>
      </c>
      <c r="AG147" s="129">
        <f t="shared" si="47"/>
        <v>-12535</v>
      </c>
      <c r="AH147" s="129">
        <f t="shared" si="48"/>
        <v>-15042</v>
      </c>
      <c r="AI147" s="129">
        <f t="shared" si="49"/>
        <v>-17549</v>
      </c>
      <c r="AJ147" s="129">
        <f t="shared" si="50"/>
        <v>-20056</v>
      </c>
      <c r="AK147" s="129">
        <f t="shared" si="51"/>
        <v>-22563</v>
      </c>
      <c r="AL147" s="127">
        <f t="shared" si="52"/>
        <v>-6.1579651941098268E-3</v>
      </c>
      <c r="AM147" s="127">
        <f t="shared" si="53"/>
        <v>-1.2643704247265908E-2</v>
      </c>
      <c r="AN147" s="127">
        <f t="shared" si="54"/>
        <v>-1.9484102619900634E-2</v>
      </c>
      <c r="AO147" s="127">
        <f t="shared" si="55"/>
        <v>-2.670906877824919E-2</v>
      </c>
      <c r="AP147" s="127">
        <f t="shared" si="56"/>
        <v>-3.435197136741952E-2</v>
      </c>
      <c r="AQ147" s="127">
        <f t="shared" si="57"/>
        <v>-4.2450154510434768E-2</v>
      </c>
      <c r="AR147" s="127">
        <f t="shared" si="58"/>
        <v>-5.1045548021908638E-2</v>
      </c>
      <c r="AS147" s="127">
        <f t="shared" si="59"/>
        <v>-6.0185393578744306E-2</v>
      </c>
      <c r="AT147" s="127">
        <f t="shared" si="60"/>
        <v>-6.9923113396119452E-2</v>
      </c>
    </row>
    <row r="148" spans="1:46" s="18" customFormat="1" ht="13" x14ac:dyDescent="0.15">
      <c r="A148" s="29" t="s">
        <v>89</v>
      </c>
      <c r="B148" s="30">
        <f>IF(Data!D91=1, MAX(Data!AA91, $E$26) + INDEX(Duplicate!$E$39:$E$43, MATCH( Data!AD91, Duplicate!$B$39:$B$43, 0), 0), MAX(Data!AA91, $E$27) +  INDEX(Duplicate!$E$39:$E$43, MATCH( Data!AD91, Duplicate!$B$39:$B$43, 0), 0))</f>
        <v>0.47807500000000003</v>
      </c>
      <c r="C148" s="128">
        <f>ROUND(Data!R91/13*100, 2)</f>
        <v>0</v>
      </c>
      <c r="D148" s="141">
        <f>ROUND(Data!Q91*C148, 0)</f>
        <v>0</v>
      </c>
      <c r="E148" s="142">
        <f>ROUND($E$22*Data!W91*B148, 0)</f>
        <v>48523062</v>
      </c>
      <c r="F148" s="143">
        <f>IF(E148=0, 0,IF($E$31="Yes", IF(Data!D91=1, MAX(Duplicate!D148+Duplicate!E148, Data!AE91), Duplicate!D148+Duplicate!E148), Duplicate!D148+Duplicate!E148))</f>
        <v>48523062</v>
      </c>
      <c r="G148" s="143">
        <v>46556253</v>
      </c>
      <c r="H148" s="129">
        <f>F148-Data!AL91</f>
        <v>10271595</v>
      </c>
      <c r="I148" s="127">
        <f>((F148)/(Data!AL91)) - 1</f>
        <v>0.26852813252887797</v>
      </c>
      <c r="J148" s="127">
        <f t="shared" si="42"/>
        <v>4.2245861152099051E-2</v>
      </c>
      <c r="K148" s="143">
        <f>ROUND(IF($E$31="Yes",IF(Data!AG91&gt;0,(Duplicate!$K$23*Data!AG91)+Data!AI91,(Duplicate!$K$24*Data!AG91)+Data!AI91),IF(Data!AF91&gt;0,(Duplicate!$K$23*Data!AF91)+Data!AI91,(Duplicate!$K$24*Data!AF91)+Data!AI91)),0)</f>
        <v>36438205</v>
      </c>
      <c r="L148" s="143">
        <f>ROUND(IF($E$31="Yes",IF(Data!$AG91&gt;0,(Duplicate!$L$23*Data!$AG91)+K148,(Duplicate!$L$24*Data!$AG91)+K148),IF(Data!$AF91&gt;0,(Duplicate!$L$23*Data!$AF91)+K148,(Duplicate!$L$24*Data!$AF91)+K148)),0)</f>
        <v>37939414</v>
      </c>
      <c r="M148" s="143">
        <f>ROUND(IF($E$31="Yes",IF(Data!$AG91&gt;0,(Duplicate!$M$23*Data!$AG91)+L148,(Duplicate!$M$24*Data!$AG91)+L148),IF(Data!$AF91&gt;0,(Duplicate!$M$23*Data!$AF91)+L148,(Duplicate!$M$24*Data!$AF91)+L148)),0)</f>
        <v>39440623</v>
      </c>
      <c r="N148" s="143">
        <f>ROUND(IF($E$31="Yes",IF(Data!$AG91&gt;0,(Duplicate!$N$23*Data!$AG91)+M148,(Duplicate!$N$24*Data!$AG91)+M148),IF(Data!$AF91&gt;0,(Duplicate!$N$23*Data!$AF91)+M148,(Duplicate!$N$24*Data!$AF91)+M148)),0)</f>
        <v>40941832</v>
      </c>
      <c r="O148" s="143">
        <f>ROUND(IF($E$31="Yes",IF(Data!$AG91&gt;0,(Duplicate!$O$23*Data!$AG91)+N148,(Duplicate!$O$24*Data!$AG91)+N148),IF(Data!$AF91&gt;0,(Duplicate!$O$23*Data!$AF91)+N148,(Duplicate!$O$24*Data!$AF91)+N148)),0)</f>
        <v>42443041</v>
      </c>
      <c r="P148" s="143">
        <f>ROUND(IF($E$31="Yes",IF(Data!$AG91&gt;0,(Duplicate!$P$23*Data!$AG91)+O148,(Duplicate!$P$24*Data!$AG91)+O148),IF(Data!$AF91&gt;0,(Duplicate!$P$23*Data!$AF91)+O148,(Duplicate!$P$24*Data!$AF91)+O148)),0)</f>
        <v>43944250</v>
      </c>
      <c r="Q148" s="143">
        <f>ROUND(IF($E$31="Yes",IF(Data!$AG91&gt;0,(Duplicate!$Q$23*Data!$AG91)+P148,(Duplicate!$Q$24*Data!$AG91)+P148),IF(Data!$AF91&gt;0,(Duplicate!$Q$23*Data!$AF91)+P148,(Duplicate!$Q$24*Data!$AF91)+P148)),0)</f>
        <v>45445459</v>
      </c>
      <c r="R148" s="143">
        <f>ROUND(IF($E$31="Yes",IF(Data!$AG91&gt;0,(Duplicate!$R$23*Data!$AG91)+Q148,(Duplicate!$R$24*Data!$AG91)+Q148),IF(Data!$AF91&gt;0,(Duplicate!$R$23*Data!$AF91)+Q148,(Duplicate!$R$24*Data!$AF91)+Q148)),0)</f>
        <v>46946668</v>
      </c>
      <c r="S148" s="143">
        <f>ROUND(IF($E$31="Yes",IF(Data!$AG91&gt;0,(Duplicate!$S$23*Data!$AG91)+R148,(Duplicate!$S$24*Data!$AG91)+R148),IF(Data!$AF91&gt;0,(Duplicate!$S$23*Data!$AF91)+R148,(Duplicate!$S$24*Data!$AF91)+R148)),0)</f>
        <v>48447877</v>
      </c>
      <c r="T148" s="143">
        <v>36228543</v>
      </c>
      <c r="U148" s="143">
        <v>37520090</v>
      </c>
      <c r="V148" s="143">
        <v>38811637</v>
      </c>
      <c r="W148" s="143">
        <v>40103184</v>
      </c>
      <c r="X148" s="143">
        <v>41394731</v>
      </c>
      <c r="Y148" s="143">
        <v>42686278</v>
      </c>
      <c r="Z148" s="143">
        <v>43977825</v>
      </c>
      <c r="AA148" s="143">
        <v>45269372</v>
      </c>
      <c r="AB148" s="143">
        <v>46560919</v>
      </c>
      <c r="AC148" s="129">
        <f t="shared" si="43"/>
        <v>209662</v>
      </c>
      <c r="AD148" s="129">
        <f t="shared" si="44"/>
        <v>419324</v>
      </c>
      <c r="AE148" s="129">
        <f t="shared" si="45"/>
        <v>628986</v>
      </c>
      <c r="AF148" s="129">
        <f t="shared" si="46"/>
        <v>838648</v>
      </c>
      <c r="AG148" s="129">
        <f t="shared" si="47"/>
        <v>1048310</v>
      </c>
      <c r="AH148" s="129">
        <f t="shared" si="48"/>
        <v>1257972</v>
      </c>
      <c r="AI148" s="129">
        <f t="shared" si="49"/>
        <v>1467634</v>
      </c>
      <c r="AJ148" s="129">
        <f t="shared" si="50"/>
        <v>1677296</v>
      </c>
      <c r="AK148" s="129">
        <f t="shared" si="51"/>
        <v>1886958</v>
      </c>
      <c r="AL148" s="127">
        <f t="shared" si="52"/>
        <v>5.7872048566789402E-3</v>
      </c>
      <c r="AM148" s="127">
        <f t="shared" si="53"/>
        <v>1.1175985985108161E-2</v>
      </c>
      <c r="AN148" s="127">
        <f t="shared" si="54"/>
        <v>1.620611879885403E-2</v>
      </c>
      <c r="AO148" s="127">
        <f t="shared" si="55"/>
        <v>2.0912254747653014E-2</v>
      </c>
      <c r="AP148" s="127">
        <f t="shared" si="56"/>
        <v>2.5324720675198975E-2</v>
      </c>
      <c r="AQ148" s="127">
        <f t="shared" si="57"/>
        <v>2.9470173061235228E-2</v>
      </c>
      <c r="AR148" s="127">
        <f t="shared" si="58"/>
        <v>3.3372136980398537E-2</v>
      </c>
      <c r="AS148" s="127">
        <f t="shared" si="59"/>
        <v>3.7051452801244888E-2</v>
      </c>
      <c r="AT148" s="127">
        <f t="shared" si="60"/>
        <v>4.0526648539733534E-2</v>
      </c>
    </row>
    <row r="149" spans="1:46" s="18" customFormat="1" ht="13" x14ac:dyDescent="0.15">
      <c r="A149" s="29" t="s">
        <v>90</v>
      </c>
      <c r="B149" s="30">
        <f>IF(Data!D92=1, MAX(Data!AA92, $E$26) + INDEX(Duplicate!$E$39:$E$43, MATCH( Data!AD92, Duplicate!$B$39:$B$43, 0), 0), MAX(Data!AA92, $E$27) +  INDEX(Duplicate!$E$39:$E$43, MATCH( Data!AD92, Duplicate!$B$39:$B$43, 0), 0))</f>
        <v>0.444519</v>
      </c>
      <c r="C149" s="128">
        <f>ROUND(Data!R92/13*100, 2)</f>
        <v>30.77</v>
      </c>
      <c r="D149" s="141">
        <f>ROUND(Data!Q92*C149, 0)</f>
        <v>16154</v>
      </c>
      <c r="E149" s="142">
        <f>ROUND($E$22*Data!W92*B149, 0)</f>
        <v>8869950</v>
      </c>
      <c r="F149" s="143">
        <f>IF(E149=0, 0,IF($E$31="Yes", IF(Data!D92=1, MAX(Duplicate!D149+Duplicate!E149, Data!AE92), Duplicate!D149+Duplicate!E149), Duplicate!D149+Duplicate!E149))</f>
        <v>8886104</v>
      </c>
      <c r="G149" s="143">
        <v>8576749</v>
      </c>
      <c r="H149" s="129">
        <f>F149-Data!AL92</f>
        <v>-573618</v>
      </c>
      <c r="I149" s="127">
        <f>((F149)/(Data!AL92)) - 1</f>
        <v>-6.0637934180306829E-2</v>
      </c>
      <c r="J149" s="127">
        <f t="shared" si="42"/>
        <v>3.6069028019824367E-2</v>
      </c>
      <c r="K149" s="143">
        <f>ROUND(IF($E$31="Yes",IF(Data!AG92&gt;0,(Duplicate!$K$23*Data!AG92)+Data!AI92,(Duplicate!$K$24*Data!AG92)+Data!AI92),IF(Data!AF92&gt;0,(Duplicate!$K$23*Data!AF92)+Data!AI92,(Duplicate!$K$24*Data!AF92)+Data!AI92)),0)</f>
        <v>9603018</v>
      </c>
      <c r="L149" s="143">
        <f>ROUND(IF($E$31="Yes",IF(Data!$AG92&gt;0,(Duplicate!$L$23*Data!$AG92)+K149,(Duplicate!$L$24*Data!$AG92)+K149),IF(Data!$AF92&gt;0,(Duplicate!$L$23*Data!$AF92)+K149,(Duplicate!$L$24*Data!$AF92)+K149)),0)</f>
        <v>9530759</v>
      </c>
      <c r="M149" s="143">
        <f>ROUND(IF($E$31="Yes",IF(Data!$AG92&gt;0,(Duplicate!$M$23*Data!$AG92)+L149,(Duplicate!$M$24*Data!$AG92)+L149),IF(Data!$AF92&gt;0,(Duplicate!$M$23*Data!$AF92)+L149,(Duplicate!$M$24*Data!$AF92)+L149)),0)</f>
        <v>9458500</v>
      </c>
      <c r="N149" s="143">
        <f>ROUND(IF($E$31="Yes",IF(Data!$AG92&gt;0,(Duplicate!$N$23*Data!$AG92)+M149,(Duplicate!$N$24*Data!$AG92)+M149),IF(Data!$AF92&gt;0,(Duplicate!$N$23*Data!$AF92)+M149,(Duplicate!$N$24*Data!$AF92)+M149)),0)</f>
        <v>9386241</v>
      </c>
      <c r="O149" s="143">
        <f>ROUND(IF($E$31="Yes",IF(Data!$AG92&gt;0,(Duplicate!$O$23*Data!$AG92)+N149,(Duplicate!$O$24*Data!$AG92)+N149),IF(Data!$AF92&gt;0,(Duplicate!$O$23*Data!$AF92)+N149,(Duplicate!$O$24*Data!$AF92)+N149)),0)</f>
        <v>9313982</v>
      </c>
      <c r="P149" s="143">
        <f>ROUND(IF($E$31="Yes",IF(Data!$AG92&gt;0,(Duplicate!$P$23*Data!$AG92)+O149,(Duplicate!$P$24*Data!$AG92)+O149),IF(Data!$AF92&gt;0,(Duplicate!$P$23*Data!$AF92)+O149,(Duplicate!$P$24*Data!$AF92)+O149)),0)</f>
        <v>9241723</v>
      </c>
      <c r="Q149" s="143">
        <f>ROUND(IF($E$31="Yes",IF(Data!$AG92&gt;0,(Duplicate!$Q$23*Data!$AG92)+P149,(Duplicate!$Q$24*Data!$AG92)+P149),IF(Data!$AF92&gt;0,(Duplicate!$Q$23*Data!$AF92)+P149,(Duplicate!$Q$24*Data!$AF92)+P149)),0)</f>
        <v>9169464</v>
      </c>
      <c r="R149" s="143">
        <f>ROUND(IF($E$31="Yes",IF(Data!$AG92&gt;0,(Duplicate!$R$23*Data!$AG92)+Q149,(Duplicate!$R$24*Data!$AG92)+Q149),IF(Data!$AF92&gt;0,(Duplicate!$R$23*Data!$AF92)+Q149,(Duplicate!$R$24*Data!$AF92)+Q149)),0)</f>
        <v>9097205</v>
      </c>
      <c r="S149" s="143">
        <f>ROUND(IF($E$31="Yes",IF(Data!$AG92&gt;0,(Duplicate!$S$23*Data!$AG92)+R149,(Duplicate!$S$24*Data!$AG92)+R149),IF(Data!$AF92&gt;0,(Duplicate!$S$23*Data!$AF92)+R149,(Duplicate!$S$24*Data!$AF92)+R149)),0)</f>
        <v>9024946</v>
      </c>
      <c r="T149" s="143">
        <v>9561101</v>
      </c>
      <c r="U149" s="143">
        <v>9446925</v>
      </c>
      <c r="V149" s="143">
        <v>9332749</v>
      </c>
      <c r="W149" s="143">
        <v>9218573</v>
      </c>
      <c r="X149" s="143">
        <v>9104397</v>
      </c>
      <c r="Y149" s="143">
        <v>8990221</v>
      </c>
      <c r="Z149" s="143">
        <v>8876045</v>
      </c>
      <c r="AA149" s="143">
        <v>8761869</v>
      </c>
      <c r="AB149" s="143">
        <v>8647693</v>
      </c>
      <c r="AC149" s="129">
        <f t="shared" si="43"/>
        <v>41917</v>
      </c>
      <c r="AD149" s="129">
        <f t="shared" si="44"/>
        <v>83834</v>
      </c>
      <c r="AE149" s="129">
        <f t="shared" si="45"/>
        <v>125751</v>
      </c>
      <c r="AF149" s="129">
        <f t="shared" si="46"/>
        <v>167668</v>
      </c>
      <c r="AG149" s="129">
        <f t="shared" si="47"/>
        <v>209585</v>
      </c>
      <c r="AH149" s="129">
        <f t="shared" si="48"/>
        <v>251502</v>
      </c>
      <c r="AI149" s="129">
        <f t="shared" si="49"/>
        <v>293419</v>
      </c>
      <c r="AJ149" s="129">
        <f t="shared" si="50"/>
        <v>335336</v>
      </c>
      <c r="AK149" s="129">
        <f t="shared" si="51"/>
        <v>377253</v>
      </c>
      <c r="AL149" s="127">
        <f t="shared" si="52"/>
        <v>4.3841185235884428E-3</v>
      </c>
      <c r="AM149" s="127">
        <f t="shared" si="53"/>
        <v>8.8742103912120562E-3</v>
      </c>
      <c r="AN149" s="127">
        <f t="shared" si="54"/>
        <v>1.3474165007544947E-2</v>
      </c>
      <c r="AO149" s="127">
        <f t="shared" si="55"/>
        <v>1.8188064465074927E-2</v>
      </c>
      <c r="AP149" s="127">
        <f t="shared" si="56"/>
        <v>2.3020195626355155E-2</v>
      </c>
      <c r="AQ149" s="127">
        <f t="shared" si="57"/>
        <v>2.7975063126924216E-2</v>
      </c>
      <c r="AR149" s="127">
        <f t="shared" si="58"/>
        <v>3.3057403381798967E-2</v>
      </c>
      <c r="AS149" s="127">
        <f t="shared" si="59"/>
        <v>3.8272199687075847E-2</v>
      </c>
      <c r="AT149" s="127">
        <f t="shared" si="60"/>
        <v>4.3624698517858995E-2</v>
      </c>
    </row>
    <row r="150" spans="1:46" s="18" customFormat="1" ht="13" x14ac:dyDescent="0.15">
      <c r="A150" s="29" t="s">
        <v>91</v>
      </c>
      <c r="B150" s="30">
        <f>IF(Data!D93=1, MAX(Data!AA93, $E$26) + INDEX(Duplicate!$E$39:$E$43, MATCH( Data!AD93, Duplicate!$B$39:$B$43, 0), 0), MAX(Data!AA93, $E$27) +  INDEX(Duplicate!$E$39:$E$43, MATCH( Data!AD93, Duplicate!$B$39:$B$43, 0), 0))</f>
        <v>0.23547000000000001</v>
      </c>
      <c r="C150" s="128">
        <f>ROUND(Data!R93/13*100, 2)</f>
        <v>46.15</v>
      </c>
      <c r="D150" s="141">
        <f>ROUND(Data!Q93*C150, 0)</f>
        <v>22567</v>
      </c>
      <c r="E150" s="142">
        <f>ROUND($E$22*Data!W93*B150, 0)</f>
        <v>2651320</v>
      </c>
      <c r="F150" s="143">
        <f>IF(E150=0, 0,IF($E$31="Yes", IF(Data!D93=1, MAX(Duplicate!D150+Duplicate!E150, Data!AE93), Duplicate!D150+Duplicate!E150), Duplicate!D150+Duplicate!E150))</f>
        <v>2673887</v>
      </c>
      <c r="G150" s="143">
        <v>2698914</v>
      </c>
      <c r="H150" s="129">
        <f>F150-Data!AL93</f>
        <v>-228452</v>
      </c>
      <c r="I150" s="127">
        <f>((F150)/(Data!AL93)) - 1</f>
        <v>-7.8713065565394036E-2</v>
      </c>
      <c r="J150" s="127">
        <f t="shared" si="42"/>
        <v>-9.2729890615261823E-3</v>
      </c>
      <c r="K150" s="143">
        <f>ROUND(IF($E$31="Yes",IF(Data!AG93&gt;0,(Duplicate!$K$23*Data!AG93)+Data!AI93,(Duplicate!$K$24*Data!AG93)+Data!AI93),IF(Data!AF93&gt;0,(Duplicate!$K$23*Data!AF93)+Data!AI93,(Duplicate!$K$24*Data!AF93)+Data!AI93)),0)</f>
        <v>2971660</v>
      </c>
      <c r="L150" s="143">
        <f>ROUND(IF($E$31="Yes",IF(Data!$AG93&gt;0,(Duplicate!$L$23*Data!$AG93)+K150,(Duplicate!$L$24*Data!$AG93)+K150),IF(Data!$AF93&gt;0,(Duplicate!$L$23*Data!$AF93)+K150,(Duplicate!$L$24*Data!$AF93)+K150)),0)</f>
        <v>2954226</v>
      </c>
      <c r="M150" s="143">
        <f>ROUND(IF($E$31="Yes",IF(Data!$AG93&gt;0,(Duplicate!$M$23*Data!$AG93)+L150,(Duplicate!$M$24*Data!$AG93)+L150),IF(Data!$AF93&gt;0,(Duplicate!$M$23*Data!$AF93)+L150,(Duplicate!$M$24*Data!$AF93)+L150)),0)</f>
        <v>2936792</v>
      </c>
      <c r="N150" s="143">
        <f>ROUND(IF($E$31="Yes",IF(Data!$AG93&gt;0,(Duplicate!$N$23*Data!$AG93)+M150,(Duplicate!$N$24*Data!$AG93)+M150),IF(Data!$AF93&gt;0,(Duplicate!$N$23*Data!$AF93)+M150,(Duplicate!$N$24*Data!$AF93)+M150)),0)</f>
        <v>2919358</v>
      </c>
      <c r="O150" s="143">
        <f>ROUND(IF($E$31="Yes",IF(Data!$AG93&gt;0,(Duplicate!$O$23*Data!$AG93)+N150,(Duplicate!$O$24*Data!$AG93)+N150),IF(Data!$AF93&gt;0,(Duplicate!$O$23*Data!$AF93)+N150,(Duplicate!$O$24*Data!$AF93)+N150)),0)</f>
        <v>2901924</v>
      </c>
      <c r="P150" s="143">
        <f>ROUND(IF($E$31="Yes",IF(Data!$AG93&gt;0,(Duplicate!$P$23*Data!$AG93)+O150,(Duplicate!$P$24*Data!$AG93)+O150),IF(Data!$AF93&gt;0,(Duplicate!$P$23*Data!$AF93)+O150,(Duplicate!$P$24*Data!$AF93)+O150)),0)</f>
        <v>2884490</v>
      </c>
      <c r="Q150" s="143">
        <f>ROUND(IF($E$31="Yes",IF(Data!$AG93&gt;0,(Duplicate!$Q$23*Data!$AG93)+P150,(Duplicate!$Q$24*Data!$AG93)+P150),IF(Data!$AF93&gt;0,(Duplicate!$Q$23*Data!$AF93)+P150,(Duplicate!$Q$24*Data!$AF93)+P150)),0)</f>
        <v>2867056</v>
      </c>
      <c r="R150" s="143">
        <f>ROUND(IF($E$31="Yes",IF(Data!$AG93&gt;0,(Duplicate!$R$23*Data!$AG93)+Q150,(Duplicate!$R$24*Data!$AG93)+Q150),IF(Data!$AF93&gt;0,(Duplicate!$R$23*Data!$AF93)+Q150,(Duplicate!$R$24*Data!$AF93)+Q150)),0)</f>
        <v>2849622</v>
      </c>
      <c r="S150" s="143">
        <f>ROUND(IF($E$31="Yes",IF(Data!$AG93&gt;0,(Duplicate!$S$23*Data!$AG93)+R150,(Duplicate!$S$24*Data!$AG93)+R150),IF(Data!$AF93&gt;0,(Duplicate!$S$23*Data!$AF93)+R150,(Duplicate!$S$24*Data!$AF93)+R150)),0)</f>
        <v>2832188</v>
      </c>
      <c r="T150" s="143">
        <v>2951184</v>
      </c>
      <c r="U150" s="143">
        <v>2913274</v>
      </c>
      <c r="V150" s="143">
        <v>2875364</v>
      </c>
      <c r="W150" s="143">
        <v>2837454</v>
      </c>
      <c r="X150" s="143">
        <v>2799544</v>
      </c>
      <c r="Y150" s="143">
        <v>2761634</v>
      </c>
      <c r="Z150" s="143">
        <v>2723724</v>
      </c>
      <c r="AA150" s="143">
        <v>2685814</v>
      </c>
      <c r="AB150" s="143">
        <v>2647904</v>
      </c>
      <c r="AC150" s="129">
        <f t="shared" si="43"/>
        <v>20476</v>
      </c>
      <c r="AD150" s="129">
        <f t="shared" si="44"/>
        <v>40952</v>
      </c>
      <c r="AE150" s="129">
        <f t="shared" si="45"/>
        <v>61428</v>
      </c>
      <c r="AF150" s="129">
        <f t="shared" si="46"/>
        <v>81904</v>
      </c>
      <c r="AG150" s="129">
        <f t="shared" si="47"/>
        <v>102380</v>
      </c>
      <c r="AH150" s="129">
        <f t="shared" si="48"/>
        <v>122856</v>
      </c>
      <c r="AI150" s="129">
        <f t="shared" si="49"/>
        <v>143332</v>
      </c>
      <c r="AJ150" s="129">
        <f t="shared" si="50"/>
        <v>163808</v>
      </c>
      <c r="AK150" s="129">
        <f t="shared" si="51"/>
        <v>184284</v>
      </c>
      <c r="AL150" s="127">
        <f t="shared" si="52"/>
        <v>6.9382322484805581E-3</v>
      </c>
      <c r="AM150" s="127">
        <f t="shared" si="53"/>
        <v>1.4057036859560723E-2</v>
      </c>
      <c r="AN150" s="127">
        <f t="shared" si="54"/>
        <v>2.136355605759821E-2</v>
      </c>
      <c r="AO150" s="127">
        <f t="shared" si="55"/>
        <v>2.8865313763676959E-2</v>
      </c>
      <c r="AP150" s="127">
        <f t="shared" si="56"/>
        <v>3.6570241439320084E-2</v>
      </c>
      <c r="AQ150" s="127">
        <f t="shared" si="57"/>
        <v>4.4486706058804337E-2</v>
      </c>
      <c r="AR150" s="127">
        <f t="shared" si="58"/>
        <v>5.2623540417457759E-2</v>
      </c>
      <c r="AS150" s="127">
        <f t="shared" si="59"/>
        <v>6.0990076006752547E-2</v>
      </c>
      <c r="AT150" s="127">
        <f t="shared" si="60"/>
        <v>6.9596178713427603E-2</v>
      </c>
    </row>
    <row r="151" spans="1:46" s="18" customFormat="1" ht="13" x14ac:dyDescent="0.15">
      <c r="A151" s="29" t="s">
        <v>92</v>
      </c>
      <c r="B151" s="30">
        <f>IF(Data!D94=1, MAX(Data!AA94, $E$26) + INDEX(Duplicate!$E$39:$E$43, MATCH( Data!AD94, Duplicate!$B$39:$B$43, 0), 0), MAX(Data!AA94, $E$27) +  INDEX(Duplicate!$E$39:$E$43, MATCH( Data!AD94, Duplicate!$B$39:$B$43, 0), 0))</f>
        <v>0.61196100000000009</v>
      </c>
      <c r="C151" s="128">
        <f>ROUND(Data!R94/13*100, 2)</f>
        <v>0</v>
      </c>
      <c r="D151" s="141">
        <f>ROUND(Data!Q94*C151, 0)</f>
        <v>0</v>
      </c>
      <c r="E151" s="142">
        <f>ROUND($E$22*Data!W94*B151, 0)</f>
        <v>80580722</v>
      </c>
      <c r="F151" s="143">
        <f>IF(E151=0, 0,IF($E$31="Yes", IF(Data!D94=1, MAX(Duplicate!D151+Duplicate!E151, Data!AE94), Duplicate!D151+Duplicate!E151), Duplicate!D151+Duplicate!E151))</f>
        <v>80580722</v>
      </c>
      <c r="G151" s="143">
        <v>77427970</v>
      </c>
      <c r="H151" s="129">
        <f>F151-Data!AL94</f>
        <v>15806180</v>
      </c>
      <c r="I151" s="127">
        <f>((F151)/(Data!AL94)) - 1</f>
        <v>0.24401839846277884</v>
      </c>
      <c r="J151" s="127">
        <f t="shared" si="42"/>
        <v>4.0718515544188927E-2</v>
      </c>
      <c r="K151" s="143">
        <f>ROUND(IF($E$31="Yes",IF(Data!AG94&gt;0,(Duplicate!$K$23*Data!AG94)+Data!AI94,(Duplicate!$K$24*Data!AG94)+Data!AI94),IF(Data!AF94&gt;0,(Duplicate!$K$23*Data!AF94)+Data!AI94,(Duplicate!$K$24*Data!AF94)+Data!AI94)),0)</f>
        <v>63076210</v>
      </c>
      <c r="L151" s="143">
        <f>ROUND(IF($E$31="Yes",IF(Data!$AG94&gt;0,(Duplicate!$L$23*Data!$AG94)+K151,(Duplicate!$L$24*Data!$AG94)+K151),IF(Data!$AF94&gt;0,(Duplicate!$L$23*Data!$AF94)+K151,(Duplicate!$L$24*Data!$AF94)+K151)),0)</f>
        <v>65242570</v>
      </c>
      <c r="M151" s="143">
        <f>ROUND(IF($E$31="Yes",IF(Data!$AG94&gt;0,(Duplicate!$M$23*Data!$AG94)+L151,(Duplicate!$M$24*Data!$AG94)+L151),IF(Data!$AF94&gt;0,(Duplicate!$M$23*Data!$AF94)+L151,(Duplicate!$M$24*Data!$AF94)+L151)),0)</f>
        <v>67408930</v>
      </c>
      <c r="N151" s="143">
        <f>ROUND(IF($E$31="Yes",IF(Data!$AG94&gt;0,(Duplicate!$N$23*Data!$AG94)+M151,(Duplicate!$N$24*Data!$AG94)+M151),IF(Data!$AF94&gt;0,(Duplicate!$N$23*Data!$AF94)+M151,(Duplicate!$N$24*Data!$AF94)+M151)),0)</f>
        <v>69575290</v>
      </c>
      <c r="O151" s="143">
        <f>ROUND(IF($E$31="Yes",IF(Data!$AG94&gt;0,(Duplicate!$O$23*Data!$AG94)+N151,(Duplicate!$O$24*Data!$AG94)+N151),IF(Data!$AF94&gt;0,(Duplicate!$O$23*Data!$AF94)+N151,(Duplicate!$O$24*Data!$AF94)+N151)),0)</f>
        <v>71741650</v>
      </c>
      <c r="P151" s="143">
        <f>ROUND(IF($E$31="Yes",IF(Data!$AG94&gt;0,(Duplicate!$P$23*Data!$AG94)+O151,(Duplicate!$P$24*Data!$AG94)+O151),IF(Data!$AF94&gt;0,(Duplicate!$P$23*Data!$AF94)+O151,(Duplicate!$P$24*Data!$AF94)+O151)),0)</f>
        <v>73908010</v>
      </c>
      <c r="Q151" s="143">
        <f>ROUND(IF($E$31="Yes",IF(Data!$AG94&gt;0,(Duplicate!$Q$23*Data!$AG94)+P151,(Duplicate!$Q$24*Data!$AG94)+P151),IF(Data!$AF94&gt;0,(Duplicate!$Q$23*Data!$AF94)+P151,(Duplicate!$Q$24*Data!$AF94)+P151)),0)</f>
        <v>76074370</v>
      </c>
      <c r="R151" s="143">
        <f>ROUND(IF($E$31="Yes",IF(Data!$AG94&gt;0,(Duplicate!$R$23*Data!$AG94)+Q151,(Duplicate!$R$24*Data!$AG94)+Q151),IF(Data!$AF94&gt;0,(Duplicate!$R$23*Data!$AF94)+Q151,(Duplicate!$R$24*Data!$AF94)+Q151)),0)</f>
        <v>78240730</v>
      </c>
      <c r="S151" s="143">
        <f>ROUND(IF($E$31="Yes",IF(Data!$AG94&gt;0,(Duplicate!$S$23*Data!$AG94)+R151,(Duplicate!$S$24*Data!$AG94)+R151),IF(Data!$AF94&gt;0,(Duplicate!$S$23*Data!$AF94)+R151,(Duplicate!$S$24*Data!$AF94)+R151)),0)</f>
        <v>80407090</v>
      </c>
      <c r="T151" s="143">
        <v>62740127</v>
      </c>
      <c r="U151" s="143">
        <v>64570404</v>
      </c>
      <c r="V151" s="143">
        <v>66400681</v>
      </c>
      <c r="W151" s="143">
        <v>68230958</v>
      </c>
      <c r="X151" s="143">
        <v>70061235</v>
      </c>
      <c r="Y151" s="143">
        <v>71891512</v>
      </c>
      <c r="Z151" s="143">
        <v>73721789</v>
      </c>
      <c r="AA151" s="143">
        <v>75552066</v>
      </c>
      <c r="AB151" s="143">
        <v>77382343</v>
      </c>
      <c r="AC151" s="129">
        <f t="shared" si="43"/>
        <v>336083</v>
      </c>
      <c r="AD151" s="129">
        <f t="shared" si="44"/>
        <v>672166</v>
      </c>
      <c r="AE151" s="129">
        <f t="shared" si="45"/>
        <v>1008249</v>
      </c>
      <c r="AF151" s="129">
        <f t="shared" si="46"/>
        <v>1344332</v>
      </c>
      <c r="AG151" s="129">
        <f t="shared" si="47"/>
        <v>1680415</v>
      </c>
      <c r="AH151" s="129">
        <f t="shared" si="48"/>
        <v>2016498</v>
      </c>
      <c r="AI151" s="129">
        <f t="shared" si="49"/>
        <v>2352581</v>
      </c>
      <c r="AJ151" s="129">
        <f t="shared" si="50"/>
        <v>2688664</v>
      </c>
      <c r="AK151" s="129">
        <f t="shared" si="51"/>
        <v>3024747</v>
      </c>
      <c r="AL151" s="127">
        <f t="shared" si="52"/>
        <v>5.3567472058193566E-3</v>
      </c>
      <c r="AM151" s="127">
        <f t="shared" si="53"/>
        <v>1.0409815617693718E-2</v>
      </c>
      <c r="AN151" s="127">
        <f t="shared" si="54"/>
        <v>1.5184317160843674E-2</v>
      </c>
      <c r="AO151" s="127">
        <f t="shared" si="55"/>
        <v>1.9702669278071738E-2</v>
      </c>
      <c r="AP151" s="127">
        <f t="shared" si="56"/>
        <v>2.3984946882537717E-2</v>
      </c>
      <c r="AQ151" s="127">
        <f t="shared" si="57"/>
        <v>2.8049180548602282E-2</v>
      </c>
      <c r="AR151" s="127">
        <f t="shared" si="58"/>
        <v>3.1911610283901215E-2</v>
      </c>
      <c r="AS151" s="127">
        <f t="shared" si="59"/>
        <v>3.558690241508411E-2</v>
      </c>
      <c r="AT151" s="127">
        <f t="shared" si="60"/>
        <v>3.9088335694358545E-2</v>
      </c>
    </row>
    <row r="152" spans="1:46" s="18" customFormat="1" ht="13" x14ac:dyDescent="0.15">
      <c r="A152" s="29" t="s">
        <v>93</v>
      </c>
      <c r="B152" s="30">
        <f>IF(Data!D95=1, MAX(Data!AA95, $E$26) + INDEX(Duplicate!$E$39:$E$43, MATCH( Data!AD95, Duplicate!$B$39:$B$43, 0), 0), MAX(Data!AA95, $E$27) +  INDEX(Duplicate!$E$39:$E$43, MATCH( Data!AD95, Duplicate!$B$39:$B$43, 0), 0))</f>
        <v>6.5790000000000001E-2</v>
      </c>
      <c r="C152" s="128">
        <f>ROUND(Data!R95/13*100, 2)</f>
        <v>100</v>
      </c>
      <c r="D152" s="141">
        <f>ROUND(Data!Q95*C152, 0)</f>
        <v>120800</v>
      </c>
      <c r="E152" s="142">
        <f>ROUND($E$22*Data!W95*B152, 0)</f>
        <v>966098</v>
      </c>
      <c r="F152" s="143">
        <f>IF(E152=0, 0,IF($E$31="Yes", IF(Data!D95=1, MAX(Duplicate!D152+Duplicate!E152, Data!AE95), Duplicate!D152+Duplicate!E152), Duplicate!D152+Duplicate!E152))</f>
        <v>1086898</v>
      </c>
      <c r="G152" s="143">
        <v>843572</v>
      </c>
      <c r="H152" s="129">
        <f>F152-Data!AL95</f>
        <v>239141</v>
      </c>
      <c r="I152" s="127">
        <f>((F152)/(Data!AL95)) - 1</f>
        <v>0.28208673004174556</v>
      </c>
      <c r="J152" s="127">
        <f t="shared" si="42"/>
        <v>0.2884472220509926</v>
      </c>
      <c r="K152" s="143">
        <f>ROUND(IF($E$31="Yes",IF(Data!AG95&gt;0,(Duplicate!$K$23*Data!AG95)+Data!AI95,(Duplicate!$K$24*Data!AG95)+Data!AI95),IF(Data!AF95&gt;0,(Duplicate!$K$23*Data!AF95)+Data!AI95,(Duplicate!$K$24*Data!AF95)+Data!AI95)),0)</f>
        <v>1001324</v>
      </c>
      <c r="L152" s="143">
        <f>ROUND(IF($E$31="Yes",IF(Data!$AG95&gt;0,(Duplicate!$L$23*Data!$AG95)+K152,(Duplicate!$L$24*Data!$AG95)+K152),IF(Data!$AF95&gt;0,(Duplicate!$L$23*Data!$AF95)+K152,(Duplicate!$L$24*Data!$AF95)+K152)),0)</f>
        <v>1180563</v>
      </c>
      <c r="M152" s="143">
        <f>ROUND(IF($E$31="Yes",IF(Data!$AG95&gt;0,(Duplicate!$M$23*Data!$AG95)+L152,(Duplicate!$M$24*Data!$AG95)+L152),IF(Data!$AF95&gt;0,(Duplicate!$M$23*Data!$AF95)+L152,(Duplicate!$M$24*Data!$AF95)+L152)),0)</f>
        <v>1359802</v>
      </c>
      <c r="N152" s="143">
        <f>ROUND(IF($E$31="Yes",IF(Data!$AG95&gt;0,(Duplicate!$N$23*Data!$AG95)+M152,(Duplicate!$N$24*Data!$AG95)+M152),IF(Data!$AF95&gt;0,(Duplicate!$N$23*Data!$AF95)+M152,(Duplicate!$N$24*Data!$AF95)+M152)),0)</f>
        <v>1539041</v>
      </c>
      <c r="O152" s="143">
        <f>ROUND(IF($E$31="Yes",IF(Data!$AG95&gt;0,(Duplicate!$O$23*Data!$AG95)+N152,(Duplicate!$O$24*Data!$AG95)+N152),IF(Data!$AF95&gt;0,(Duplicate!$O$23*Data!$AF95)+N152,(Duplicate!$O$24*Data!$AF95)+N152)),0)</f>
        <v>1718280</v>
      </c>
      <c r="P152" s="143">
        <f>ROUND(IF($E$31="Yes",IF(Data!$AG95&gt;0,(Duplicate!$P$23*Data!$AG95)+O152,(Duplicate!$P$24*Data!$AG95)+O152),IF(Data!$AF95&gt;0,(Duplicate!$P$23*Data!$AF95)+O152,(Duplicate!$P$24*Data!$AF95)+O152)),0)</f>
        <v>1897519</v>
      </c>
      <c r="Q152" s="143">
        <f>ROUND(IF($E$31="Yes",IF(Data!$AG95&gt;0,(Duplicate!$Q$23*Data!$AG95)+P152,(Duplicate!$Q$24*Data!$AG95)+P152),IF(Data!$AF95&gt;0,(Duplicate!$Q$23*Data!$AF95)+P152,(Duplicate!$Q$24*Data!$AF95)+P152)),0)</f>
        <v>2076758</v>
      </c>
      <c r="R152" s="143">
        <f>ROUND(IF($E$31="Yes",IF(Data!$AG95&gt;0,(Duplicate!$R$23*Data!$AG95)+Q152,(Duplicate!$R$24*Data!$AG95)+Q152),IF(Data!$AF95&gt;0,(Duplicate!$R$23*Data!$AF95)+Q152,(Duplicate!$R$24*Data!$AF95)+Q152)),0)</f>
        <v>2255997</v>
      </c>
      <c r="S152" s="143">
        <f>ROUND(IF($E$31="Yes",IF(Data!$AG95&gt;0,(Duplicate!$S$23*Data!$AG95)+R152,(Duplicate!$S$24*Data!$AG95)+R152),IF(Data!$AF95&gt;0,(Duplicate!$S$23*Data!$AF95)+R152,(Duplicate!$S$24*Data!$AF95)+R152)),0)</f>
        <v>2435236</v>
      </c>
      <c r="T152" s="143">
        <v>821127</v>
      </c>
      <c r="U152" s="143">
        <v>820168</v>
      </c>
      <c r="V152" s="143">
        <v>819209</v>
      </c>
      <c r="W152" s="143">
        <v>818250</v>
      </c>
      <c r="X152" s="143">
        <v>817291</v>
      </c>
      <c r="Y152" s="143">
        <v>816332</v>
      </c>
      <c r="Z152" s="143">
        <v>815373</v>
      </c>
      <c r="AA152" s="143">
        <v>814414</v>
      </c>
      <c r="AB152" s="143">
        <v>813455</v>
      </c>
      <c r="AC152" s="129">
        <f t="shared" si="43"/>
        <v>180197</v>
      </c>
      <c r="AD152" s="129">
        <f t="shared" si="44"/>
        <v>360395</v>
      </c>
      <c r="AE152" s="129">
        <f t="shared" si="45"/>
        <v>540593</v>
      </c>
      <c r="AF152" s="129">
        <f t="shared" si="46"/>
        <v>720791</v>
      </c>
      <c r="AG152" s="129">
        <f t="shared" si="47"/>
        <v>900989</v>
      </c>
      <c r="AH152" s="129">
        <f t="shared" si="48"/>
        <v>1081187</v>
      </c>
      <c r="AI152" s="129">
        <f t="shared" si="49"/>
        <v>1261385</v>
      </c>
      <c r="AJ152" s="129">
        <f t="shared" si="50"/>
        <v>1441583</v>
      </c>
      <c r="AK152" s="129">
        <f t="shared" si="51"/>
        <v>1621781</v>
      </c>
      <c r="AL152" s="127">
        <f t="shared" si="52"/>
        <v>0.21945082794744297</v>
      </c>
      <c r="AM152" s="127">
        <f t="shared" si="53"/>
        <v>0.43941607085377621</v>
      </c>
      <c r="AN152" s="127">
        <f t="shared" si="54"/>
        <v>0.65989631461568421</v>
      </c>
      <c r="AO152" s="127">
        <f t="shared" si="55"/>
        <v>0.88089336999694479</v>
      </c>
      <c r="AP152" s="127">
        <f t="shared" si="56"/>
        <v>1.1024090562602549</v>
      </c>
      <c r="AQ152" s="127">
        <f t="shared" si="57"/>
        <v>1.3244452012171517</v>
      </c>
      <c r="AR152" s="127">
        <f t="shared" si="58"/>
        <v>1.5470036412782862</v>
      </c>
      <c r="AS152" s="127">
        <f t="shared" si="59"/>
        <v>1.7700862215040507</v>
      </c>
      <c r="AT152" s="127">
        <f t="shared" si="60"/>
        <v>1.9936947956555677</v>
      </c>
    </row>
    <row r="153" spans="1:46" s="18" customFormat="1" ht="13" x14ac:dyDescent="0.15">
      <c r="A153" s="29" t="s">
        <v>94</v>
      </c>
      <c r="B153" s="30">
        <f>IF(Data!D96=1, MAX(Data!AA96, $E$26) + INDEX(Duplicate!$E$39:$E$43, MATCH( Data!AD96, Duplicate!$B$39:$B$43, 0), 0), MAX(Data!AA96, $E$27) +  INDEX(Duplicate!$E$39:$E$43, MATCH( Data!AD96, Duplicate!$B$39:$B$43, 0), 0))</f>
        <v>0.25489000000000001</v>
      </c>
      <c r="C153" s="128">
        <f>ROUND(Data!R96/13*100, 2)</f>
        <v>100</v>
      </c>
      <c r="D153" s="141">
        <f>ROUND(Data!Q96*C153, 0)</f>
        <v>49400</v>
      </c>
      <c r="E153" s="142">
        <f>ROUND($E$22*Data!W96*B153, 0)</f>
        <v>1538719</v>
      </c>
      <c r="F153" s="143">
        <f>IF(E153=0, 0,IF($E$31="Yes", IF(Data!D96=1, MAX(Duplicate!D153+Duplicate!E153, Data!AE96), Duplicate!D153+Duplicate!E153), Duplicate!D153+Duplicate!E153))</f>
        <v>1588119</v>
      </c>
      <c r="G153" s="143">
        <v>1495422</v>
      </c>
      <c r="H153" s="129">
        <f>F153-Data!AL96</f>
        <v>-249385</v>
      </c>
      <c r="I153" s="127">
        <f>((F153)/(Data!AL96)) - 1</f>
        <v>-0.13571943244749396</v>
      </c>
      <c r="J153" s="127">
        <f t="shared" si="42"/>
        <v>6.1987184888278923E-2</v>
      </c>
      <c r="K153" s="143">
        <f>ROUND(IF($E$31="Yes",IF(Data!AG96&gt;0,(Duplicate!$K$23*Data!AG96)+Data!AI96,(Duplicate!$K$24*Data!AG96)+Data!AI96),IF(Data!AF96&gt;0,(Duplicate!$K$23*Data!AF96)+Data!AI96,(Duplicate!$K$24*Data!AF96)+Data!AI96)),0)</f>
        <v>1953754</v>
      </c>
      <c r="L153" s="143">
        <f>ROUND(IF($E$31="Yes",IF(Data!$AG96&gt;0,(Duplicate!$L$23*Data!$AG96)+K153,(Duplicate!$L$24*Data!$AG96)+K153),IF(Data!$AF96&gt;0,(Duplicate!$L$23*Data!$AF96)+K153,(Duplicate!$L$24*Data!$AF96)+K153)),0)</f>
        <v>1962453</v>
      </c>
      <c r="M153" s="143">
        <f>ROUND(IF($E$31="Yes",IF(Data!$AG96&gt;0,(Duplicate!$M$23*Data!$AG96)+L153,(Duplicate!$M$24*Data!$AG96)+L153),IF(Data!$AF96&gt;0,(Duplicate!$M$23*Data!$AF96)+L153,(Duplicate!$M$24*Data!$AF96)+L153)),0)</f>
        <v>1971152</v>
      </c>
      <c r="N153" s="143">
        <f>ROUND(IF($E$31="Yes",IF(Data!$AG96&gt;0,(Duplicate!$N$23*Data!$AG96)+M153,(Duplicate!$N$24*Data!$AG96)+M153),IF(Data!$AF96&gt;0,(Duplicate!$N$23*Data!$AF96)+M153,(Duplicate!$N$24*Data!$AF96)+M153)),0)</f>
        <v>1979851</v>
      </c>
      <c r="O153" s="143">
        <f>ROUND(IF($E$31="Yes",IF(Data!$AG96&gt;0,(Duplicate!$O$23*Data!$AG96)+N153,(Duplicate!$O$24*Data!$AG96)+N153),IF(Data!$AF96&gt;0,(Duplicate!$O$23*Data!$AF96)+N153,(Duplicate!$O$24*Data!$AF96)+N153)),0)</f>
        <v>1988550</v>
      </c>
      <c r="P153" s="143">
        <f>ROUND(IF($E$31="Yes",IF(Data!$AG96&gt;0,(Duplicate!$P$23*Data!$AG96)+O153,(Duplicate!$P$24*Data!$AG96)+O153),IF(Data!$AF96&gt;0,(Duplicate!$P$23*Data!$AF96)+O153,(Duplicate!$P$24*Data!$AF96)+O153)),0)</f>
        <v>1997249</v>
      </c>
      <c r="Q153" s="143">
        <f>ROUND(IF($E$31="Yes",IF(Data!$AG96&gt;0,(Duplicate!$Q$23*Data!$AG96)+P153,(Duplicate!$Q$24*Data!$AG96)+P153),IF(Data!$AF96&gt;0,(Duplicate!$Q$23*Data!$AF96)+P153,(Duplicate!$Q$24*Data!$AF96)+P153)),0)</f>
        <v>2005948</v>
      </c>
      <c r="R153" s="143">
        <f>ROUND(IF($E$31="Yes",IF(Data!$AG96&gt;0,(Duplicate!$R$23*Data!$AG96)+Q153,(Duplicate!$R$24*Data!$AG96)+Q153),IF(Data!$AF96&gt;0,(Duplicate!$R$23*Data!$AF96)+Q153,(Duplicate!$R$24*Data!$AF96)+Q153)),0)</f>
        <v>2014647</v>
      </c>
      <c r="S153" s="143">
        <f>ROUND(IF($E$31="Yes",IF(Data!$AG96&gt;0,(Duplicate!$S$23*Data!$AG96)+R153,(Duplicate!$S$24*Data!$AG96)+R153),IF(Data!$AF96&gt;0,(Duplicate!$S$23*Data!$AF96)+R153,(Duplicate!$S$24*Data!$AF96)+R153)),0)</f>
        <v>2023346</v>
      </c>
      <c r="T153" s="143">
        <v>1894751</v>
      </c>
      <c r="U153" s="143">
        <v>1844447</v>
      </c>
      <c r="V153" s="143">
        <v>1794143</v>
      </c>
      <c r="W153" s="143">
        <v>1743839</v>
      </c>
      <c r="X153" s="143">
        <v>1693535</v>
      </c>
      <c r="Y153" s="143">
        <v>1643231</v>
      </c>
      <c r="Z153" s="143">
        <v>1592927</v>
      </c>
      <c r="AA153" s="143">
        <v>1542623</v>
      </c>
      <c r="AB153" s="143">
        <v>1492319</v>
      </c>
      <c r="AC153" s="129">
        <f t="shared" si="43"/>
        <v>59003</v>
      </c>
      <c r="AD153" s="129">
        <f t="shared" si="44"/>
        <v>118006</v>
      </c>
      <c r="AE153" s="129">
        <f t="shared" si="45"/>
        <v>177009</v>
      </c>
      <c r="AF153" s="129">
        <f t="shared" si="46"/>
        <v>236012</v>
      </c>
      <c r="AG153" s="129">
        <f t="shared" si="47"/>
        <v>295015</v>
      </c>
      <c r="AH153" s="129">
        <f t="shared" si="48"/>
        <v>354018</v>
      </c>
      <c r="AI153" s="129">
        <f t="shared" si="49"/>
        <v>413021</v>
      </c>
      <c r="AJ153" s="129">
        <f t="shared" si="50"/>
        <v>472024</v>
      </c>
      <c r="AK153" s="129">
        <f t="shared" si="51"/>
        <v>531027</v>
      </c>
      <c r="AL153" s="127">
        <f t="shared" si="52"/>
        <v>3.1140239535432324E-2</v>
      </c>
      <c r="AM153" s="127">
        <f t="shared" si="53"/>
        <v>6.3979067980809434E-2</v>
      </c>
      <c r="AN153" s="127">
        <f t="shared" si="54"/>
        <v>9.8659359928389145E-2</v>
      </c>
      <c r="AO153" s="127">
        <f t="shared" si="55"/>
        <v>0.13534047581227404</v>
      </c>
      <c r="AP153" s="127">
        <f t="shared" si="56"/>
        <v>0.17420071034847218</v>
      </c>
      <c r="AQ153" s="127">
        <f t="shared" si="57"/>
        <v>0.21544019069747344</v>
      </c>
      <c r="AR153" s="127">
        <f t="shared" si="58"/>
        <v>0.25928432376373811</v>
      </c>
      <c r="AS153" s="127">
        <f t="shared" si="59"/>
        <v>0.30598791798125657</v>
      </c>
      <c r="AT153" s="127">
        <f t="shared" si="60"/>
        <v>0.35584013873709308</v>
      </c>
    </row>
    <row r="154" spans="1:46" s="18" customFormat="1" ht="13" x14ac:dyDescent="0.15">
      <c r="A154" s="29" t="s">
        <v>95</v>
      </c>
      <c r="B154" s="30">
        <f>IF(Data!D97=1, MAX(Data!AA97, $E$26) + INDEX(Duplicate!$E$39:$E$43, MATCH( Data!AD97, Duplicate!$B$39:$B$43, 0), 0), MAX(Data!AA97, $E$27) +  INDEX(Duplicate!$E$39:$E$43, MATCH( Data!AD97, Duplicate!$B$39:$B$43, 0), 0))</f>
        <v>0.431394</v>
      </c>
      <c r="C154" s="128">
        <f>ROUND(Data!R97/13*100, 2)</f>
        <v>0</v>
      </c>
      <c r="D154" s="141">
        <f>ROUND(Data!Q97*C154, 0)</f>
        <v>0</v>
      </c>
      <c r="E154" s="142">
        <f>ROUND($E$22*Data!W97*B154, 0)</f>
        <v>26291211</v>
      </c>
      <c r="F154" s="143">
        <f>IF(E154=0, 0,IF($E$31="Yes", IF(Data!D97=1, MAX(Duplicate!D154+Duplicate!E154, Data!AE97), Duplicate!D154+Duplicate!E154), Duplicate!D154+Duplicate!E154))</f>
        <v>26291211</v>
      </c>
      <c r="G154" s="143">
        <v>27287614</v>
      </c>
      <c r="H154" s="129">
        <f>F154-Data!AL97</f>
        <v>4739246</v>
      </c>
      <c r="I154" s="127">
        <f>((F154)/(Data!AL97)) - 1</f>
        <v>0.21989855681372905</v>
      </c>
      <c r="J154" s="127">
        <f t="shared" si="42"/>
        <v>-3.6514845160152132E-2</v>
      </c>
      <c r="K154" s="143">
        <f>ROUND(IF($E$31="Yes",IF(Data!AG97&gt;0,(Duplicate!$K$23*Data!AG97)+Data!AI97,(Duplicate!$K$24*Data!AG97)+Data!AI97),IF(Data!AF97&gt;0,(Duplicate!$K$23*Data!AF97)+Data!AI97,(Duplicate!$K$24*Data!AF97)+Data!AI97)),0)</f>
        <v>20565762</v>
      </c>
      <c r="L154" s="143">
        <f>ROUND(IF($E$31="Yes",IF(Data!$AG97&gt;0,(Duplicate!$L$23*Data!$AG97)+K154,(Duplicate!$L$24*Data!$AG97)+K154),IF(Data!$AF97&gt;0,(Duplicate!$L$23*Data!$AF97)+K154,(Duplicate!$L$24*Data!$AF97)+K154)),0)</f>
        <v>21288018</v>
      </c>
      <c r="M154" s="143">
        <f>ROUND(IF($E$31="Yes",IF(Data!$AG97&gt;0,(Duplicate!$M$23*Data!$AG97)+L154,(Duplicate!$M$24*Data!$AG97)+L154),IF(Data!$AF97&gt;0,(Duplicate!$M$23*Data!$AF97)+L154,(Duplicate!$M$24*Data!$AF97)+L154)),0)</f>
        <v>22010274</v>
      </c>
      <c r="N154" s="143">
        <f>ROUND(IF($E$31="Yes",IF(Data!$AG97&gt;0,(Duplicate!$N$23*Data!$AG97)+M154,(Duplicate!$N$24*Data!$AG97)+M154),IF(Data!$AF97&gt;0,(Duplicate!$N$23*Data!$AF97)+M154,(Duplicate!$N$24*Data!$AF97)+M154)),0)</f>
        <v>22732530</v>
      </c>
      <c r="O154" s="143">
        <f>ROUND(IF($E$31="Yes",IF(Data!$AG97&gt;0,(Duplicate!$O$23*Data!$AG97)+N154,(Duplicate!$O$24*Data!$AG97)+N154),IF(Data!$AF97&gt;0,(Duplicate!$O$23*Data!$AF97)+N154,(Duplicate!$O$24*Data!$AF97)+N154)),0)</f>
        <v>23454786</v>
      </c>
      <c r="P154" s="143">
        <f>ROUND(IF($E$31="Yes",IF(Data!$AG97&gt;0,(Duplicate!$P$23*Data!$AG97)+O154,(Duplicate!$P$24*Data!$AG97)+O154),IF(Data!$AF97&gt;0,(Duplicate!$P$23*Data!$AF97)+O154,(Duplicate!$P$24*Data!$AF97)+O154)),0)</f>
        <v>24177042</v>
      </c>
      <c r="Q154" s="143">
        <f>ROUND(IF($E$31="Yes",IF(Data!$AG97&gt;0,(Duplicate!$Q$23*Data!$AG97)+P154,(Duplicate!$Q$24*Data!$AG97)+P154),IF(Data!$AF97&gt;0,(Duplicate!$Q$23*Data!$AF97)+P154,(Duplicate!$Q$24*Data!$AF97)+P154)),0)</f>
        <v>24899298</v>
      </c>
      <c r="R154" s="143">
        <f>ROUND(IF($E$31="Yes",IF(Data!$AG97&gt;0,(Duplicate!$R$23*Data!$AG97)+Q154,(Duplicate!$R$24*Data!$AG97)+Q154),IF(Data!$AF97&gt;0,(Duplicate!$R$23*Data!$AF97)+Q154,(Duplicate!$R$24*Data!$AF97)+Q154)),0)</f>
        <v>25621554</v>
      </c>
      <c r="S154" s="143">
        <f>ROUND(IF($E$31="Yes",IF(Data!$AG97&gt;0,(Duplicate!$S$23*Data!$AG97)+R154,(Duplicate!$S$24*Data!$AG97)+R154),IF(Data!$AF97&gt;0,(Duplicate!$S$23*Data!$AF97)+R154,(Duplicate!$S$24*Data!$AF97)+R154)),0)</f>
        <v>26343810</v>
      </c>
      <c r="T154" s="143">
        <v>20671979</v>
      </c>
      <c r="U154" s="143">
        <v>21500452</v>
      </c>
      <c r="V154" s="143">
        <v>22328925</v>
      </c>
      <c r="W154" s="143">
        <v>23157398</v>
      </c>
      <c r="X154" s="143">
        <v>23985871</v>
      </c>
      <c r="Y154" s="143">
        <v>24814344</v>
      </c>
      <c r="Z154" s="143">
        <v>25642817</v>
      </c>
      <c r="AA154" s="143">
        <v>26471290</v>
      </c>
      <c r="AB154" s="143">
        <v>27299763</v>
      </c>
      <c r="AC154" s="129">
        <f t="shared" si="43"/>
        <v>-106217</v>
      </c>
      <c r="AD154" s="129">
        <f t="shared" si="44"/>
        <v>-212434</v>
      </c>
      <c r="AE154" s="129">
        <f t="shared" si="45"/>
        <v>-318651</v>
      </c>
      <c r="AF154" s="129">
        <f t="shared" si="46"/>
        <v>-424868</v>
      </c>
      <c r="AG154" s="129">
        <f t="shared" si="47"/>
        <v>-531085</v>
      </c>
      <c r="AH154" s="129">
        <f t="shared" si="48"/>
        <v>-637302</v>
      </c>
      <c r="AI154" s="129">
        <f t="shared" si="49"/>
        <v>-743519</v>
      </c>
      <c r="AJ154" s="129">
        <f t="shared" si="50"/>
        <v>-849736</v>
      </c>
      <c r="AK154" s="129">
        <f t="shared" si="51"/>
        <v>-955953</v>
      </c>
      <c r="AL154" s="127">
        <f t="shared" si="52"/>
        <v>-5.1382114890886621E-3</v>
      </c>
      <c r="AM154" s="127">
        <f t="shared" si="53"/>
        <v>-9.8804434437006483E-3</v>
      </c>
      <c r="AN154" s="127">
        <f t="shared" si="54"/>
        <v>-1.4270772103896601E-2</v>
      </c>
      <c r="AO154" s="127">
        <f t="shared" si="55"/>
        <v>-1.8346966269699228E-2</v>
      </c>
      <c r="AP154" s="127">
        <f t="shared" si="56"/>
        <v>-2.2141576597322632E-2</v>
      </c>
      <c r="AQ154" s="127">
        <f t="shared" si="57"/>
        <v>-2.5682806686326276E-2</v>
      </c>
      <c r="AR154" s="127">
        <f t="shared" si="58"/>
        <v>-2.8995215307273003E-2</v>
      </c>
      <c r="AS154" s="127">
        <f t="shared" si="59"/>
        <v>-3.2100286763508734E-2</v>
      </c>
      <c r="AT154" s="127">
        <f t="shared" si="60"/>
        <v>-3.5016897399438918E-2</v>
      </c>
    </row>
    <row r="155" spans="1:46" s="18" customFormat="1" ht="13" x14ac:dyDescent="0.15">
      <c r="A155" s="29" t="s">
        <v>96</v>
      </c>
      <c r="B155" s="30">
        <f>IF(Data!D98=1, MAX(Data!AA98, $E$26) + INDEX(Duplicate!$E$39:$E$43, MATCH( Data!AD98, Duplicate!$B$39:$B$43, 0), 0), MAX(Data!AA98, $E$27) +  INDEX(Duplicate!$E$39:$E$43, MATCH( Data!AD98, Duplicate!$B$39:$B$43, 0), 0))</f>
        <v>0.12579599999999999</v>
      </c>
      <c r="C155" s="128">
        <f>ROUND(Data!R98/13*100, 2)</f>
        <v>0</v>
      </c>
      <c r="D155" s="141">
        <f>ROUND(Data!Q98*C155, 0)</f>
        <v>0</v>
      </c>
      <c r="E155" s="142">
        <f>ROUND($E$22*Data!W98*B155, 0)</f>
        <v>8588261</v>
      </c>
      <c r="F155" s="143">
        <f>IF(E155=0, 0,IF($E$31="Yes", IF(Data!D98=1, MAX(Duplicate!D155+Duplicate!E155, Data!AE98), Duplicate!D155+Duplicate!E155), Duplicate!D155+Duplicate!E155))</f>
        <v>8588261</v>
      </c>
      <c r="G155" s="143">
        <v>8639671</v>
      </c>
      <c r="H155" s="129">
        <f>F155-Data!AL98</f>
        <v>-1084974</v>
      </c>
      <c r="I155" s="127">
        <f>((F155)/(Data!AL98)) - 1</f>
        <v>-0.11216247718576056</v>
      </c>
      <c r="J155" s="127">
        <f t="shared" si="42"/>
        <v>-5.9504580672111729E-3</v>
      </c>
      <c r="K155" s="143">
        <f>ROUND(IF($E$31="Yes",IF(Data!AG98&gt;0,(Duplicate!$K$23*Data!AG98)+Data!AI98,(Duplicate!$K$24*Data!AG98)+Data!AI98),IF(Data!AF98&gt;0,(Duplicate!$K$23*Data!AF98)+Data!AI98,(Duplicate!$K$24*Data!AF98)+Data!AI98)),0)</f>
        <v>9880781</v>
      </c>
      <c r="L155" s="143">
        <f>ROUND(IF($E$31="Yes",IF(Data!$AG98&gt;0,(Duplicate!$L$23*Data!$AG98)+K155,(Duplicate!$L$24*Data!$AG98)+K155),IF(Data!$AF98&gt;0,(Duplicate!$L$23*Data!$AF98)+K155,(Duplicate!$L$24*Data!$AF98)+K155)),0)</f>
        <v>9692453</v>
      </c>
      <c r="M155" s="143">
        <f>ROUND(IF($E$31="Yes",IF(Data!$AG98&gt;0,(Duplicate!$M$23*Data!$AG98)+L155,(Duplicate!$M$24*Data!$AG98)+L155),IF(Data!$AF98&gt;0,(Duplicate!$M$23*Data!$AF98)+L155,(Duplicate!$M$24*Data!$AF98)+L155)),0)</f>
        <v>9504125</v>
      </c>
      <c r="N155" s="143">
        <f>ROUND(IF($E$31="Yes",IF(Data!$AG98&gt;0,(Duplicate!$N$23*Data!$AG98)+M155,(Duplicate!$N$24*Data!$AG98)+M155),IF(Data!$AF98&gt;0,(Duplicate!$N$23*Data!$AF98)+M155,(Duplicate!$N$24*Data!$AF98)+M155)),0)</f>
        <v>9315797</v>
      </c>
      <c r="O155" s="143">
        <f>ROUND(IF($E$31="Yes",IF(Data!$AG98&gt;0,(Duplicate!$O$23*Data!$AG98)+N155,(Duplicate!$O$24*Data!$AG98)+N155),IF(Data!$AF98&gt;0,(Duplicate!$O$23*Data!$AF98)+N155,(Duplicate!$O$24*Data!$AF98)+N155)),0)</f>
        <v>9127469</v>
      </c>
      <c r="P155" s="143">
        <f>ROUND(IF($E$31="Yes",IF(Data!$AG98&gt;0,(Duplicate!$P$23*Data!$AG98)+O155,(Duplicate!$P$24*Data!$AG98)+O155),IF(Data!$AF98&gt;0,(Duplicate!$P$23*Data!$AF98)+O155,(Duplicate!$P$24*Data!$AF98)+O155)),0)</f>
        <v>8939141</v>
      </c>
      <c r="Q155" s="143">
        <f>ROUND(IF($E$31="Yes",IF(Data!$AG98&gt;0,(Duplicate!$Q$23*Data!$AG98)+P155,(Duplicate!$Q$24*Data!$AG98)+P155),IF(Data!$AF98&gt;0,(Duplicate!$Q$23*Data!$AF98)+P155,(Duplicate!$Q$24*Data!$AF98)+P155)),0)</f>
        <v>8750813</v>
      </c>
      <c r="R155" s="143">
        <f>ROUND(IF($E$31="Yes",IF(Data!$AG98&gt;0,(Duplicate!$R$23*Data!$AG98)+Q155,(Duplicate!$R$24*Data!$AG98)+Q155),IF(Data!$AF98&gt;0,(Duplicate!$R$23*Data!$AF98)+Q155,(Duplicate!$R$24*Data!$AF98)+Q155)),0)</f>
        <v>8562485</v>
      </c>
      <c r="S155" s="143">
        <f>ROUND(IF($E$31="Yes",IF(Data!$AG98&gt;0,(Duplicate!$S$23*Data!$AG98)+R155,(Duplicate!$S$24*Data!$AG98)+R155),IF(Data!$AF98&gt;0,(Duplicate!$S$23*Data!$AF98)+R155,(Duplicate!$S$24*Data!$AF98)+R155)),0)</f>
        <v>8374157</v>
      </c>
      <c r="T155" s="143">
        <v>9885063</v>
      </c>
      <c r="U155" s="143">
        <v>9701017</v>
      </c>
      <c r="V155" s="143">
        <v>9516971</v>
      </c>
      <c r="W155" s="143">
        <v>9332925</v>
      </c>
      <c r="X155" s="143">
        <v>9148879</v>
      </c>
      <c r="Y155" s="143">
        <v>8964833</v>
      </c>
      <c r="Z155" s="143">
        <v>8780787</v>
      </c>
      <c r="AA155" s="143">
        <v>8596741</v>
      </c>
      <c r="AB155" s="143">
        <v>8412695</v>
      </c>
      <c r="AC155" s="129">
        <f t="shared" si="43"/>
        <v>-4282</v>
      </c>
      <c r="AD155" s="129">
        <f t="shared" si="44"/>
        <v>-8564</v>
      </c>
      <c r="AE155" s="129">
        <f t="shared" si="45"/>
        <v>-12846</v>
      </c>
      <c r="AF155" s="129">
        <f t="shared" si="46"/>
        <v>-17128</v>
      </c>
      <c r="AG155" s="129">
        <f t="shared" si="47"/>
        <v>-21410</v>
      </c>
      <c r="AH155" s="129">
        <f t="shared" si="48"/>
        <v>-25692</v>
      </c>
      <c r="AI155" s="129">
        <f t="shared" si="49"/>
        <v>-29974</v>
      </c>
      <c r="AJ155" s="129">
        <f t="shared" si="50"/>
        <v>-34256</v>
      </c>
      <c r="AK155" s="129">
        <f t="shared" si="51"/>
        <v>-38538</v>
      </c>
      <c r="AL155" s="127">
        <f t="shared" si="52"/>
        <v>-4.3317882748949987E-4</v>
      </c>
      <c r="AM155" s="127">
        <f t="shared" si="53"/>
        <v>-8.82794041078383E-4</v>
      </c>
      <c r="AN155" s="127">
        <f t="shared" si="54"/>
        <v>-1.3497992165785178E-3</v>
      </c>
      <c r="AO155" s="127">
        <f t="shared" si="55"/>
        <v>-1.8352231481555403E-3</v>
      </c>
      <c r="AP155" s="127">
        <f t="shared" si="56"/>
        <v>-2.3401774140854315E-3</v>
      </c>
      <c r="AQ155" s="127">
        <f t="shared" si="57"/>
        <v>-2.8658648744488424E-3</v>
      </c>
      <c r="AR155" s="127">
        <f t="shared" si="58"/>
        <v>-3.4135892375022348E-3</v>
      </c>
      <c r="AS155" s="127">
        <f t="shared" si="59"/>
        <v>-3.9847658548745057E-3</v>
      </c>
      <c r="AT155" s="127">
        <f t="shared" si="60"/>
        <v>-4.580933933775122E-3</v>
      </c>
    </row>
    <row r="156" spans="1:46" s="18" customFormat="1" ht="13" x14ac:dyDescent="0.15">
      <c r="A156" s="29" t="s">
        <v>97</v>
      </c>
      <c r="B156" s="30">
        <f>IF(Data!D99=1, MAX(Data!AA99, $E$26) + INDEX(Duplicate!$E$39:$E$43, MATCH( Data!AD99, Duplicate!$B$39:$B$43, 0), 0), MAX(Data!AA99, $E$27) +  INDEX(Duplicate!$E$39:$E$43, MATCH( Data!AD99, Duplicate!$B$39:$B$43, 0), 0))</f>
        <v>0.11287800000000001</v>
      </c>
      <c r="C156" s="128">
        <f>ROUND(Data!R99/13*100, 2)</f>
        <v>0</v>
      </c>
      <c r="D156" s="141">
        <f>ROUND(Data!Q99*C156, 0)</f>
        <v>0</v>
      </c>
      <c r="E156" s="142">
        <f>ROUND($E$22*Data!W99*B156, 0)</f>
        <v>4315083</v>
      </c>
      <c r="F156" s="143">
        <f>IF(E156=0, 0,IF($E$31="Yes", IF(Data!D99=1, MAX(Duplicate!D156+Duplicate!E156, Data!AE99), Duplicate!D156+Duplicate!E156), Duplicate!D156+Duplicate!E156))</f>
        <v>4315083</v>
      </c>
      <c r="G156" s="143">
        <v>3490385</v>
      </c>
      <c r="H156" s="129">
        <f>F156-Data!AL99</f>
        <v>-957852</v>
      </c>
      <c r="I156" s="127">
        <f>((F156)/(Data!AL99)) - 1</f>
        <v>-0.18165442964876299</v>
      </c>
      <c r="J156" s="127">
        <f t="shared" si="42"/>
        <v>0.23627708691161575</v>
      </c>
      <c r="K156" s="143">
        <f>ROUND(IF($E$31="Yes",IF(Data!AG99&gt;0,(Duplicate!$K$23*Data!AG99)+Data!AI99,(Duplicate!$K$24*Data!AG99)+Data!AI99),IF(Data!AF99&gt;0,(Duplicate!$K$23*Data!AF99)+Data!AI99,(Duplicate!$K$24*Data!AF99)+Data!AI99)),0)</f>
        <v>5517540</v>
      </c>
      <c r="L156" s="143">
        <f>ROUND(IF($E$31="Yes",IF(Data!$AG99&gt;0,(Duplicate!$L$23*Data!$AG99)+K156,(Duplicate!$L$24*Data!$AG99)+K156),IF(Data!$AF99&gt;0,(Duplicate!$L$23*Data!$AF99)+K156,(Duplicate!$L$24*Data!$AF99)+K156)),0)</f>
        <v>5344323</v>
      </c>
      <c r="M156" s="143">
        <f>ROUND(IF($E$31="Yes",IF(Data!$AG99&gt;0,(Duplicate!$M$23*Data!$AG99)+L156,(Duplicate!$M$24*Data!$AG99)+L156),IF(Data!$AF99&gt;0,(Duplicate!$M$23*Data!$AF99)+L156,(Duplicate!$M$24*Data!$AF99)+L156)),0)</f>
        <v>5171106</v>
      </c>
      <c r="N156" s="143">
        <f>ROUND(IF($E$31="Yes",IF(Data!$AG99&gt;0,(Duplicate!$N$23*Data!$AG99)+M156,(Duplicate!$N$24*Data!$AG99)+M156),IF(Data!$AF99&gt;0,(Duplicate!$N$23*Data!$AF99)+M156,(Duplicate!$N$24*Data!$AF99)+M156)),0)</f>
        <v>4997889</v>
      </c>
      <c r="O156" s="143">
        <f>ROUND(IF($E$31="Yes",IF(Data!$AG99&gt;0,(Duplicate!$O$23*Data!$AG99)+N156,(Duplicate!$O$24*Data!$AG99)+N156),IF(Data!$AF99&gt;0,(Duplicate!$O$23*Data!$AF99)+N156,(Duplicate!$O$24*Data!$AF99)+N156)),0)</f>
        <v>4824672</v>
      </c>
      <c r="P156" s="143">
        <f>ROUND(IF($E$31="Yes",IF(Data!$AG99&gt;0,(Duplicate!$P$23*Data!$AG99)+O156,(Duplicate!$P$24*Data!$AG99)+O156),IF(Data!$AF99&gt;0,(Duplicate!$P$23*Data!$AF99)+O156,(Duplicate!$P$24*Data!$AF99)+O156)),0)</f>
        <v>4651455</v>
      </c>
      <c r="Q156" s="143">
        <f>ROUND(IF($E$31="Yes",IF(Data!$AG99&gt;0,(Duplicate!$Q$23*Data!$AG99)+P156,(Duplicate!$Q$24*Data!$AG99)+P156),IF(Data!$AF99&gt;0,(Duplicate!$Q$23*Data!$AF99)+P156,(Duplicate!$Q$24*Data!$AF99)+P156)),0)</f>
        <v>4478238</v>
      </c>
      <c r="R156" s="143">
        <f>ROUND(IF($E$31="Yes",IF(Data!$AG99&gt;0,(Duplicate!$R$23*Data!$AG99)+Q156,(Duplicate!$R$24*Data!$AG99)+Q156),IF(Data!$AF99&gt;0,(Duplicate!$R$23*Data!$AF99)+Q156,(Duplicate!$R$24*Data!$AF99)+Q156)),0)</f>
        <v>4305021</v>
      </c>
      <c r="S156" s="143">
        <f>ROUND(IF($E$31="Yes",IF(Data!$AG99&gt;0,(Duplicate!$S$23*Data!$AG99)+R156,(Duplicate!$S$24*Data!$AG99)+R156),IF(Data!$AF99&gt;0,(Duplicate!$S$23*Data!$AF99)+R156,(Duplicate!$S$24*Data!$AF99)+R156)),0)</f>
        <v>4131804</v>
      </c>
      <c r="T156" s="143">
        <v>5448842</v>
      </c>
      <c r="U156" s="143">
        <v>5206928</v>
      </c>
      <c r="V156" s="143">
        <v>4965014</v>
      </c>
      <c r="W156" s="143">
        <v>4723100</v>
      </c>
      <c r="X156" s="143">
        <v>4481186</v>
      </c>
      <c r="Y156" s="143">
        <v>4239272</v>
      </c>
      <c r="Z156" s="143">
        <v>3997358</v>
      </c>
      <c r="AA156" s="143">
        <v>3755444</v>
      </c>
      <c r="AB156" s="143">
        <v>3513530</v>
      </c>
      <c r="AC156" s="129">
        <f t="shared" si="43"/>
        <v>68698</v>
      </c>
      <c r="AD156" s="129">
        <f t="shared" si="44"/>
        <v>137395</v>
      </c>
      <c r="AE156" s="129">
        <f t="shared" si="45"/>
        <v>206092</v>
      </c>
      <c r="AF156" s="129">
        <f t="shared" si="46"/>
        <v>274789</v>
      </c>
      <c r="AG156" s="129">
        <f t="shared" si="47"/>
        <v>343486</v>
      </c>
      <c r="AH156" s="129">
        <f t="shared" si="48"/>
        <v>412183</v>
      </c>
      <c r="AI156" s="129">
        <f t="shared" si="49"/>
        <v>480880</v>
      </c>
      <c r="AJ156" s="129">
        <f t="shared" si="50"/>
        <v>549577</v>
      </c>
      <c r="AK156" s="129">
        <f t="shared" si="51"/>
        <v>618274</v>
      </c>
      <c r="AL156" s="127">
        <f t="shared" si="52"/>
        <v>1.2607816486512213E-2</v>
      </c>
      <c r="AM156" s="127">
        <f t="shared" si="53"/>
        <v>2.6386959835050572E-2</v>
      </c>
      <c r="AN156" s="127">
        <f t="shared" si="54"/>
        <v>4.1508845695097829E-2</v>
      </c>
      <c r="AO156" s="127">
        <f t="shared" si="55"/>
        <v>5.8179797167114744E-2</v>
      </c>
      <c r="AP156" s="127">
        <f t="shared" si="56"/>
        <v>7.6650690241378161E-2</v>
      </c>
      <c r="AQ156" s="127">
        <f t="shared" si="57"/>
        <v>9.7229665848287183E-2</v>
      </c>
      <c r="AR156" s="127">
        <f t="shared" si="58"/>
        <v>0.12029945779187146</v>
      </c>
      <c r="AS156" s="127">
        <f t="shared" si="59"/>
        <v>0.14634141795217825</v>
      </c>
      <c r="AT156" s="127">
        <f t="shared" si="60"/>
        <v>0.17596946660481061</v>
      </c>
    </row>
    <row r="157" spans="1:46" s="18" customFormat="1" ht="13" x14ac:dyDescent="0.15">
      <c r="A157" s="29" t="s">
        <v>98</v>
      </c>
      <c r="B157" s="30">
        <f>IF(Data!D100=1, MAX(Data!AA100, $E$26) + INDEX(Duplicate!$E$39:$E$43, MATCH( Data!AD100, Duplicate!$B$39:$B$43, 0), 0), MAX(Data!AA100, $E$27) +  INDEX(Duplicate!$E$39:$E$43, MATCH( Data!AD100, Duplicate!$B$39:$B$43, 0), 0))</f>
        <v>0.45510200000000001</v>
      </c>
      <c r="C157" s="128">
        <f>ROUND(Data!R100/13*100, 2)</f>
        <v>0</v>
      </c>
      <c r="D157" s="141">
        <f>ROUND(Data!Q100*C157, 0)</f>
        <v>0</v>
      </c>
      <c r="E157" s="142">
        <f>ROUND($E$22*Data!W100*B157, 0)</f>
        <v>12809935</v>
      </c>
      <c r="F157" s="143">
        <f>IF(E157=0, 0,IF($E$31="Yes", IF(Data!D100=1, MAX(Duplicate!D157+Duplicate!E157, Data!AE100), Duplicate!D157+Duplicate!E157), Duplicate!D157+Duplicate!E157))</f>
        <v>12809935</v>
      </c>
      <c r="G157" s="143">
        <v>13173248</v>
      </c>
      <c r="H157" s="129">
        <f>F157-Data!AL100</f>
        <v>30599</v>
      </c>
      <c r="I157" s="127">
        <f>((F157)/(Data!AL100)) - 1</f>
        <v>2.3944123544445972E-3</v>
      </c>
      <c r="J157" s="127">
        <f t="shared" si="42"/>
        <v>-2.7579606790975153E-2</v>
      </c>
      <c r="K157" s="143">
        <f>ROUND(IF($E$31="Yes",IF(Data!AG100&gt;0,(Duplicate!$K$23*Data!AG100)+Data!AI100,(Duplicate!$K$24*Data!AG100)+Data!AI100),IF(Data!AF100&gt;0,(Duplicate!$K$23*Data!AF100)+Data!AI100,(Duplicate!$K$24*Data!AF100)+Data!AI100)),0)</f>
        <v>12652224</v>
      </c>
      <c r="L157" s="143">
        <f>ROUND(IF($E$31="Yes",IF(Data!$AG100&gt;0,(Duplicate!$L$23*Data!$AG100)+K157,(Duplicate!$L$24*Data!$AG100)+K157),IF(Data!$AF100&gt;0,(Duplicate!$L$23*Data!$AF100)+K157,(Duplicate!$L$24*Data!$AF100)+K157)),0)</f>
        <v>12675709</v>
      </c>
      <c r="M157" s="143">
        <f>ROUND(IF($E$31="Yes",IF(Data!$AG100&gt;0,(Duplicate!$M$23*Data!$AG100)+L157,(Duplicate!$M$24*Data!$AG100)+L157),IF(Data!$AF100&gt;0,(Duplicate!$M$23*Data!$AF100)+L157,(Duplicate!$M$24*Data!$AF100)+L157)),0)</f>
        <v>12699194</v>
      </c>
      <c r="N157" s="143">
        <f>ROUND(IF($E$31="Yes",IF(Data!$AG100&gt;0,(Duplicate!$N$23*Data!$AG100)+M157,(Duplicate!$N$24*Data!$AG100)+M157),IF(Data!$AF100&gt;0,(Duplicate!$N$23*Data!$AF100)+M157,(Duplicate!$N$24*Data!$AF100)+M157)),0)</f>
        <v>12722679</v>
      </c>
      <c r="O157" s="143">
        <f>ROUND(IF($E$31="Yes",IF(Data!$AG100&gt;0,(Duplicate!$O$23*Data!$AG100)+N157,(Duplicate!$O$24*Data!$AG100)+N157),IF(Data!$AF100&gt;0,(Duplicate!$O$23*Data!$AF100)+N157,(Duplicate!$O$24*Data!$AF100)+N157)),0)</f>
        <v>12746164</v>
      </c>
      <c r="P157" s="143">
        <f>ROUND(IF($E$31="Yes",IF(Data!$AG100&gt;0,(Duplicate!$P$23*Data!$AG100)+O157,(Duplicate!$P$24*Data!$AG100)+O157),IF(Data!$AF100&gt;0,(Duplicate!$P$23*Data!$AF100)+O157,(Duplicate!$P$24*Data!$AF100)+O157)),0)</f>
        <v>12769649</v>
      </c>
      <c r="Q157" s="143">
        <f>ROUND(IF($E$31="Yes",IF(Data!$AG100&gt;0,(Duplicate!$Q$23*Data!$AG100)+P157,(Duplicate!$Q$24*Data!$AG100)+P157),IF(Data!$AF100&gt;0,(Duplicate!$Q$23*Data!$AF100)+P157,(Duplicate!$Q$24*Data!$AF100)+P157)),0)</f>
        <v>12793134</v>
      </c>
      <c r="R157" s="143">
        <f>ROUND(IF($E$31="Yes",IF(Data!$AG100&gt;0,(Duplicate!$R$23*Data!$AG100)+Q157,(Duplicate!$R$24*Data!$AG100)+Q157),IF(Data!$AF100&gt;0,(Duplicate!$R$23*Data!$AF100)+Q157,(Duplicate!$R$24*Data!$AF100)+Q157)),0)</f>
        <v>12816619</v>
      </c>
      <c r="S157" s="143">
        <f>ROUND(IF($E$31="Yes",IF(Data!$AG100&gt;0,(Duplicate!$S$23*Data!$AG100)+R157,(Duplicate!$S$24*Data!$AG100)+R157),IF(Data!$AF100&gt;0,(Duplicate!$S$23*Data!$AF100)+R157,(Duplicate!$S$24*Data!$AF100)+R157)),0)</f>
        <v>12840104</v>
      </c>
      <c r="T157" s="143">
        <v>12690954</v>
      </c>
      <c r="U157" s="143">
        <v>12753169</v>
      </c>
      <c r="V157" s="143">
        <v>12815384</v>
      </c>
      <c r="W157" s="143">
        <v>12877599</v>
      </c>
      <c r="X157" s="143">
        <v>12939814</v>
      </c>
      <c r="Y157" s="143">
        <v>13002029</v>
      </c>
      <c r="Z157" s="143">
        <v>13064244</v>
      </c>
      <c r="AA157" s="143">
        <v>13126459</v>
      </c>
      <c r="AB157" s="143">
        <v>13188674</v>
      </c>
      <c r="AC157" s="129">
        <f t="shared" si="43"/>
        <v>-38730</v>
      </c>
      <c r="AD157" s="129">
        <f t="shared" si="44"/>
        <v>-77460</v>
      </c>
      <c r="AE157" s="129">
        <f t="shared" si="45"/>
        <v>-116190</v>
      </c>
      <c r="AF157" s="129">
        <f t="shared" si="46"/>
        <v>-154920</v>
      </c>
      <c r="AG157" s="129">
        <f t="shared" si="47"/>
        <v>-193650</v>
      </c>
      <c r="AH157" s="129">
        <f t="shared" si="48"/>
        <v>-232380</v>
      </c>
      <c r="AI157" s="129">
        <f t="shared" si="49"/>
        <v>-271110</v>
      </c>
      <c r="AJ157" s="129">
        <f t="shared" si="50"/>
        <v>-309840</v>
      </c>
      <c r="AK157" s="129">
        <f t="shared" si="51"/>
        <v>-348570</v>
      </c>
      <c r="AL157" s="127">
        <f t="shared" si="52"/>
        <v>-3.0517800316666177E-3</v>
      </c>
      <c r="AM157" s="127">
        <f t="shared" si="53"/>
        <v>-6.0737844844681588E-3</v>
      </c>
      <c r="AN157" s="127">
        <f t="shared" si="54"/>
        <v>-9.0664470139950604E-3</v>
      </c>
      <c r="AO157" s="127">
        <f t="shared" si="55"/>
        <v>-1.2030192895430281E-2</v>
      </c>
      <c r="AP157" s="127">
        <f t="shared" si="56"/>
        <v>-1.4965439225015142E-2</v>
      </c>
      <c r="AQ157" s="127">
        <f t="shared" si="57"/>
        <v>-1.7872595115731582E-2</v>
      </c>
      <c r="AR157" s="127">
        <f t="shared" si="58"/>
        <v>-2.0752061887392759E-2</v>
      </c>
      <c r="AS157" s="127">
        <f t="shared" si="59"/>
        <v>-2.3604233251328433E-2</v>
      </c>
      <c r="AT157" s="127">
        <f t="shared" si="60"/>
        <v>-2.6429495489842303E-2</v>
      </c>
    </row>
    <row r="158" spans="1:46" s="18" customFormat="1" ht="13" x14ac:dyDescent="0.15">
      <c r="A158" s="29" t="s">
        <v>99</v>
      </c>
      <c r="B158" s="30">
        <f>IF(Data!D101=1, MAX(Data!AA101, $E$26) + INDEX(Duplicate!$E$39:$E$43, MATCH( Data!AD101, Duplicate!$B$39:$B$43, 0), 0), MAX(Data!AA101, $E$27) +  INDEX(Duplicate!$E$39:$E$43, MATCH( Data!AD101, Duplicate!$B$39:$B$43, 0), 0))</f>
        <v>0.01</v>
      </c>
      <c r="C158" s="128">
        <f>ROUND(Data!R101/13*100, 2)</f>
        <v>100</v>
      </c>
      <c r="D158" s="141">
        <f>ROUND(Data!Q101*C158, 0)</f>
        <v>21800</v>
      </c>
      <c r="E158" s="142">
        <f>ROUND($E$22*Data!W101*B158, 0)</f>
        <v>27208</v>
      </c>
      <c r="F158" s="143">
        <f>IF(E158=0, 0,IF($E$31="Yes", IF(Data!D101=1, MAX(Duplicate!D158+Duplicate!E158, Data!AE101), Duplicate!D158+Duplicate!E158), Duplicate!D158+Duplicate!E158))</f>
        <v>49008</v>
      </c>
      <c r="G158" s="143">
        <v>183742</v>
      </c>
      <c r="H158" s="129">
        <f>F158-Data!AL101</f>
        <v>-60921</v>
      </c>
      <c r="I158" s="127">
        <f>((F158)/(Data!AL101)) - 1</f>
        <v>-0.55418497393772337</v>
      </c>
      <c r="J158" s="127">
        <f t="shared" si="42"/>
        <v>-0.73327818353996366</v>
      </c>
      <c r="K158" s="143">
        <f>ROUND(IF($E$31="Yes",IF(Data!AG101&gt;0,(Duplicate!$K$23*Data!AG101)+Data!AI101,(Duplicate!$K$24*Data!AG101)+Data!AI101),IF(Data!AF101&gt;0,(Duplicate!$K$23*Data!AF101)+Data!AI101,(Duplicate!$K$24*Data!AF101)+Data!AI101)),0)</f>
        <v>125515</v>
      </c>
      <c r="L158" s="143">
        <f>ROUND(IF($E$31="Yes",IF(Data!$AG101&gt;0,(Duplicate!$L$23*Data!$AG101)+K158,(Duplicate!$L$24*Data!$AG101)+K158),IF(Data!$AF101&gt;0,(Duplicate!$L$23*Data!$AF101)+K158,(Duplicate!$L$24*Data!$AF101)+K158)),0)</f>
        <v>147734</v>
      </c>
      <c r="M158" s="143">
        <f>ROUND(IF($E$31="Yes",IF(Data!$AG101&gt;0,(Duplicate!$M$23*Data!$AG101)+L158,(Duplicate!$M$24*Data!$AG101)+L158),IF(Data!$AF101&gt;0,(Duplicate!$M$23*Data!$AF101)+L158,(Duplicate!$M$24*Data!$AF101)+L158)),0)</f>
        <v>169953</v>
      </c>
      <c r="N158" s="143">
        <f>ROUND(IF($E$31="Yes",IF(Data!$AG101&gt;0,(Duplicate!$N$23*Data!$AG101)+M158,(Duplicate!$N$24*Data!$AG101)+M158),IF(Data!$AF101&gt;0,(Duplicate!$N$23*Data!$AF101)+M158,(Duplicate!$N$24*Data!$AF101)+M158)),0)</f>
        <v>192172</v>
      </c>
      <c r="O158" s="143">
        <f>ROUND(IF($E$31="Yes",IF(Data!$AG101&gt;0,(Duplicate!$O$23*Data!$AG101)+N158,(Duplicate!$O$24*Data!$AG101)+N158),IF(Data!$AF101&gt;0,(Duplicate!$O$23*Data!$AF101)+N158,(Duplicate!$O$24*Data!$AF101)+N158)),0)</f>
        <v>214391</v>
      </c>
      <c r="P158" s="143">
        <f>ROUND(IF($E$31="Yes",IF(Data!$AG101&gt;0,(Duplicate!$P$23*Data!$AG101)+O158,(Duplicate!$P$24*Data!$AG101)+O158),IF(Data!$AF101&gt;0,(Duplicate!$P$23*Data!$AF101)+O158,(Duplicate!$P$24*Data!$AF101)+O158)),0)</f>
        <v>236610</v>
      </c>
      <c r="Q158" s="143">
        <f>ROUND(IF($E$31="Yes",IF(Data!$AG101&gt;0,(Duplicate!$Q$23*Data!$AG101)+P158,(Duplicate!$Q$24*Data!$AG101)+P158),IF(Data!$AF101&gt;0,(Duplicate!$Q$23*Data!$AF101)+P158,(Duplicate!$Q$24*Data!$AF101)+P158)),0)</f>
        <v>258829</v>
      </c>
      <c r="R158" s="143">
        <f>ROUND(IF($E$31="Yes",IF(Data!$AG101&gt;0,(Duplicate!$R$23*Data!$AG101)+Q158,(Duplicate!$R$24*Data!$AG101)+Q158),IF(Data!$AF101&gt;0,(Duplicate!$R$23*Data!$AF101)+Q158,(Duplicate!$R$24*Data!$AF101)+Q158)),0)</f>
        <v>281048</v>
      </c>
      <c r="S158" s="143">
        <f>ROUND(IF($E$31="Yes",IF(Data!$AG101&gt;0,(Duplicate!$S$23*Data!$AG101)+R158,(Duplicate!$S$24*Data!$AG101)+R158),IF(Data!$AF101&gt;0,(Duplicate!$S$23*Data!$AF101)+R158,(Duplicate!$S$24*Data!$AF101)+R158)),0)</f>
        <v>303267</v>
      </c>
      <c r="T158" s="143">
        <v>111991</v>
      </c>
      <c r="U158" s="143">
        <v>120686</v>
      </c>
      <c r="V158" s="143">
        <v>129381</v>
      </c>
      <c r="W158" s="143">
        <v>138076</v>
      </c>
      <c r="X158" s="143">
        <v>146771</v>
      </c>
      <c r="Y158" s="143">
        <v>155466</v>
      </c>
      <c r="Z158" s="143">
        <v>164161</v>
      </c>
      <c r="AA158" s="143">
        <v>172856</v>
      </c>
      <c r="AB158" s="143">
        <v>181551</v>
      </c>
      <c r="AC158" s="129">
        <f t="shared" si="43"/>
        <v>13524</v>
      </c>
      <c r="AD158" s="129">
        <f t="shared" si="44"/>
        <v>27048</v>
      </c>
      <c r="AE158" s="129">
        <f t="shared" si="45"/>
        <v>40572</v>
      </c>
      <c r="AF158" s="129">
        <f t="shared" si="46"/>
        <v>54096</v>
      </c>
      <c r="AG158" s="129">
        <f t="shared" si="47"/>
        <v>67620</v>
      </c>
      <c r="AH158" s="129">
        <f t="shared" si="48"/>
        <v>81144</v>
      </c>
      <c r="AI158" s="129">
        <f t="shared" si="49"/>
        <v>94668</v>
      </c>
      <c r="AJ158" s="129">
        <f t="shared" si="50"/>
        <v>108192</v>
      </c>
      <c r="AK158" s="129">
        <f t="shared" si="51"/>
        <v>121716</v>
      </c>
      <c r="AL158" s="127">
        <f t="shared" si="52"/>
        <v>0.12075970390477808</v>
      </c>
      <c r="AM158" s="127">
        <f t="shared" si="53"/>
        <v>0.2241187875975672</v>
      </c>
      <c r="AN158" s="127">
        <f t="shared" si="54"/>
        <v>0.31358545690634632</v>
      </c>
      <c r="AO158" s="127">
        <f t="shared" si="55"/>
        <v>0.3917842347692575</v>
      </c>
      <c r="AP158" s="127">
        <f t="shared" si="56"/>
        <v>0.46071771671515482</v>
      </c>
      <c r="AQ158" s="127">
        <f t="shared" si="57"/>
        <v>0.52194048859557718</v>
      </c>
      <c r="AR158" s="127">
        <f t="shared" si="58"/>
        <v>0.5766777736490396</v>
      </c>
      <c r="AS158" s="127">
        <f t="shared" si="59"/>
        <v>0.62590827046790398</v>
      </c>
      <c r="AT158" s="127">
        <f t="shared" si="60"/>
        <v>0.67042318687311009</v>
      </c>
    </row>
    <row r="159" spans="1:46" s="18" customFormat="1" ht="13" x14ac:dyDescent="0.15">
      <c r="A159" s="29" t="s">
        <v>100</v>
      </c>
      <c r="B159" s="30">
        <f>IF(Data!D102=1, MAX(Data!AA102, $E$26) + INDEX(Duplicate!$E$39:$E$43, MATCH( Data!AD102, Duplicate!$B$39:$B$43, 0), 0), MAX(Data!AA102, $E$27) +  INDEX(Duplicate!$E$39:$E$43, MATCH( Data!AD102, Duplicate!$B$39:$B$43, 0), 0))</f>
        <v>0.58776200000000001</v>
      </c>
      <c r="C159" s="128">
        <f>ROUND(Data!R102/13*100, 2)</f>
        <v>0</v>
      </c>
      <c r="D159" s="141">
        <f>ROUND(Data!Q102*C159, 0)</f>
        <v>0</v>
      </c>
      <c r="E159" s="142">
        <f>ROUND($E$22*Data!W102*B159, 0)</f>
        <v>36523686</v>
      </c>
      <c r="F159" s="143">
        <f>IF(E159=0, 0,IF($E$31="Yes", IF(Data!D102=1, MAX(Duplicate!D159+Duplicate!E159, Data!AE102), Duplicate!D159+Duplicate!E159), Duplicate!D159+Duplicate!E159))</f>
        <v>36523686</v>
      </c>
      <c r="G159" s="143">
        <v>36954180</v>
      </c>
      <c r="H159" s="129">
        <f>F159-Data!AL102</f>
        <v>4486383</v>
      </c>
      <c r="I159" s="127">
        <f>((F159)/(Data!AL102)) - 1</f>
        <v>0.14003622589579412</v>
      </c>
      <c r="J159" s="127">
        <f t="shared" si="42"/>
        <v>-1.1649399337233302E-2</v>
      </c>
      <c r="K159" s="143">
        <f>ROUND(IF($E$31="Yes",IF(Data!AG102&gt;0,(Duplicate!$K$23*Data!AG102)+Data!AI102,(Duplicate!$K$24*Data!AG102)+Data!AI102),IF(Data!AF102&gt;0,(Duplicate!$K$23*Data!AF102)+Data!AI102,(Duplicate!$K$24*Data!AF102)+Data!AI102)),0)</f>
        <v>31181646</v>
      </c>
      <c r="L159" s="143">
        <f>ROUND(IF($E$31="Yes",IF(Data!$AG102&gt;0,(Duplicate!$L$23*Data!$AG102)+K159,(Duplicate!$L$24*Data!$AG102)+K159),IF(Data!$AF102&gt;0,(Duplicate!$L$23*Data!$AF102)+K159,(Duplicate!$L$24*Data!$AF102)+K159)),0)</f>
        <v>31847182</v>
      </c>
      <c r="M159" s="143">
        <f>ROUND(IF($E$31="Yes",IF(Data!$AG102&gt;0,(Duplicate!$M$23*Data!$AG102)+L159,(Duplicate!$M$24*Data!$AG102)+L159),IF(Data!$AF102&gt;0,(Duplicate!$M$23*Data!$AF102)+L159,(Duplicate!$M$24*Data!$AF102)+L159)),0)</f>
        <v>32512718</v>
      </c>
      <c r="N159" s="143">
        <f>ROUND(IF($E$31="Yes",IF(Data!$AG102&gt;0,(Duplicate!$N$23*Data!$AG102)+M159,(Duplicate!$N$24*Data!$AG102)+M159),IF(Data!$AF102&gt;0,(Duplicate!$N$23*Data!$AF102)+M159,(Duplicate!$N$24*Data!$AF102)+M159)),0)</f>
        <v>33178254</v>
      </c>
      <c r="O159" s="143">
        <f>ROUND(IF($E$31="Yes",IF(Data!$AG102&gt;0,(Duplicate!$O$23*Data!$AG102)+N159,(Duplicate!$O$24*Data!$AG102)+N159),IF(Data!$AF102&gt;0,(Duplicate!$O$23*Data!$AF102)+N159,(Duplicate!$O$24*Data!$AF102)+N159)),0)</f>
        <v>33843790</v>
      </c>
      <c r="P159" s="143">
        <f>ROUND(IF($E$31="Yes",IF(Data!$AG102&gt;0,(Duplicate!$P$23*Data!$AG102)+O159,(Duplicate!$P$24*Data!$AG102)+O159),IF(Data!$AF102&gt;0,(Duplicate!$P$23*Data!$AF102)+O159,(Duplicate!$P$24*Data!$AF102)+O159)),0)</f>
        <v>34509326</v>
      </c>
      <c r="Q159" s="143">
        <f>ROUND(IF($E$31="Yes",IF(Data!$AG102&gt;0,(Duplicate!$Q$23*Data!$AG102)+P159,(Duplicate!$Q$24*Data!$AG102)+P159),IF(Data!$AF102&gt;0,(Duplicate!$Q$23*Data!$AF102)+P159,(Duplicate!$Q$24*Data!$AF102)+P159)),0)</f>
        <v>35174862</v>
      </c>
      <c r="R159" s="143">
        <f>ROUND(IF($E$31="Yes",IF(Data!$AG102&gt;0,(Duplicate!$R$23*Data!$AG102)+Q159,(Duplicate!$R$24*Data!$AG102)+Q159),IF(Data!$AF102&gt;0,(Duplicate!$R$23*Data!$AF102)+Q159,(Duplicate!$R$24*Data!$AF102)+Q159)),0)</f>
        <v>35840398</v>
      </c>
      <c r="S159" s="143">
        <f>ROUND(IF($E$31="Yes",IF(Data!$AG102&gt;0,(Duplicate!$S$23*Data!$AG102)+R159,(Duplicate!$S$24*Data!$AG102)+R159),IF(Data!$AF102&gt;0,(Duplicate!$S$23*Data!$AF102)+R159,(Duplicate!$S$24*Data!$AF102)+R159)),0)</f>
        <v>36505934</v>
      </c>
      <c r="T159" s="143">
        <v>31227536</v>
      </c>
      <c r="U159" s="143">
        <v>31938963</v>
      </c>
      <c r="V159" s="143">
        <v>32650390</v>
      </c>
      <c r="W159" s="143">
        <v>33361817</v>
      </c>
      <c r="X159" s="143">
        <v>34073244</v>
      </c>
      <c r="Y159" s="143">
        <v>34784671</v>
      </c>
      <c r="Z159" s="143">
        <v>35496098</v>
      </c>
      <c r="AA159" s="143">
        <v>36207525</v>
      </c>
      <c r="AB159" s="143">
        <v>36918952</v>
      </c>
      <c r="AC159" s="129">
        <f t="shared" si="43"/>
        <v>-45890</v>
      </c>
      <c r="AD159" s="129">
        <f t="shared" si="44"/>
        <v>-91781</v>
      </c>
      <c r="AE159" s="129">
        <f t="shared" si="45"/>
        <v>-137672</v>
      </c>
      <c r="AF159" s="129">
        <f t="shared" si="46"/>
        <v>-183563</v>
      </c>
      <c r="AG159" s="129">
        <f t="shared" si="47"/>
        <v>-229454</v>
      </c>
      <c r="AH159" s="129">
        <f t="shared" si="48"/>
        <v>-275345</v>
      </c>
      <c r="AI159" s="129">
        <f t="shared" si="49"/>
        <v>-321236</v>
      </c>
      <c r="AJ159" s="129">
        <f t="shared" si="50"/>
        <v>-367127</v>
      </c>
      <c r="AK159" s="129">
        <f t="shared" si="51"/>
        <v>-413018</v>
      </c>
      <c r="AL159" s="127">
        <f t="shared" si="52"/>
        <v>-1.4695363732828426E-3</v>
      </c>
      <c r="AM159" s="127">
        <f t="shared" si="53"/>
        <v>-2.8736374440209156E-3</v>
      </c>
      <c r="AN159" s="127">
        <f t="shared" si="54"/>
        <v>-4.2165499401385365E-3</v>
      </c>
      <c r="AO159" s="127">
        <f t="shared" si="55"/>
        <v>-5.5021883250543357E-3</v>
      </c>
      <c r="AP159" s="127">
        <f t="shared" si="56"/>
        <v>-6.7341401364660047E-3</v>
      </c>
      <c r="AQ159" s="127">
        <f t="shared" si="57"/>
        <v>-7.9156994182868479E-3</v>
      </c>
      <c r="AR159" s="127">
        <f t="shared" si="58"/>
        <v>-9.049896132245272E-3</v>
      </c>
      <c r="AS159" s="127">
        <f t="shared" si="59"/>
        <v>-1.0139522102104448E-2</v>
      </c>
      <c r="AT159" s="127">
        <f t="shared" si="60"/>
        <v>-1.1187153958216345E-2</v>
      </c>
    </row>
    <row r="160" spans="1:46" s="18" customFormat="1" ht="13" x14ac:dyDescent="0.15">
      <c r="A160" s="29" t="s">
        <v>101</v>
      </c>
      <c r="B160" s="30">
        <f>IF(Data!D103=1, MAX(Data!AA103, $E$26) + INDEX(Duplicate!$E$39:$E$43, MATCH( Data!AD103, Duplicate!$B$39:$B$43, 0), 0), MAX(Data!AA103, $E$27) +  INDEX(Duplicate!$E$39:$E$43, MATCH( Data!AD103, Duplicate!$B$39:$B$43, 0), 0))</f>
        <v>0.7491890000000001</v>
      </c>
      <c r="C160" s="128">
        <f>ROUND(Data!R103/13*100, 2)</f>
        <v>0</v>
      </c>
      <c r="D160" s="141">
        <f>ROUND(Data!Q103*C160, 0)</f>
        <v>0</v>
      </c>
      <c r="E160" s="142">
        <f>ROUND($E$22*Data!W103*B160, 0)</f>
        <v>122892070</v>
      </c>
      <c r="F160" s="143">
        <f>IF(E160=0, 0,IF($E$31="Yes", IF(Data!D103=1, MAX(Duplicate!D160+Duplicate!E160, Data!AE103), Duplicate!D160+Duplicate!E160), Duplicate!D160+Duplicate!E160))</f>
        <v>122892070</v>
      </c>
      <c r="G160" s="143">
        <v>124404924</v>
      </c>
      <c r="H160" s="129">
        <f>F160-Data!AL103</f>
        <v>27115687</v>
      </c>
      <c r="I160" s="127">
        <f>((F160)/(Data!AL103)) - 1</f>
        <v>0.28311454401029112</v>
      </c>
      <c r="J160" s="127">
        <f t="shared" si="42"/>
        <v>-1.216072444206473E-2</v>
      </c>
      <c r="K160" s="143">
        <f>ROUND(IF($E$31="Yes",IF(Data!AG103&gt;0,(Duplicate!$K$23*Data!AG103)+Data!AI103,(Duplicate!$K$24*Data!AG103)+Data!AI103),IF(Data!AF103&gt;0,(Duplicate!$K$23*Data!AF103)+Data!AI103,(Duplicate!$K$24*Data!AF103)+Data!AI103)),0)</f>
        <v>91696639</v>
      </c>
      <c r="L160" s="143">
        <f>ROUND(IF($E$31="Yes",IF(Data!$AG103&gt;0,(Duplicate!$L$23*Data!$AG103)+K160,(Duplicate!$L$24*Data!$AG103)+K160),IF(Data!$AF103&gt;0,(Duplicate!$L$23*Data!$AF103)+K160,(Duplicate!$L$24*Data!$AF103)+K160)),0)</f>
        <v>95608518</v>
      </c>
      <c r="M160" s="143">
        <f>ROUND(IF($E$31="Yes",IF(Data!$AG103&gt;0,(Duplicate!$M$23*Data!$AG103)+L160,(Duplicate!$M$24*Data!$AG103)+L160),IF(Data!$AF103&gt;0,(Duplicate!$M$23*Data!$AF103)+L160,(Duplicate!$M$24*Data!$AF103)+L160)),0)</f>
        <v>99520397</v>
      </c>
      <c r="N160" s="143">
        <f>ROUND(IF($E$31="Yes",IF(Data!$AG103&gt;0,(Duplicate!$N$23*Data!$AG103)+M160,(Duplicate!$N$24*Data!$AG103)+M160),IF(Data!$AF103&gt;0,(Duplicate!$N$23*Data!$AF103)+M160,(Duplicate!$N$24*Data!$AF103)+M160)),0)</f>
        <v>103432276</v>
      </c>
      <c r="O160" s="143">
        <f>ROUND(IF($E$31="Yes",IF(Data!$AG103&gt;0,(Duplicate!$O$23*Data!$AG103)+N160,(Duplicate!$O$24*Data!$AG103)+N160),IF(Data!$AF103&gt;0,(Duplicate!$O$23*Data!$AF103)+N160,(Duplicate!$O$24*Data!$AF103)+N160)),0)</f>
        <v>107344155</v>
      </c>
      <c r="P160" s="143">
        <f>ROUND(IF($E$31="Yes",IF(Data!$AG103&gt;0,(Duplicate!$P$23*Data!$AG103)+O160,(Duplicate!$P$24*Data!$AG103)+O160),IF(Data!$AF103&gt;0,(Duplicate!$P$23*Data!$AF103)+O160,(Duplicate!$P$24*Data!$AF103)+O160)),0)</f>
        <v>111256034</v>
      </c>
      <c r="Q160" s="143">
        <f>ROUND(IF($E$31="Yes",IF(Data!$AG103&gt;0,(Duplicate!$Q$23*Data!$AG103)+P160,(Duplicate!$Q$24*Data!$AG103)+P160),IF(Data!$AF103&gt;0,(Duplicate!$Q$23*Data!$AF103)+P160,(Duplicate!$Q$24*Data!$AF103)+P160)),0)</f>
        <v>115167913</v>
      </c>
      <c r="R160" s="143">
        <f>ROUND(IF($E$31="Yes",IF(Data!$AG103&gt;0,(Duplicate!$R$23*Data!$AG103)+Q160,(Duplicate!$R$24*Data!$AG103)+Q160),IF(Data!$AF103&gt;0,(Duplicate!$R$23*Data!$AF103)+Q160,(Duplicate!$R$24*Data!$AF103)+Q160)),0)</f>
        <v>119079792</v>
      </c>
      <c r="S160" s="143">
        <f>ROUND(IF($E$31="Yes",IF(Data!$AG103&gt;0,(Duplicate!$S$23*Data!$AG103)+R160,(Duplicate!$S$24*Data!$AG103)+R160),IF(Data!$AF103&gt;0,(Duplicate!$S$23*Data!$AF103)+R160,(Duplicate!$S$24*Data!$AF103)+R160)),0)</f>
        <v>122991671</v>
      </c>
      <c r="T160" s="143">
        <v>91857909</v>
      </c>
      <c r="U160" s="143">
        <v>95931058</v>
      </c>
      <c r="V160" s="143">
        <v>100004207</v>
      </c>
      <c r="W160" s="143">
        <v>104077356</v>
      </c>
      <c r="X160" s="143">
        <v>108150505</v>
      </c>
      <c r="Y160" s="143">
        <v>112223654</v>
      </c>
      <c r="Z160" s="143">
        <v>116296803</v>
      </c>
      <c r="AA160" s="143">
        <v>120369952</v>
      </c>
      <c r="AB160" s="143">
        <v>124443101</v>
      </c>
      <c r="AC160" s="129">
        <f t="shared" si="43"/>
        <v>-161270</v>
      </c>
      <c r="AD160" s="129">
        <f t="shared" si="44"/>
        <v>-322540</v>
      </c>
      <c r="AE160" s="129">
        <f t="shared" si="45"/>
        <v>-483810</v>
      </c>
      <c r="AF160" s="129">
        <f t="shared" si="46"/>
        <v>-645080</v>
      </c>
      <c r="AG160" s="129">
        <f t="shared" si="47"/>
        <v>-806350</v>
      </c>
      <c r="AH160" s="129">
        <f t="shared" si="48"/>
        <v>-967620</v>
      </c>
      <c r="AI160" s="129">
        <f t="shared" si="49"/>
        <v>-1128890</v>
      </c>
      <c r="AJ160" s="129">
        <f t="shared" si="50"/>
        <v>-1290160</v>
      </c>
      <c r="AK160" s="129">
        <f t="shared" si="51"/>
        <v>-1451430</v>
      </c>
      <c r="AL160" s="127">
        <f t="shared" si="52"/>
        <v>-1.7556463211022555E-3</v>
      </c>
      <c r="AM160" s="127">
        <f t="shared" si="53"/>
        <v>-3.3622062210550974E-3</v>
      </c>
      <c r="AN160" s="127">
        <f t="shared" si="54"/>
        <v>-4.8378964696955684E-3</v>
      </c>
      <c r="AO160" s="127">
        <f t="shared" si="55"/>
        <v>-6.1980821265290587E-3</v>
      </c>
      <c r="AP160" s="127">
        <f t="shared" si="56"/>
        <v>-7.4558135442825968E-3</v>
      </c>
      <c r="AQ160" s="127">
        <f t="shared" si="57"/>
        <v>-8.6222464294380963E-3</v>
      </c>
      <c r="AR160" s="127">
        <f t="shared" si="58"/>
        <v>-9.7069736302209941E-3</v>
      </c>
      <c r="AS160" s="127">
        <f t="shared" si="59"/>
        <v>-1.0718289561168937E-2</v>
      </c>
      <c r="AT160" s="127">
        <f t="shared" si="60"/>
        <v>-1.166340269839472E-2</v>
      </c>
    </row>
    <row r="161" spans="1:46" s="18" customFormat="1" ht="13" x14ac:dyDescent="0.15">
      <c r="A161" s="29" t="s">
        <v>102</v>
      </c>
      <c r="B161" s="30">
        <f>IF(Data!D104=1, MAX(Data!AA104, $E$26) + INDEX(Duplicate!$E$39:$E$43, MATCH( Data!AD104, Duplicate!$B$39:$B$43, 0), 0), MAX(Data!AA104, $E$27) +  INDEX(Duplicate!$E$39:$E$43, MATCH( Data!AD104, Duplicate!$B$39:$B$43, 0), 0))</f>
        <v>0.01</v>
      </c>
      <c r="C161" s="128">
        <f>ROUND(Data!R104/13*100, 2)</f>
        <v>0</v>
      </c>
      <c r="D161" s="141">
        <f>ROUND(Data!Q104*C161, 0)</f>
        <v>0</v>
      </c>
      <c r="E161" s="142">
        <f>ROUND($E$22*Data!W104*B161, 0)</f>
        <v>488604</v>
      </c>
      <c r="F161" s="143">
        <f>IF(E161=0, 0,IF($E$31="Yes", IF(Data!D104=1, MAX(Duplicate!D161+Duplicate!E161, Data!AE104), Duplicate!D161+Duplicate!E161), Duplicate!D161+Duplicate!E161))</f>
        <v>488604</v>
      </c>
      <c r="G161" s="143">
        <v>484269</v>
      </c>
      <c r="H161" s="129">
        <f>F161-Data!AL104</f>
        <v>111238</v>
      </c>
      <c r="I161" s="127">
        <f>((F161)/(Data!AL104)) - 1</f>
        <v>0.29477483398080384</v>
      </c>
      <c r="J161" s="127">
        <f t="shared" si="42"/>
        <v>8.9516363839106106E-3</v>
      </c>
      <c r="K161" s="143">
        <f>ROUND(IF($E$31="Yes",IF(Data!AG104&gt;0,(Duplicate!$K$23*Data!AG104)+Data!AI104,(Duplicate!$K$24*Data!AG104)+Data!AI104),IF(Data!AF104&gt;0,(Duplicate!$K$23*Data!AF104)+Data!AI104,(Duplicate!$K$24*Data!AF104)+Data!AI104)),0)</f>
        <v>361807</v>
      </c>
      <c r="L161" s="143">
        <f>ROUND(IF($E$31="Yes",IF(Data!$AG104&gt;0,(Duplicate!$L$23*Data!$AG104)+K161,(Duplicate!$L$24*Data!$AG104)+K161),IF(Data!$AF104&gt;0,(Duplicate!$L$23*Data!$AF104)+K161,(Duplicate!$L$24*Data!$AF104)+K161)),0)</f>
        <v>377692</v>
      </c>
      <c r="M161" s="143">
        <f>ROUND(IF($E$31="Yes",IF(Data!$AG104&gt;0,(Duplicate!$M$23*Data!$AG104)+L161,(Duplicate!$M$24*Data!$AG104)+L161),IF(Data!$AF104&gt;0,(Duplicate!$M$23*Data!$AF104)+L161,(Duplicate!$M$24*Data!$AF104)+L161)),0)</f>
        <v>393577</v>
      </c>
      <c r="N161" s="143">
        <f>ROUND(IF($E$31="Yes",IF(Data!$AG104&gt;0,(Duplicate!$N$23*Data!$AG104)+M161,(Duplicate!$N$24*Data!$AG104)+M161),IF(Data!$AF104&gt;0,(Duplicate!$N$23*Data!$AF104)+M161,(Duplicate!$N$24*Data!$AF104)+M161)),0)</f>
        <v>409462</v>
      </c>
      <c r="O161" s="143">
        <f>ROUND(IF($E$31="Yes",IF(Data!$AG104&gt;0,(Duplicate!$O$23*Data!$AG104)+N161,(Duplicate!$O$24*Data!$AG104)+N161),IF(Data!$AF104&gt;0,(Duplicate!$O$23*Data!$AF104)+N161,(Duplicate!$O$24*Data!$AF104)+N161)),0)</f>
        <v>425347</v>
      </c>
      <c r="P161" s="143">
        <f>ROUND(IF($E$31="Yes",IF(Data!$AG104&gt;0,(Duplicate!$P$23*Data!$AG104)+O161,(Duplicate!$P$24*Data!$AG104)+O161),IF(Data!$AF104&gt;0,(Duplicate!$P$23*Data!$AF104)+O161,(Duplicate!$P$24*Data!$AF104)+O161)),0)</f>
        <v>441232</v>
      </c>
      <c r="Q161" s="143">
        <f>ROUND(IF($E$31="Yes",IF(Data!$AG104&gt;0,(Duplicate!$Q$23*Data!$AG104)+P161,(Duplicate!$Q$24*Data!$AG104)+P161),IF(Data!$AF104&gt;0,(Duplicate!$Q$23*Data!$AF104)+P161,(Duplicate!$Q$24*Data!$AF104)+P161)),0)</f>
        <v>457117</v>
      </c>
      <c r="R161" s="143">
        <f>ROUND(IF($E$31="Yes",IF(Data!$AG104&gt;0,(Duplicate!$R$23*Data!$AG104)+Q161,(Duplicate!$R$24*Data!$AG104)+Q161),IF(Data!$AF104&gt;0,(Duplicate!$R$23*Data!$AF104)+Q161,(Duplicate!$R$24*Data!$AF104)+Q161)),0)</f>
        <v>473002</v>
      </c>
      <c r="S161" s="143">
        <f>ROUND(IF($E$31="Yes",IF(Data!$AG104&gt;0,(Duplicate!$S$23*Data!$AG104)+R161,(Duplicate!$S$24*Data!$AG104)+R161),IF(Data!$AF104&gt;0,(Duplicate!$S$23*Data!$AF104)+R161,(Duplicate!$S$24*Data!$AF104)+R161)),0)</f>
        <v>488887</v>
      </c>
      <c r="T161" s="143">
        <v>361345</v>
      </c>
      <c r="U161" s="143">
        <v>376768</v>
      </c>
      <c r="V161" s="143">
        <v>392191</v>
      </c>
      <c r="W161" s="143">
        <v>407614</v>
      </c>
      <c r="X161" s="143">
        <v>423037</v>
      </c>
      <c r="Y161" s="143">
        <v>438460</v>
      </c>
      <c r="Z161" s="143">
        <v>453883</v>
      </c>
      <c r="AA161" s="143">
        <v>469306</v>
      </c>
      <c r="AB161" s="143">
        <v>484729</v>
      </c>
      <c r="AC161" s="129">
        <f t="shared" si="43"/>
        <v>462</v>
      </c>
      <c r="AD161" s="129">
        <f t="shared" si="44"/>
        <v>924</v>
      </c>
      <c r="AE161" s="129">
        <f t="shared" si="45"/>
        <v>1386</v>
      </c>
      <c r="AF161" s="129">
        <f t="shared" si="46"/>
        <v>1848</v>
      </c>
      <c r="AG161" s="129">
        <f t="shared" si="47"/>
        <v>2310</v>
      </c>
      <c r="AH161" s="129">
        <f t="shared" si="48"/>
        <v>2772</v>
      </c>
      <c r="AI161" s="129">
        <f t="shared" si="49"/>
        <v>3234</v>
      </c>
      <c r="AJ161" s="129">
        <f t="shared" si="50"/>
        <v>3696</v>
      </c>
      <c r="AK161" s="129">
        <f t="shared" si="51"/>
        <v>4158</v>
      </c>
      <c r="AL161" s="127">
        <f t="shared" si="52"/>
        <v>1.2785565041719682E-3</v>
      </c>
      <c r="AM161" s="127">
        <f t="shared" si="53"/>
        <v>2.4524375743162352E-3</v>
      </c>
      <c r="AN161" s="127">
        <f t="shared" si="54"/>
        <v>3.5339923659645223E-3</v>
      </c>
      <c r="AO161" s="127">
        <f t="shared" si="55"/>
        <v>4.5337010014376844E-3</v>
      </c>
      <c r="AP161" s="127">
        <f t="shared" si="56"/>
        <v>5.4605152740776486E-3</v>
      </c>
      <c r="AQ161" s="127">
        <f t="shared" si="57"/>
        <v>6.3221274460611987E-3</v>
      </c>
      <c r="AR161" s="127">
        <f t="shared" si="58"/>
        <v>7.1251842435164914E-3</v>
      </c>
      <c r="AS161" s="127">
        <f t="shared" si="59"/>
        <v>7.8754586559728335E-3</v>
      </c>
      <c r="AT161" s="127">
        <f t="shared" si="60"/>
        <v>8.5779889381489838E-3</v>
      </c>
    </row>
    <row r="162" spans="1:46" s="18" customFormat="1" ht="13" x14ac:dyDescent="0.15">
      <c r="A162" s="29" t="s">
        <v>103</v>
      </c>
      <c r="B162" s="30">
        <f>IF(Data!D105=1, MAX(Data!AA105, $E$26) + INDEX(Duplicate!$E$39:$E$43, MATCH( Data!AD105, Duplicate!$B$39:$B$43, 0), 0), MAX(Data!AA105, $E$27) +  INDEX(Duplicate!$E$39:$E$43, MATCH( Data!AD105, Duplicate!$B$39:$B$43, 0), 0))</f>
        <v>8.3495E-2</v>
      </c>
      <c r="C162" s="128">
        <f>ROUND(Data!R105/13*100, 2)</f>
        <v>0</v>
      </c>
      <c r="D162" s="141">
        <f>ROUND(Data!Q105*C162, 0)</f>
        <v>0</v>
      </c>
      <c r="E162" s="142">
        <f>ROUND($E$22*Data!W105*B162, 0)</f>
        <v>2075522</v>
      </c>
      <c r="F162" s="143">
        <f>IF(E162=0, 0,IF($E$31="Yes", IF(Data!D105=1, MAX(Duplicate!D162+Duplicate!E162, Data!AE105), Duplicate!D162+Duplicate!E162), Duplicate!D162+Duplicate!E162))</f>
        <v>2075522</v>
      </c>
      <c r="G162" s="143">
        <v>2430131</v>
      </c>
      <c r="H162" s="129">
        <f>F162-Data!AL105</f>
        <v>-1405598</v>
      </c>
      <c r="I162" s="127">
        <f>((F162)/(Data!AL105)) - 1</f>
        <v>-0.40377751987865973</v>
      </c>
      <c r="J162" s="127">
        <f t="shared" si="42"/>
        <v>-0.14592176306544791</v>
      </c>
      <c r="K162" s="143">
        <f>ROUND(IF($E$31="Yes",IF(Data!AG105&gt;0,(Duplicate!$K$23*Data!AG105)+Data!AI105,(Duplicate!$K$24*Data!AG105)+Data!AI105),IF(Data!AF105&gt;0,(Duplicate!$K$23*Data!AF105)+Data!AI105,(Duplicate!$K$24*Data!AF105)+Data!AI105)),0)</f>
        <v>3652919</v>
      </c>
      <c r="L162" s="143">
        <f>ROUND(IF($E$31="Yes",IF(Data!$AG105&gt;0,(Duplicate!$L$23*Data!$AG105)+K162,(Duplicate!$L$24*Data!$AG105)+K162),IF(Data!$AF105&gt;0,(Duplicate!$L$23*Data!$AF105)+K162,(Duplicate!$L$24*Data!$AF105)+K162)),0)</f>
        <v>3464407</v>
      </c>
      <c r="M162" s="143">
        <f>ROUND(IF($E$31="Yes",IF(Data!$AG105&gt;0,(Duplicate!$M$23*Data!$AG105)+L162,(Duplicate!$M$24*Data!$AG105)+L162),IF(Data!$AF105&gt;0,(Duplicate!$M$23*Data!$AF105)+L162,(Duplicate!$M$24*Data!$AF105)+L162)),0)</f>
        <v>3275895</v>
      </c>
      <c r="N162" s="143">
        <f>ROUND(IF($E$31="Yes",IF(Data!$AG105&gt;0,(Duplicate!$N$23*Data!$AG105)+M162,(Duplicate!$N$24*Data!$AG105)+M162),IF(Data!$AF105&gt;0,(Duplicate!$N$23*Data!$AF105)+M162,(Duplicate!$N$24*Data!$AF105)+M162)),0)</f>
        <v>3087383</v>
      </c>
      <c r="O162" s="143">
        <f>ROUND(IF($E$31="Yes",IF(Data!$AG105&gt;0,(Duplicate!$O$23*Data!$AG105)+N162,(Duplicate!$O$24*Data!$AG105)+N162),IF(Data!$AF105&gt;0,(Duplicate!$O$23*Data!$AF105)+N162,(Duplicate!$O$24*Data!$AF105)+N162)),0)</f>
        <v>2898871</v>
      </c>
      <c r="P162" s="143">
        <f>ROUND(IF($E$31="Yes",IF(Data!$AG105&gt;0,(Duplicate!$P$23*Data!$AG105)+O162,(Duplicate!$P$24*Data!$AG105)+O162),IF(Data!$AF105&gt;0,(Duplicate!$P$23*Data!$AF105)+O162,(Duplicate!$P$24*Data!$AF105)+O162)),0)</f>
        <v>2710359</v>
      </c>
      <c r="Q162" s="143">
        <f>ROUND(IF($E$31="Yes",IF(Data!$AG105&gt;0,(Duplicate!$Q$23*Data!$AG105)+P162,(Duplicate!$Q$24*Data!$AG105)+P162),IF(Data!$AF105&gt;0,(Duplicate!$Q$23*Data!$AF105)+P162,(Duplicate!$Q$24*Data!$AF105)+P162)),0)</f>
        <v>2521847</v>
      </c>
      <c r="R162" s="143">
        <f>ROUND(IF($E$31="Yes",IF(Data!$AG105&gt;0,(Duplicate!$R$23*Data!$AG105)+Q162,(Duplicate!$R$24*Data!$AG105)+Q162),IF(Data!$AF105&gt;0,(Duplicate!$R$23*Data!$AF105)+Q162,(Duplicate!$R$24*Data!$AF105)+Q162)),0)</f>
        <v>2333335</v>
      </c>
      <c r="S162" s="143">
        <f>ROUND(IF($E$31="Yes",IF(Data!$AG105&gt;0,(Duplicate!$S$23*Data!$AG105)+R162,(Duplicate!$S$24*Data!$AG105)+R162),IF(Data!$AF105&gt;0,(Duplicate!$S$23*Data!$AF105)+R162,(Duplicate!$S$24*Data!$AF105)+R162)),0)</f>
        <v>2144823</v>
      </c>
      <c r="T162" s="143">
        <v>3682458</v>
      </c>
      <c r="U162" s="143">
        <v>3523485</v>
      </c>
      <c r="V162" s="143">
        <v>3364512</v>
      </c>
      <c r="W162" s="143">
        <v>3205539</v>
      </c>
      <c r="X162" s="143">
        <v>3046566</v>
      </c>
      <c r="Y162" s="143">
        <v>2887593</v>
      </c>
      <c r="Z162" s="143">
        <v>2728620</v>
      </c>
      <c r="AA162" s="143">
        <v>2569647</v>
      </c>
      <c r="AB162" s="143">
        <v>2410674</v>
      </c>
      <c r="AC162" s="129">
        <f t="shared" si="43"/>
        <v>-29539</v>
      </c>
      <c r="AD162" s="129">
        <f t="shared" si="44"/>
        <v>-59078</v>
      </c>
      <c r="AE162" s="129">
        <f t="shared" si="45"/>
        <v>-88617</v>
      </c>
      <c r="AF162" s="129">
        <f t="shared" si="46"/>
        <v>-118156</v>
      </c>
      <c r="AG162" s="129">
        <f t="shared" si="47"/>
        <v>-147695</v>
      </c>
      <c r="AH162" s="129">
        <f t="shared" si="48"/>
        <v>-177234</v>
      </c>
      <c r="AI162" s="129">
        <f t="shared" si="49"/>
        <v>-206773</v>
      </c>
      <c r="AJ162" s="129">
        <f t="shared" si="50"/>
        <v>-236312</v>
      </c>
      <c r="AK162" s="129">
        <f t="shared" si="51"/>
        <v>-265851</v>
      </c>
      <c r="AL162" s="127">
        <f t="shared" si="52"/>
        <v>-8.0215443054612035E-3</v>
      </c>
      <c r="AM162" s="127">
        <f t="shared" si="53"/>
        <v>-1.6766922521310623E-2</v>
      </c>
      <c r="AN162" s="127">
        <f t="shared" si="54"/>
        <v>-2.6338737980426297E-2</v>
      </c>
      <c r="AO162" s="127">
        <f t="shared" si="55"/>
        <v>-3.6859947734218745E-2</v>
      </c>
      <c r="AP162" s="127">
        <f t="shared" si="56"/>
        <v>-4.8479172944226434E-2</v>
      </c>
      <c r="AQ162" s="127">
        <f t="shared" si="57"/>
        <v>-6.1377763417489906E-2</v>
      </c>
      <c r="AR162" s="127">
        <f t="shared" si="58"/>
        <v>-7.5779331676818273E-2</v>
      </c>
      <c r="AS162" s="127">
        <f t="shared" si="59"/>
        <v>-9.1962826022407018E-2</v>
      </c>
      <c r="AT162" s="127">
        <f t="shared" si="60"/>
        <v>-0.11028077624763866</v>
      </c>
    </row>
    <row r="163" spans="1:46" s="18" customFormat="1" ht="13" x14ac:dyDescent="0.15">
      <c r="A163" s="29" t="s">
        <v>104</v>
      </c>
      <c r="B163" s="30">
        <f>IF(Data!D106=1, MAX(Data!AA106, $E$26) + INDEX(Duplicate!$E$39:$E$43, MATCH( Data!AD106, Duplicate!$B$39:$B$43, 0), 0), MAX(Data!AA106, $E$27) +  INDEX(Duplicate!$E$39:$E$43, MATCH( Data!AD106, Duplicate!$B$39:$B$43, 0), 0))</f>
        <v>0.230154</v>
      </c>
      <c r="C163" s="128">
        <f>ROUND(Data!R106/13*100, 2)</f>
        <v>46.15</v>
      </c>
      <c r="D163" s="141">
        <f>ROUND(Data!Q106*C163, 0)</f>
        <v>20768</v>
      </c>
      <c r="E163" s="142">
        <f>ROUND($E$22*Data!W106*B163, 0)</f>
        <v>2472180</v>
      </c>
      <c r="F163" s="143">
        <f>IF(E163=0, 0,IF($E$31="Yes", IF(Data!D106=1, MAX(Duplicate!D163+Duplicate!E163, Data!AE106), Duplicate!D163+Duplicate!E163), Duplicate!D163+Duplicate!E163))</f>
        <v>2492948</v>
      </c>
      <c r="G163" s="143">
        <v>2535165</v>
      </c>
      <c r="H163" s="129">
        <f>F163-Data!AL106</f>
        <v>-420062</v>
      </c>
      <c r="I163" s="127">
        <f>((F163)/(Data!AL106)) - 1</f>
        <v>-0.14420204530708791</v>
      </c>
      <c r="J163" s="127">
        <f t="shared" si="42"/>
        <v>-1.6652565020422783E-2</v>
      </c>
      <c r="K163" s="143">
        <f>ROUND(IF($E$31="Yes",IF(Data!AG106&gt;0,(Duplicate!$K$23*Data!AG106)+Data!AI106,(Duplicate!$K$24*Data!AG106)+Data!AI106),IF(Data!AF106&gt;0,(Duplicate!$K$23*Data!AF106)+Data!AI106,(Duplicate!$K$24*Data!AF106)+Data!AI106)),0)</f>
        <v>2983898</v>
      </c>
      <c r="L163" s="143">
        <f>ROUND(IF($E$31="Yes",IF(Data!$AG106&gt;0,(Duplicate!$L$23*Data!$AG106)+K163,(Duplicate!$L$24*Data!$AG106)+K163),IF(Data!$AF106&gt;0,(Duplicate!$L$23*Data!$AF106)+K163,(Duplicate!$L$24*Data!$AF106)+K163)),0)</f>
        <v>2952995</v>
      </c>
      <c r="M163" s="143">
        <f>ROUND(IF($E$31="Yes",IF(Data!$AG106&gt;0,(Duplicate!$M$23*Data!$AG106)+L163,(Duplicate!$M$24*Data!$AG106)+L163),IF(Data!$AF106&gt;0,(Duplicate!$M$23*Data!$AF106)+L163,(Duplicate!$M$24*Data!$AF106)+L163)),0)</f>
        <v>2922092</v>
      </c>
      <c r="N163" s="143">
        <f>ROUND(IF($E$31="Yes",IF(Data!$AG106&gt;0,(Duplicate!$N$23*Data!$AG106)+M163,(Duplicate!$N$24*Data!$AG106)+M163),IF(Data!$AF106&gt;0,(Duplicate!$N$23*Data!$AF106)+M163,(Duplicate!$N$24*Data!$AF106)+M163)),0)</f>
        <v>2891189</v>
      </c>
      <c r="O163" s="143">
        <f>ROUND(IF($E$31="Yes",IF(Data!$AG106&gt;0,(Duplicate!$O$23*Data!$AG106)+N163,(Duplicate!$O$24*Data!$AG106)+N163),IF(Data!$AF106&gt;0,(Duplicate!$O$23*Data!$AF106)+N163,(Duplicate!$O$24*Data!$AF106)+N163)),0)</f>
        <v>2860286</v>
      </c>
      <c r="P163" s="143">
        <f>ROUND(IF($E$31="Yes",IF(Data!$AG106&gt;0,(Duplicate!$P$23*Data!$AG106)+O163,(Duplicate!$P$24*Data!$AG106)+O163),IF(Data!$AF106&gt;0,(Duplicate!$P$23*Data!$AF106)+O163,(Duplicate!$P$24*Data!$AF106)+O163)),0)</f>
        <v>2829383</v>
      </c>
      <c r="Q163" s="143">
        <f>ROUND(IF($E$31="Yes",IF(Data!$AG106&gt;0,(Duplicate!$Q$23*Data!$AG106)+P163,(Duplicate!$Q$24*Data!$AG106)+P163),IF(Data!$AF106&gt;0,(Duplicate!$Q$23*Data!$AF106)+P163,(Duplicate!$Q$24*Data!$AF106)+P163)),0)</f>
        <v>2798480</v>
      </c>
      <c r="R163" s="143">
        <f>ROUND(IF($E$31="Yes",IF(Data!$AG106&gt;0,(Duplicate!$R$23*Data!$AG106)+Q163,(Duplicate!$R$24*Data!$AG106)+Q163),IF(Data!$AF106&gt;0,(Duplicate!$R$23*Data!$AF106)+Q163,(Duplicate!$R$24*Data!$AF106)+Q163)),0)</f>
        <v>2767577</v>
      </c>
      <c r="S163" s="143">
        <f>ROUND(IF($E$31="Yes",IF(Data!$AG106&gt;0,(Duplicate!$S$23*Data!$AG106)+R163,(Duplicate!$S$24*Data!$AG106)+R163),IF(Data!$AF106&gt;0,(Duplicate!$S$23*Data!$AF106)+R163,(Duplicate!$S$24*Data!$AF106)+R163)),0)</f>
        <v>2736674</v>
      </c>
      <c r="T163" s="143">
        <v>2966654</v>
      </c>
      <c r="U163" s="143">
        <v>2918506</v>
      </c>
      <c r="V163" s="143">
        <v>2870358</v>
      </c>
      <c r="W163" s="143">
        <v>2822210</v>
      </c>
      <c r="X163" s="143">
        <v>2774062</v>
      </c>
      <c r="Y163" s="143">
        <v>2725914</v>
      </c>
      <c r="Z163" s="143">
        <v>2677766</v>
      </c>
      <c r="AA163" s="143">
        <v>2629618</v>
      </c>
      <c r="AB163" s="143">
        <v>2581470</v>
      </c>
      <c r="AC163" s="129">
        <f t="shared" si="43"/>
        <v>17244</v>
      </c>
      <c r="AD163" s="129">
        <f t="shared" si="44"/>
        <v>34489</v>
      </c>
      <c r="AE163" s="129">
        <f t="shared" si="45"/>
        <v>51734</v>
      </c>
      <c r="AF163" s="129">
        <f t="shared" si="46"/>
        <v>68979</v>
      </c>
      <c r="AG163" s="129">
        <f t="shared" si="47"/>
        <v>86224</v>
      </c>
      <c r="AH163" s="129">
        <f t="shared" si="48"/>
        <v>103469</v>
      </c>
      <c r="AI163" s="129">
        <f t="shared" si="49"/>
        <v>120714</v>
      </c>
      <c r="AJ163" s="129">
        <f t="shared" si="50"/>
        <v>137959</v>
      </c>
      <c r="AK163" s="129">
        <f t="shared" si="51"/>
        <v>155204</v>
      </c>
      <c r="AL163" s="127">
        <f t="shared" si="52"/>
        <v>5.8126090875443293E-3</v>
      </c>
      <c r="AM163" s="127">
        <f t="shared" si="53"/>
        <v>1.1817347642937959E-2</v>
      </c>
      <c r="AN163" s="127">
        <f t="shared" si="54"/>
        <v>1.8023535740141039E-2</v>
      </c>
      <c r="AO163" s="127">
        <f t="shared" si="55"/>
        <v>2.4441483801701525E-2</v>
      </c>
      <c r="AP163" s="127">
        <f t="shared" si="56"/>
        <v>3.1082218061456501E-2</v>
      </c>
      <c r="AQ163" s="127">
        <f t="shared" si="57"/>
        <v>3.7957543781645287E-2</v>
      </c>
      <c r="AR163" s="127">
        <f t="shared" si="58"/>
        <v>4.5080115290133671E-2</v>
      </c>
      <c r="AS163" s="127">
        <f t="shared" si="59"/>
        <v>5.246351371187763E-2</v>
      </c>
      <c r="AT163" s="127">
        <f t="shared" si="60"/>
        <v>6.0122333399187378E-2</v>
      </c>
    </row>
    <row r="164" spans="1:46" s="18" customFormat="1" ht="13" x14ac:dyDescent="0.15">
      <c r="A164" s="29" t="s">
        <v>105</v>
      </c>
      <c r="B164" s="30">
        <f>IF(Data!D107=1, MAX(Data!AA107, $E$26) + INDEX(Duplicate!$E$39:$E$43, MATCH( Data!AD107, Duplicate!$B$39:$B$43, 0), 0), MAX(Data!AA107, $E$27) +  INDEX(Duplicate!$E$39:$E$43, MATCH( Data!AD107, Duplicate!$B$39:$B$43, 0), 0))</f>
        <v>0.65879300000000007</v>
      </c>
      <c r="C164" s="128">
        <f>ROUND(Data!R107/13*100, 2)</f>
        <v>0</v>
      </c>
      <c r="D164" s="141">
        <f>ROUND(Data!Q107*C164, 0)</f>
        <v>0</v>
      </c>
      <c r="E164" s="142">
        <f>ROUND($E$22*Data!W107*B164, 0)</f>
        <v>176536073</v>
      </c>
      <c r="F164" s="143">
        <f>IF(E164=0, 0,IF($E$31="Yes", IF(Data!D107=1, MAX(Duplicate!D164+Duplicate!E164, Data!AE107), Duplicate!D164+Duplicate!E164), Duplicate!D164+Duplicate!E164))</f>
        <v>176536073</v>
      </c>
      <c r="G164" s="143">
        <v>182011319</v>
      </c>
      <c r="H164" s="129">
        <f>F164-Data!AL107</f>
        <v>16066112</v>
      </c>
      <c r="I164" s="127">
        <f>((F164)/(Data!AL107)) - 1</f>
        <v>0.10011912447588878</v>
      </c>
      <c r="J164" s="127">
        <f t="shared" si="42"/>
        <v>-3.0081898368089943E-2</v>
      </c>
      <c r="K164" s="143">
        <f>ROUND(IF($E$31="Yes",IF(Data!AG107&gt;0,(Duplicate!$K$23*Data!AG107)+Data!AI107,(Duplicate!$K$24*Data!AG107)+Data!AI107),IF(Data!AF107&gt;0,(Duplicate!$K$23*Data!AF107)+Data!AI107,(Duplicate!$K$24*Data!AF107)+Data!AI107)),0)</f>
        <v>157516817</v>
      </c>
      <c r="L164" s="143">
        <f>ROUND(IF($E$31="Yes",IF(Data!$AG107&gt;0,(Duplicate!$L$23*Data!$AG107)+K164,(Duplicate!$L$24*Data!$AG107)+K164),IF(Data!$AF107&gt;0,(Duplicate!$L$23*Data!$AF107)+K164,(Duplicate!$L$24*Data!$AF107)+K164)),0)</f>
        <v>159886972</v>
      </c>
      <c r="M164" s="143">
        <f>ROUND(IF($E$31="Yes",IF(Data!$AG107&gt;0,(Duplicate!$M$23*Data!$AG107)+L164,(Duplicate!$M$24*Data!$AG107)+L164),IF(Data!$AF107&gt;0,(Duplicate!$M$23*Data!$AF107)+L164,(Duplicate!$M$24*Data!$AF107)+L164)),0)</f>
        <v>162257127</v>
      </c>
      <c r="N164" s="143">
        <f>ROUND(IF($E$31="Yes",IF(Data!$AG107&gt;0,(Duplicate!$N$23*Data!$AG107)+M164,(Duplicate!$N$24*Data!$AG107)+M164),IF(Data!$AF107&gt;0,(Duplicate!$N$23*Data!$AF107)+M164,(Duplicate!$N$24*Data!$AF107)+M164)),0)</f>
        <v>164627282</v>
      </c>
      <c r="O164" s="143">
        <f>ROUND(IF($E$31="Yes",IF(Data!$AG107&gt;0,(Duplicate!$O$23*Data!$AG107)+N164,(Duplicate!$O$24*Data!$AG107)+N164),IF(Data!$AF107&gt;0,(Duplicate!$O$23*Data!$AF107)+N164,(Duplicate!$O$24*Data!$AF107)+N164)),0)</f>
        <v>166997437</v>
      </c>
      <c r="P164" s="143">
        <f>ROUND(IF($E$31="Yes",IF(Data!$AG107&gt;0,(Duplicate!$P$23*Data!$AG107)+O164,(Duplicate!$P$24*Data!$AG107)+O164),IF(Data!$AF107&gt;0,(Duplicate!$P$23*Data!$AF107)+O164,(Duplicate!$P$24*Data!$AF107)+O164)),0)</f>
        <v>169367592</v>
      </c>
      <c r="Q164" s="143">
        <f>ROUND(IF($E$31="Yes",IF(Data!$AG107&gt;0,(Duplicate!$Q$23*Data!$AG107)+P164,(Duplicate!$Q$24*Data!$AG107)+P164),IF(Data!$AF107&gt;0,(Duplicate!$Q$23*Data!$AF107)+P164,(Duplicate!$Q$24*Data!$AF107)+P164)),0)</f>
        <v>171737747</v>
      </c>
      <c r="R164" s="143">
        <f>ROUND(IF($E$31="Yes",IF(Data!$AG107&gt;0,(Duplicate!$R$23*Data!$AG107)+Q164,(Duplicate!$R$24*Data!$AG107)+Q164),IF(Data!$AF107&gt;0,(Duplicate!$R$23*Data!$AF107)+Q164,(Duplicate!$R$24*Data!$AF107)+Q164)),0)</f>
        <v>174107902</v>
      </c>
      <c r="S164" s="143">
        <f>ROUND(IF($E$31="Yes",IF(Data!$AG107&gt;0,(Duplicate!$S$23*Data!$AG107)+R164,(Duplicate!$S$24*Data!$AG107)+R164),IF(Data!$AF107&gt;0,(Duplicate!$S$23*Data!$AF107)+R164,(Duplicate!$S$24*Data!$AF107)+R164)),0)</f>
        <v>176478057</v>
      </c>
      <c r="T164" s="143">
        <v>158100479</v>
      </c>
      <c r="U164" s="143">
        <v>161054295</v>
      </c>
      <c r="V164" s="143">
        <v>164008111</v>
      </c>
      <c r="W164" s="143">
        <v>166961927</v>
      </c>
      <c r="X164" s="143">
        <v>169915743</v>
      </c>
      <c r="Y164" s="143">
        <v>172869559</v>
      </c>
      <c r="Z164" s="143">
        <v>175823375</v>
      </c>
      <c r="AA164" s="143">
        <v>178777191</v>
      </c>
      <c r="AB164" s="143">
        <v>181731007</v>
      </c>
      <c r="AC164" s="129">
        <f t="shared" si="43"/>
        <v>-583662</v>
      </c>
      <c r="AD164" s="129">
        <f t="shared" si="44"/>
        <v>-1167323</v>
      </c>
      <c r="AE164" s="129">
        <f t="shared" si="45"/>
        <v>-1750984</v>
      </c>
      <c r="AF164" s="129">
        <f t="shared" si="46"/>
        <v>-2334645</v>
      </c>
      <c r="AG164" s="129">
        <f t="shared" si="47"/>
        <v>-2918306</v>
      </c>
      <c r="AH164" s="129">
        <f t="shared" si="48"/>
        <v>-3501967</v>
      </c>
      <c r="AI164" s="129">
        <f t="shared" si="49"/>
        <v>-4085628</v>
      </c>
      <c r="AJ164" s="129">
        <f t="shared" si="50"/>
        <v>-4669289</v>
      </c>
      <c r="AK164" s="129">
        <f t="shared" si="51"/>
        <v>-5252950</v>
      </c>
      <c r="AL164" s="127">
        <f t="shared" si="52"/>
        <v>-3.6917155703241056E-3</v>
      </c>
      <c r="AM164" s="127">
        <f t="shared" si="53"/>
        <v>-7.2480091263632529E-3</v>
      </c>
      <c r="AN164" s="127">
        <f t="shared" si="54"/>
        <v>-1.0676203690926034E-2</v>
      </c>
      <c r="AO164" s="127">
        <f t="shared" si="55"/>
        <v>-1.3983098074808353E-2</v>
      </c>
      <c r="AP164" s="127">
        <f t="shared" si="56"/>
        <v>-1.7175018326583191E-2</v>
      </c>
      <c r="AQ164" s="127">
        <f t="shared" si="57"/>
        <v>-2.0257858122956218E-2</v>
      </c>
      <c r="AR164" s="127">
        <f t="shared" si="58"/>
        <v>-2.3237115087797577E-2</v>
      </c>
      <c r="AS164" s="127">
        <f t="shared" si="59"/>
        <v>-2.6117923510723506E-2</v>
      </c>
      <c r="AT164" s="127">
        <f t="shared" si="60"/>
        <v>-2.8905083874872228E-2</v>
      </c>
    </row>
    <row r="165" spans="1:46" s="18" customFormat="1" ht="13" x14ac:dyDescent="0.15">
      <c r="A165" s="29" t="s">
        <v>106</v>
      </c>
      <c r="B165" s="30">
        <f>IF(Data!D108=1, MAX(Data!AA108, $E$26) + INDEX(Duplicate!$E$39:$E$43, MATCH( Data!AD108, Duplicate!$B$39:$B$43, 0), 0), MAX(Data!AA108, $E$27) +  INDEX(Duplicate!$E$39:$E$43, MATCH( Data!AD108, Duplicate!$B$39:$B$43, 0), 0))</f>
        <v>0.315133</v>
      </c>
      <c r="C165" s="128">
        <f>ROUND(Data!R108/13*100, 2)</f>
        <v>0</v>
      </c>
      <c r="D165" s="141">
        <f>ROUND(Data!Q108*C165, 0)</f>
        <v>0</v>
      </c>
      <c r="E165" s="142">
        <f>ROUND($E$22*Data!W108*B165, 0)</f>
        <v>16350123</v>
      </c>
      <c r="F165" s="143">
        <f>IF(E165=0, 0,IF($E$31="Yes", IF(Data!D108=1, MAX(Duplicate!D165+Duplicate!E165, Data!AE108), Duplicate!D165+Duplicate!E165), Duplicate!D165+Duplicate!E165))</f>
        <v>16350123</v>
      </c>
      <c r="G165" s="143">
        <v>16187962</v>
      </c>
      <c r="H165" s="129">
        <f>F165-Data!AL108</f>
        <v>2577172</v>
      </c>
      <c r="I165" s="127">
        <f>((F165)/(Data!AL108)) - 1</f>
        <v>0.18711835974730473</v>
      </c>
      <c r="J165" s="127">
        <f t="shared" si="42"/>
        <v>1.0017382052169399E-2</v>
      </c>
      <c r="K165" s="143">
        <f>ROUND(IF($E$31="Yes",IF(Data!AG108&gt;0,(Duplicate!$K$23*Data!AG108)+Data!AI108,(Duplicate!$K$24*Data!AG108)+Data!AI108),IF(Data!AF108&gt;0,(Duplicate!$K$23*Data!AF108)+Data!AI108,(Duplicate!$K$24*Data!AF108)+Data!AI108)),0)</f>
        <v>13451519</v>
      </c>
      <c r="L165" s="143">
        <f>ROUND(IF($E$31="Yes",IF(Data!$AG108&gt;0,(Duplicate!$L$23*Data!$AG108)+K165,(Duplicate!$L$24*Data!$AG108)+K165),IF(Data!$AF108&gt;0,(Duplicate!$L$23*Data!$AF108)+K165,(Duplicate!$L$24*Data!$AF108)+K165)),0)</f>
        <v>13810368</v>
      </c>
      <c r="M165" s="143">
        <f>ROUND(IF($E$31="Yes",IF(Data!$AG108&gt;0,(Duplicate!$M$23*Data!$AG108)+L165,(Duplicate!$M$24*Data!$AG108)+L165),IF(Data!$AF108&gt;0,(Duplicate!$M$23*Data!$AF108)+L165,(Duplicate!$M$24*Data!$AF108)+L165)),0)</f>
        <v>14169217</v>
      </c>
      <c r="N165" s="143">
        <f>ROUND(IF($E$31="Yes",IF(Data!$AG108&gt;0,(Duplicate!$N$23*Data!$AG108)+M165,(Duplicate!$N$24*Data!$AG108)+M165),IF(Data!$AF108&gt;0,(Duplicate!$N$23*Data!$AF108)+M165,(Duplicate!$N$24*Data!$AF108)+M165)),0)</f>
        <v>14528066</v>
      </c>
      <c r="O165" s="143">
        <f>ROUND(IF($E$31="Yes",IF(Data!$AG108&gt;0,(Duplicate!$O$23*Data!$AG108)+N165,(Duplicate!$O$24*Data!$AG108)+N165),IF(Data!$AF108&gt;0,(Duplicate!$O$23*Data!$AF108)+N165,(Duplicate!$O$24*Data!$AF108)+N165)),0)</f>
        <v>14886915</v>
      </c>
      <c r="P165" s="143">
        <f>ROUND(IF($E$31="Yes",IF(Data!$AG108&gt;0,(Duplicate!$P$23*Data!$AG108)+O165,(Duplicate!$P$24*Data!$AG108)+O165),IF(Data!$AF108&gt;0,(Duplicate!$P$23*Data!$AF108)+O165,(Duplicate!$P$24*Data!$AF108)+O165)),0)</f>
        <v>15245764</v>
      </c>
      <c r="Q165" s="143">
        <f>ROUND(IF($E$31="Yes",IF(Data!$AG108&gt;0,(Duplicate!$Q$23*Data!$AG108)+P165,(Duplicate!$Q$24*Data!$AG108)+P165),IF(Data!$AF108&gt;0,(Duplicate!$Q$23*Data!$AF108)+P165,(Duplicate!$Q$24*Data!$AF108)+P165)),0)</f>
        <v>15604613</v>
      </c>
      <c r="R165" s="143">
        <f>ROUND(IF($E$31="Yes",IF(Data!$AG108&gt;0,(Duplicate!$R$23*Data!$AG108)+Q165,(Duplicate!$R$24*Data!$AG108)+Q165),IF(Data!$AF108&gt;0,(Duplicate!$R$23*Data!$AF108)+Q165,(Duplicate!$R$24*Data!$AF108)+Q165)),0)</f>
        <v>15963462</v>
      </c>
      <c r="S165" s="143">
        <f>ROUND(IF($E$31="Yes",IF(Data!$AG108&gt;0,(Duplicate!$S$23*Data!$AG108)+R165,(Duplicate!$S$24*Data!$AG108)+R165),IF(Data!$AF108&gt;0,(Duplicate!$S$23*Data!$AF108)+R165,(Duplicate!$S$24*Data!$AF108)+R165)),0)</f>
        <v>16322311</v>
      </c>
      <c r="T165" s="143">
        <v>13434233</v>
      </c>
      <c r="U165" s="143">
        <v>13775796</v>
      </c>
      <c r="V165" s="143">
        <v>14117359</v>
      </c>
      <c r="W165" s="143">
        <v>14458922</v>
      </c>
      <c r="X165" s="143">
        <v>14800485</v>
      </c>
      <c r="Y165" s="143">
        <v>15142048</v>
      </c>
      <c r="Z165" s="143">
        <v>15483611</v>
      </c>
      <c r="AA165" s="143">
        <v>15825174</v>
      </c>
      <c r="AB165" s="143">
        <v>16166737</v>
      </c>
      <c r="AC165" s="129">
        <f t="shared" si="43"/>
        <v>17286</v>
      </c>
      <c r="AD165" s="129">
        <f t="shared" si="44"/>
        <v>34572</v>
      </c>
      <c r="AE165" s="129">
        <f t="shared" si="45"/>
        <v>51858</v>
      </c>
      <c r="AF165" s="129">
        <f t="shared" si="46"/>
        <v>69144</v>
      </c>
      <c r="AG165" s="129">
        <f t="shared" si="47"/>
        <v>86430</v>
      </c>
      <c r="AH165" s="129">
        <f t="shared" si="48"/>
        <v>103716</v>
      </c>
      <c r="AI165" s="129">
        <f t="shared" si="49"/>
        <v>121002</v>
      </c>
      <c r="AJ165" s="129">
        <f t="shared" si="50"/>
        <v>138288</v>
      </c>
      <c r="AK165" s="129">
        <f t="shared" si="51"/>
        <v>155574</v>
      </c>
      <c r="AL165" s="127">
        <f t="shared" si="52"/>
        <v>1.2867128328055699E-3</v>
      </c>
      <c r="AM165" s="127">
        <f t="shared" si="53"/>
        <v>2.5096190448812283E-3</v>
      </c>
      <c r="AN165" s="127">
        <f t="shared" si="54"/>
        <v>3.6733499516445889E-3</v>
      </c>
      <c r="AO165" s="127">
        <f t="shared" si="55"/>
        <v>4.7820992464029377E-3</v>
      </c>
      <c r="AP165" s="127">
        <f t="shared" si="56"/>
        <v>5.8396734971861708E-3</v>
      </c>
      <c r="AQ165" s="127">
        <f t="shared" si="57"/>
        <v>6.8495358091587022E-3</v>
      </c>
      <c r="AR165" s="127">
        <f t="shared" si="58"/>
        <v>7.8148437079696986E-3</v>
      </c>
      <c r="AS165" s="127">
        <f t="shared" si="59"/>
        <v>8.7384821171634375E-3</v>
      </c>
      <c r="AT165" s="127">
        <f t="shared" si="60"/>
        <v>9.6230921552074022E-3</v>
      </c>
    </row>
    <row r="166" spans="1:46" s="18" customFormat="1" ht="13" x14ac:dyDescent="0.15">
      <c r="A166" s="29" t="s">
        <v>107</v>
      </c>
      <c r="B166" s="30">
        <f>IF(Data!D109=1, MAX(Data!AA109, $E$26) + INDEX(Duplicate!$E$39:$E$43, MATCH( Data!AD109, Duplicate!$B$39:$B$43, 0), 0), MAX(Data!AA109, $E$27) +  INDEX(Duplicate!$E$39:$E$43, MATCH( Data!AD109, Duplicate!$B$39:$B$43, 0), 0))</f>
        <v>0.69513099999999994</v>
      </c>
      <c r="C166" s="128">
        <f>ROUND(Data!R109/13*100, 2)</f>
        <v>0</v>
      </c>
      <c r="D166" s="141">
        <f>ROUND(Data!Q109*C166, 0)</f>
        <v>0</v>
      </c>
      <c r="E166" s="142">
        <f>ROUND($E$22*Data!W109*B166, 0)</f>
        <v>36056657</v>
      </c>
      <c r="F166" s="143">
        <f>IF(E166=0, 0,IF($E$31="Yes", IF(Data!D109=1, MAX(Duplicate!D166+Duplicate!E166, Data!AE109), Duplicate!D166+Duplicate!E166), Duplicate!D166+Duplicate!E166))</f>
        <v>36056657</v>
      </c>
      <c r="G166" s="143">
        <v>37393935</v>
      </c>
      <c r="H166" s="129">
        <f>F166-Data!AL109</f>
        <v>7427683</v>
      </c>
      <c r="I166" s="127">
        <f>((F166)/(Data!AL109)) - 1</f>
        <v>0.25944635668745941</v>
      </c>
      <c r="J166" s="127">
        <f t="shared" si="42"/>
        <v>-3.576189561221621E-2</v>
      </c>
      <c r="K166" s="143">
        <f>ROUND(IF($E$31="Yes",IF(Data!AG109&gt;0,(Duplicate!$K$23*Data!AG109)+Data!AI109,(Duplicate!$K$24*Data!AG109)+Data!AI109),IF(Data!AF109&gt;0,(Duplicate!$K$23*Data!AF109)+Data!AI109,(Duplicate!$K$24*Data!AF109)+Data!AI109)),0)</f>
        <v>27391286</v>
      </c>
      <c r="L166" s="143">
        <f>ROUND(IF($E$31="Yes",IF(Data!$AG109&gt;0,(Duplicate!$L$23*Data!$AG109)+K166,(Duplicate!$L$24*Data!$AG109)+K166),IF(Data!$AF109&gt;0,(Duplicate!$L$23*Data!$AF109)+K166,(Duplicate!$L$24*Data!$AF109)+K166)),0)</f>
        <v>28483998</v>
      </c>
      <c r="M166" s="143">
        <f>ROUND(IF($E$31="Yes",IF(Data!$AG109&gt;0,(Duplicate!$M$23*Data!$AG109)+L166,(Duplicate!$M$24*Data!$AG109)+L166),IF(Data!$AF109&gt;0,(Duplicate!$M$23*Data!$AF109)+L166,(Duplicate!$M$24*Data!$AF109)+L166)),0)</f>
        <v>29576710</v>
      </c>
      <c r="N166" s="143">
        <f>ROUND(IF($E$31="Yes",IF(Data!$AG109&gt;0,(Duplicate!$N$23*Data!$AG109)+M166,(Duplicate!$N$24*Data!$AG109)+M166),IF(Data!$AF109&gt;0,(Duplicate!$N$23*Data!$AF109)+M166,(Duplicate!$N$24*Data!$AF109)+M166)),0)</f>
        <v>30669422</v>
      </c>
      <c r="O166" s="143">
        <f>ROUND(IF($E$31="Yes",IF(Data!$AG109&gt;0,(Duplicate!$O$23*Data!$AG109)+N166,(Duplicate!$O$24*Data!$AG109)+N166),IF(Data!$AF109&gt;0,(Duplicate!$O$23*Data!$AF109)+N166,(Duplicate!$O$24*Data!$AF109)+N166)),0)</f>
        <v>31762134</v>
      </c>
      <c r="P166" s="143">
        <f>ROUND(IF($E$31="Yes",IF(Data!$AG109&gt;0,(Duplicate!$P$23*Data!$AG109)+O166,(Duplicate!$P$24*Data!$AG109)+O166),IF(Data!$AF109&gt;0,(Duplicate!$P$23*Data!$AF109)+O166,(Duplicate!$P$24*Data!$AF109)+O166)),0)</f>
        <v>32854846</v>
      </c>
      <c r="Q166" s="143">
        <f>ROUND(IF($E$31="Yes",IF(Data!$AG109&gt;0,(Duplicate!$Q$23*Data!$AG109)+P166,(Duplicate!$Q$24*Data!$AG109)+P166),IF(Data!$AF109&gt;0,(Duplicate!$Q$23*Data!$AF109)+P166,(Duplicate!$Q$24*Data!$AF109)+P166)),0)</f>
        <v>33947558</v>
      </c>
      <c r="R166" s="143">
        <f>ROUND(IF($E$31="Yes",IF(Data!$AG109&gt;0,(Duplicate!$R$23*Data!$AG109)+Q166,(Duplicate!$R$24*Data!$AG109)+Q166),IF(Data!$AF109&gt;0,(Duplicate!$R$23*Data!$AF109)+Q166,(Duplicate!$R$24*Data!$AF109)+Q166)),0)</f>
        <v>35040270</v>
      </c>
      <c r="S166" s="143">
        <f>ROUND(IF($E$31="Yes",IF(Data!$AG109&gt;0,(Duplicate!$S$23*Data!$AG109)+R166,(Duplicate!$S$24*Data!$AG109)+R166),IF(Data!$AF109&gt;0,(Duplicate!$S$23*Data!$AF109)+R166,(Duplicate!$S$24*Data!$AF109)+R166)),0)</f>
        <v>36132982</v>
      </c>
      <c r="T166" s="143">
        <v>27533840</v>
      </c>
      <c r="U166" s="143">
        <v>28769106</v>
      </c>
      <c r="V166" s="143">
        <v>30004372</v>
      </c>
      <c r="W166" s="143">
        <v>31239638</v>
      </c>
      <c r="X166" s="143">
        <v>32474904</v>
      </c>
      <c r="Y166" s="143">
        <v>33710170</v>
      </c>
      <c r="Z166" s="143">
        <v>34945436</v>
      </c>
      <c r="AA166" s="143">
        <v>36180702</v>
      </c>
      <c r="AB166" s="143">
        <v>37415968</v>
      </c>
      <c r="AC166" s="129">
        <f t="shared" si="43"/>
        <v>-142554</v>
      </c>
      <c r="AD166" s="129">
        <f t="shared" si="44"/>
        <v>-285108</v>
      </c>
      <c r="AE166" s="129">
        <f t="shared" si="45"/>
        <v>-427662</v>
      </c>
      <c r="AF166" s="129">
        <f t="shared" si="46"/>
        <v>-570216</v>
      </c>
      <c r="AG166" s="129">
        <f t="shared" si="47"/>
        <v>-712770</v>
      </c>
      <c r="AH166" s="129">
        <f t="shared" si="48"/>
        <v>-855324</v>
      </c>
      <c r="AI166" s="129">
        <f t="shared" si="49"/>
        <v>-997878</v>
      </c>
      <c r="AJ166" s="129">
        <f t="shared" si="50"/>
        <v>-1140432</v>
      </c>
      <c r="AK166" s="129">
        <f t="shared" si="51"/>
        <v>-1282986</v>
      </c>
      <c r="AL166" s="127">
        <f t="shared" si="52"/>
        <v>-5.1774107788815638E-3</v>
      </c>
      <c r="AM166" s="127">
        <f t="shared" si="53"/>
        <v>-9.9102141025863011E-3</v>
      </c>
      <c r="AN166" s="127">
        <f t="shared" si="54"/>
        <v>-1.4253322815754976E-2</v>
      </c>
      <c r="AO166" s="127">
        <f t="shared" si="55"/>
        <v>-1.8252964390944593E-2</v>
      </c>
      <c r="AP166" s="127">
        <f t="shared" si="56"/>
        <v>-2.1948332780290847E-2</v>
      </c>
      <c r="AQ166" s="127">
        <f t="shared" si="57"/>
        <v>-2.5372877087241008E-2</v>
      </c>
      <c r="AR166" s="127">
        <f t="shared" si="58"/>
        <v>-2.8555316923217111E-2</v>
      </c>
      <c r="AS166" s="127">
        <f t="shared" si="59"/>
        <v>-3.1520449769050884E-2</v>
      </c>
      <c r="AT166" s="127">
        <f t="shared" si="60"/>
        <v>-3.428979840906432E-2</v>
      </c>
    </row>
    <row r="167" spans="1:46" s="18" customFormat="1" ht="13" x14ac:dyDescent="0.15">
      <c r="A167" s="29" t="s">
        <v>108</v>
      </c>
      <c r="B167" s="30">
        <f>IF(Data!D110=1, MAX(Data!AA110, $E$26) + INDEX(Duplicate!$E$39:$E$43, MATCH( Data!AD110, Duplicate!$B$39:$B$43, 0), 0), MAX(Data!AA110, $E$27) +  INDEX(Duplicate!$E$39:$E$43, MATCH( Data!AD110, Duplicate!$B$39:$B$43, 0), 0))</f>
        <v>0.201483</v>
      </c>
      <c r="C167" s="128">
        <f>ROUND(Data!R110/13*100, 2)</f>
        <v>0</v>
      </c>
      <c r="D167" s="141">
        <f>ROUND(Data!Q110*C167, 0)</f>
        <v>0</v>
      </c>
      <c r="E167" s="142">
        <f>ROUND($E$22*Data!W110*B167, 0)</f>
        <v>9570617</v>
      </c>
      <c r="F167" s="143">
        <f>IF(E167=0, 0,IF($E$31="Yes", IF(Data!D110=1, MAX(Duplicate!D167+Duplicate!E167, Data!AE110), Duplicate!D167+Duplicate!E167), Duplicate!D167+Duplicate!E167))</f>
        <v>9570617</v>
      </c>
      <c r="G167" s="143">
        <v>10069399</v>
      </c>
      <c r="H167" s="129">
        <f>F167-Data!AL110</f>
        <v>-1553571</v>
      </c>
      <c r="I167" s="127">
        <f>((F167)/(Data!AL110)) - 1</f>
        <v>-0.13965702485430842</v>
      </c>
      <c r="J167" s="127">
        <f t="shared" si="42"/>
        <v>-4.9534435967826917E-2</v>
      </c>
      <c r="K167" s="143">
        <f>ROUND(IF($E$31="Yes",IF(Data!AG110&gt;0,(Duplicate!$K$23*Data!AG110)+Data!AI110,(Duplicate!$K$24*Data!AG110)+Data!AI110),IF(Data!AF110&gt;0,(Duplicate!$K$23*Data!AF110)+Data!AI110,(Duplicate!$K$24*Data!AF110)+Data!AI110)),0)</f>
        <v>11236575</v>
      </c>
      <c r="L167" s="143">
        <f>ROUND(IF($E$31="Yes",IF(Data!$AG110&gt;0,(Duplicate!$L$23*Data!$AG110)+K167,(Duplicate!$L$24*Data!$AG110)+K167),IF(Data!$AF110&gt;0,(Duplicate!$L$23*Data!$AF110)+K167,(Duplicate!$L$24*Data!$AF110)+K167)),0)</f>
        <v>11048135</v>
      </c>
      <c r="M167" s="143">
        <f>ROUND(IF($E$31="Yes",IF(Data!$AG110&gt;0,(Duplicate!$M$23*Data!$AG110)+L167,(Duplicate!$M$24*Data!$AG110)+L167),IF(Data!$AF110&gt;0,(Duplicate!$M$23*Data!$AF110)+L167,(Duplicate!$M$24*Data!$AF110)+L167)),0)</f>
        <v>10859695</v>
      </c>
      <c r="N167" s="143">
        <f>ROUND(IF($E$31="Yes",IF(Data!$AG110&gt;0,(Duplicate!$N$23*Data!$AG110)+M167,(Duplicate!$N$24*Data!$AG110)+M167),IF(Data!$AF110&gt;0,(Duplicate!$N$23*Data!$AF110)+M167,(Duplicate!$N$24*Data!$AF110)+M167)),0)</f>
        <v>10671255</v>
      </c>
      <c r="O167" s="143">
        <f>ROUND(IF($E$31="Yes",IF(Data!$AG110&gt;0,(Duplicate!$O$23*Data!$AG110)+N167,(Duplicate!$O$24*Data!$AG110)+N167),IF(Data!$AF110&gt;0,(Duplicate!$O$23*Data!$AF110)+N167,(Duplicate!$O$24*Data!$AF110)+N167)),0)</f>
        <v>10482815</v>
      </c>
      <c r="P167" s="143">
        <f>ROUND(IF($E$31="Yes",IF(Data!$AG110&gt;0,(Duplicate!$P$23*Data!$AG110)+O167,(Duplicate!$P$24*Data!$AG110)+O167),IF(Data!$AF110&gt;0,(Duplicate!$P$23*Data!$AF110)+O167,(Duplicate!$P$24*Data!$AF110)+O167)),0)</f>
        <v>10294375</v>
      </c>
      <c r="Q167" s="143">
        <f>ROUND(IF($E$31="Yes",IF(Data!$AG110&gt;0,(Duplicate!$Q$23*Data!$AG110)+P167,(Duplicate!$Q$24*Data!$AG110)+P167),IF(Data!$AF110&gt;0,(Duplicate!$Q$23*Data!$AF110)+P167,(Duplicate!$Q$24*Data!$AF110)+P167)),0)</f>
        <v>10105935</v>
      </c>
      <c r="R167" s="143">
        <f>ROUND(IF($E$31="Yes",IF(Data!$AG110&gt;0,(Duplicate!$R$23*Data!$AG110)+Q167,(Duplicate!$R$24*Data!$AG110)+Q167),IF(Data!$AF110&gt;0,(Duplicate!$R$23*Data!$AF110)+Q167,(Duplicate!$R$24*Data!$AF110)+Q167)),0)</f>
        <v>9917495</v>
      </c>
      <c r="S167" s="143">
        <f>ROUND(IF($E$31="Yes",IF(Data!$AG110&gt;0,(Duplicate!$S$23*Data!$AG110)+R167,(Duplicate!$S$24*Data!$AG110)+R167),IF(Data!$AF110&gt;0,(Duplicate!$S$23*Data!$AF110)+R167,(Duplicate!$S$24*Data!$AF110)+R167)),0)</f>
        <v>9729055</v>
      </c>
      <c r="T167" s="143">
        <v>11278123</v>
      </c>
      <c r="U167" s="143">
        <v>11131231</v>
      </c>
      <c r="V167" s="143">
        <v>10984339</v>
      </c>
      <c r="W167" s="143">
        <v>10837447</v>
      </c>
      <c r="X167" s="143">
        <v>10690555</v>
      </c>
      <c r="Y167" s="143">
        <v>10543663</v>
      </c>
      <c r="Z167" s="143">
        <v>10396771</v>
      </c>
      <c r="AA167" s="143">
        <v>10249879</v>
      </c>
      <c r="AB167" s="143">
        <v>10102987</v>
      </c>
      <c r="AC167" s="129">
        <f t="shared" si="43"/>
        <v>-41548</v>
      </c>
      <c r="AD167" s="129">
        <f t="shared" si="44"/>
        <v>-83096</v>
      </c>
      <c r="AE167" s="129">
        <f t="shared" si="45"/>
        <v>-124644</v>
      </c>
      <c r="AF167" s="129">
        <f t="shared" si="46"/>
        <v>-166192</v>
      </c>
      <c r="AG167" s="129">
        <f t="shared" si="47"/>
        <v>-207740</v>
      </c>
      <c r="AH167" s="129">
        <f t="shared" si="48"/>
        <v>-249288</v>
      </c>
      <c r="AI167" s="129">
        <f t="shared" si="49"/>
        <v>-290836</v>
      </c>
      <c r="AJ167" s="129">
        <f t="shared" si="50"/>
        <v>-332384</v>
      </c>
      <c r="AK167" s="129">
        <f t="shared" si="51"/>
        <v>-373932</v>
      </c>
      <c r="AL167" s="127">
        <f t="shared" si="52"/>
        <v>-3.6839463446177723E-3</v>
      </c>
      <c r="AM167" s="127">
        <f t="shared" si="53"/>
        <v>-7.4651222313147914E-3</v>
      </c>
      <c r="AN167" s="127">
        <f t="shared" si="54"/>
        <v>-1.1347428370519164E-2</v>
      </c>
      <c r="AO167" s="127">
        <f t="shared" si="55"/>
        <v>-1.5334976955366009E-2</v>
      </c>
      <c r="AP167" s="127">
        <f t="shared" si="56"/>
        <v>-1.9432106190932052E-2</v>
      </c>
      <c r="AQ167" s="127">
        <f t="shared" si="57"/>
        <v>-2.364339603798038E-2</v>
      </c>
      <c r="AR167" s="127">
        <f t="shared" si="58"/>
        <v>-2.7973685291327488E-2</v>
      </c>
      <c r="AS167" s="127">
        <f t="shared" si="59"/>
        <v>-3.2428090126722431E-2</v>
      </c>
      <c r="AT167" s="127">
        <f t="shared" si="60"/>
        <v>-3.7012024265694943E-2</v>
      </c>
    </row>
    <row r="168" spans="1:46" s="18" customFormat="1" ht="13" x14ac:dyDescent="0.15">
      <c r="A168" s="29" t="s">
        <v>109</v>
      </c>
      <c r="B168" s="30">
        <f>IF(Data!D111=1, MAX(Data!AA111, $E$26) + INDEX(Duplicate!$E$39:$E$43, MATCH( Data!AD111, Duplicate!$B$39:$B$43, 0), 0), MAX(Data!AA111, $E$27) +  INDEX(Duplicate!$E$39:$E$43, MATCH( Data!AD111, Duplicate!$B$39:$B$43, 0), 0))</f>
        <v>8.5921999999999998E-2</v>
      </c>
      <c r="C168" s="128">
        <f>ROUND(Data!R111/13*100, 2)</f>
        <v>0</v>
      </c>
      <c r="D168" s="141">
        <f>ROUND(Data!Q111*C168, 0)</f>
        <v>0</v>
      </c>
      <c r="E168" s="142">
        <f>ROUND($E$22*Data!W111*B168, 0)</f>
        <v>4173383</v>
      </c>
      <c r="F168" s="143">
        <f>IF(E168=0, 0,IF($E$31="Yes", IF(Data!D111=1, MAX(Duplicate!D168+Duplicate!E168, Data!AE111), Duplicate!D168+Duplicate!E168), Duplicate!D168+Duplicate!E168))</f>
        <v>4173383</v>
      </c>
      <c r="G168" s="143">
        <v>4305472</v>
      </c>
      <c r="H168" s="129">
        <f>F168-Data!AL111</f>
        <v>-322308</v>
      </c>
      <c r="I168" s="127">
        <f>((F168)/(Data!AL111)) - 1</f>
        <v>-7.1692649695007993E-2</v>
      </c>
      <c r="J168" s="127">
        <f t="shared" si="42"/>
        <v>-3.0679330860820864E-2</v>
      </c>
      <c r="K168" s="143">
        <f>ROUND(IF($E$31="Yes",IF(Data!AG111&gt;0,(Duplicate!$K$23*Data!AG111)+Data!AI111,(Duplicate!$K$24*Data!AG111)+Data!AI111),IF(Data!AF111&gt;0,(Duplicate!$K$23*Data!AF111)+Data!AI111,(Duplicate!$K$24*Data!AF111)+Data!AI111)),0)</f>
        <v>4505618</v>
      </c>
      <c r="L168" s="143">
        <f>ROUND(IF($E$31="Yes",IF(Data!$AG111&gt;0,(Duplicate!$L$23*Data!$AG111)+K168,(Duplicate!$L$24*Data!$AG111)+K168),IF(Data!$AF111&gt;0,(Duplicate!$L$23*Data!$AF111)+K168,(Duplicate!$L$24*Data!$AF111)+K168)),0)</f>
        <v>4445595</v>
      </c>
      <c r="M168" s="143">
        <f>ROUND(IF($E$31="Yes",IF(Data!$AG111&gt;0,(Duplicate!$M$23*Data!$AG111)+L168,(Duplicate!$M$24*Data!$AG111)+L168),IF(Data!$AF111&gt;0,(Duplicate!$M$23*Data!$AF111)+L168,(Duplicate!$M$24*Data!$AF111)+L168)),0)</f>
        <v>4385572</v>
      </c>
      <c r="N168" s="143">
        <f>ROUND(IF($E$31="Yes",IF(Data!$AG111&gt;0,(Duplicate!$N$23*Data!$AG111)+M168,(Duplicate!$N$24*Data!$AG111)+M168),IF(Data!$AF111&gt;0,(Duplicate!$N$23*Data!$AF111)+M168,(Duplicate!$N$24*Data!$AF111)+M168)),0)</f>
        <v>4325549</v>
      </c>
      <c r="O168" s="143">
        <f>ROUND(IF($E$31="Yes",IF(Data!$AG111&gt;0,(Duplicate!$O$23*Data!$AG111)+N168,(Duplicate!$O$24*Data!$AG111)+N168),IF(Data!$AF111&gt;0,(Duplicate!$O$23*Data!$AF111)+N168,(Duplicate!$O$24*Data!$AF111)+N168)),0)</f>
        <v>4265526</v>
      </c>
      <c r="P168" s="143">
        <f>ROUND(IF($E$31="Yes",IF(Data!$AG111&gt;0,(Duplicate!$P$23*Data!$AG111)+O168,(Duplicate!$P$24*Data!$AG111)+O168),IF(Data!$AF111&gt;0,(Duplicate!$P$23*Data!$AF111)+O168,(Duplicate!$P$24*Data!$AF111)+O168)),0)</f>
        <v>4205503</v>
      </c>
      <c r="Q168" s="143">
        <f>ROUND(IF($E$31="Yes",IF(Data!$AG111&gt;0,(Duplicate!$Q$23*Data!$AG111)+P168,(Duplicate!$Q$24*Data!$AG111)+P168),IF(Data!$AF111&gt;0,(Duplicate!$Q$23*Data!$AF111)+P168,(Duplicate!$Q$24*Data!$AF111)+P168)),0)</f>
        <v>4145480</v>
      </c>
      <c r="R168" s="143">
        <f>ROUND(IF($E$31="Yes",IF(Data!$AG111&gt;0,(Duplicate!$R$23*Data!$AG111)+Q168,(Duplicate!$R$24*Data!$AG111)+Q168),IF(Data!$AF111&gt;0,(Duplicate!$R$23*Data!$AF111)+Q168,(Duplicate!$R$24*Data!$AF111)+Q168)),0)</f>
        <v>4085457</v>
      </c>
      <c r="S168" s="143">
        <f>ROUND(IF($E$31="Yes",IF(Data!$AG111&gt;0,(Duplicate!$S$23*Data!$AG111)+R168,(Duplicate!$S$24*Data!$AG111)+R168),IF(Data!$AF111&gt;0,(Duplicate!$S$23*Data!$AF111)+R168,(Duplicate!$S$24*Data!$AF111)+R168)),0)</f>
        <v>4025434</v>
      </c>
      <c r="T168" s="143">
        <v>4516621</v>
      </c>
      <c r="U168" s="143">
        <v>4467601</v>
      </c>
      <c r="V168" s="143">
        <v>4418581</v>
      </c>
      <c r="W168" s="143">
        <v>4369561</v>
      </c>
      <c r="X168" s="143">
        <v>4320541</v>
      </c>
      <c r="Y168" s="143">
        <v>4271521</v>
      </c>
      <c r="Z168" s="143">
        <v>4222501</v>
      </c>
      <c r="AA168" s="143">
        <v>4173481</v>
      </c>
      <c r="AB168" s="143">
        <v>4124461</v>
      </c>
      <c r="AC168" s="129">
        <f t="shared" ref="AC168:AC199" si="61">K168-T168</f>
        <v>-11003</v>
      </c>
      <c r="AD168" s="129">
        <f t="shared" ref="AD168:AD199" si="62">L168-U168</f>
        <v>-22006</v>
      </c>
      <c r="AE168" s="129">
        <f t="shared" ref="AE168:AE199" si="63">M168-V168</f>
        <v>-33009</v>
      </c>
      <c r="AF168" s="129">
        <f t="shared" ref="AF168:AF199" si="64">N168-W168</f>
        <v>-44012</v>
      </c>
      <c r="AG168" s="129">
        <f t="shared" ref="AG168:AG199" si="65">O168-X168</f>
        <v>-55015</v>
      </c>
      <c r="AH168" s="129">
        <f t="shared" ref="AH168:AH199" si="66">P168-Y168</f>
        <v>-66018</v>
      </c>
      <c r="AI168" s="129">
        <f t="shared" ref="AI168:AI199" si="67">Q168-Z168</f>
        <v>-77021</v>
      </c>
      <c r="AJ168" s="129">
        <f t="shared" ref="AJ168:AJ199" si="68">R168-AA168</f>
        <v>-88024</v>
      </c>
      <c r="AK168" s="129">
        <f t="shared" ref="AK168:AK199" si="69">S168-AB168</f>
        <v>-99027</v>
      </c>
      <c r="AL168" s="127">
        <f t="shared" ref="AL168:AL199" si="70">IFERROR(K168/T168-1, 0)</f>
        <v>-2.4361131916980083E-3</v>
      </c>
      <c r="AM168" s="127">
        <f t="shared" ref="AM168:AM199" si="71">IFERROR(L168/U168-1, 0)</f>
        <v>-4.9256860673099201E-3</v>
      </c>
      <c r="AN168" s="127">
        <f t="shared" ref="AN168:AN199" si="72">IFERROR(M168/V168-1, 0)</f>
        <v>-7.4704978815597345E-3</v>
      </c>
      <c r="AO168" s="127">
        <f t="shared" ref="AO168:AO199" si="73">IFERROR(N168/W168-1, 0)</f>
        <v>-1.0072407731577582E-2</v>
      </c>
      <c r="AP168" s="127">
        <f t="shared" ref="AP168:AP199" si="74">IFERROR(O168/X168-1, 0)</f>
        <v>-1.2733359086281038E-2</v>
      </c>
      <c r="AQ168" s="127">
        <f t="shared" ref="AQ168:AQ199" si="75">IFERROR(P168/Y168-1, 0)</f>
        <v>-1.5455384627630298E-2</v>
      </c>
      <c r="AR168" s="127">
        <f t="shared" ref="AR168:AR199" si="76">IFERROR(Q168/Z168-1, 0)</f>
        <v>-1.8240611429103271E-2</v>
      </c>
      <c r="AS168" s="127">
        <f t="shared" ref="AS168:AS199" si="77">IFERROR(R168/AA168-1, 0)</f>
        <v>-2.1091266499116634E-2</v>
      </c>
      <c r="AT168" s="127">
        <f t="shared" ref="AT168:AT199" si="78">IFERROR(S168/AB168-1, 0)</f>
        <v>-2.4009682719754122E-2</v>
      </c>
    </row>
    <row r="169" spans="1:46" s="18" customFormat="1" ht="13" x14ac:dyDescent="0.15">
      <c r="A169" s="29" t="s">
        <v>110</v>
      </c>
      <c r="B169" s="30">
        <f>IF(Data!D112=1, MAX(Data!AA112, $E$26) + INDEX(Duplicate!$E$39:$E$43, MATCH( Data!AD112, Duplicate!$B$39:$B$43, 0), 0), MAX(Data!AA112, $E$27) +  INDEX(Duplicate!$E$39:$E$43, MATCH( Data!AD112, Duplicate!$B$39:$B$43, 0), 0))</f>
        <v>0.01</v>
      </c>
      <c r="C169" s="128">
        <f>ROUND(Data!R112/13*100, 2)</f>
        <v>46.15</v>
      </c>
      <c r="D169" s="141">
        <f>ROUND(Data!Q112*C169, 0)</f>
        <v>3323</v>
      </c>
      <c r="E169" s="142">
        <f>ROUND($E$22*Data!W112*B169, 0)</f>
        <v>19448</v>
      </c>
      <c r="F169" s="143">
        <f>IF(E169=0, 0,IF($E$31="Yes", IF(Data!D112=1, MAX(Duplicate!D169+Duplicate!E169, Data!AE112), Duplicate!D169+Duplicate!E169), Duplicate!D169+Duplicate!E169))</f>
        <v>22771</v>
      </c>
      <c r="G169" s="143">
        <v>28489</v>
      </c>
      <c r="H169" s="129">
        <f>F169-Data!AL112</f>
        <v>-3169</v>
      </c>
      <c r="I169" s="127">
        <f>((F169)/(Data!AL112)) - 1</f>
        <v>-0.12216653816499612</v>
      </c>
      <c r="J169" s="127">
        <f t="shared" si="42"/>
        <v>-0.20070904559654601</v>
      </c>
      <c r="K169" s="143">
        <f>ROUND(IF($E$31="Yes",IF(Data!AG112&gt;0,(Duplicate!$K$23*Data!AG112)+Data!AI112,(Duplicate!$K$24*Data!AG112)+Data!AI112),IF(Data!AF112&gt;0,(Duplicate!$K$23*Data!AF112)+Data!AI112,(Duplicate!$K$24*Data!AF112)+Data!AI112)),0)</f>
        <v>29789</v>
      </c>
      <c r="L169" s="143">
        <f>ROUND(IF($E$31="Yes",IF(Data!$AG112&gt;0,(Duplicate!$L$23*Data!$AG112)+K169,(Duplicate!$L$24*Data!$AG112)+K169),IF(Data!$AF112&gt;0,(Duplicate!$L$23*Data!$AF112)+K169,(Duplicate!$L$24*Data!$AF112)+K169)),0)</f>
        <v>33715</v>
      </c>
      <c r="M169" s="143">
        <f>ROUND(IF($E$31="Yes",IF(Data!$AG112&gt;0,(Duplicate!$M$23*Data!$AG112)+L169,(Duplicate!$M$24*Data!$AG112)+L169),IF(Data!$AF112&gt;0,(Duplicate!$M$23*Data!$AF112)+L169,(Duplicate!$M$24*Data!$AF112)+L169)),0)</f>
        <v>37641</v>
      </c>
      <c r="N169" s="143">
        <f>ROUND(IF($E$31="Yes",IF(Data!$AG112&gt;0,(Duplicate!$N$23*Data!$AG112)+M169,(Duplicate!$N$24*Data!$AG112)+M169),IF(Data!$AF112&gt;0,(Duplicate!$N$23*Data!$AF112)+M169,(Duplicate!$N$24*Data!$AF112)+M169)),0)</f>
        <v>41567</v>
      </c>
      <c r="O169" s="143">
        <f>ROUND(IF($E$31="Yes",IF(Data!$AG112&gt;0,(Duplicate!$O$23*Data!$AG112)+N169,(Duplicate!$O$24*Data!$AG112)+N169),IF(Data!$AF112&gt;0,(Duplicate!$O$23*Data!$AF112)+N169,(Duplicate!$O$24*Data!$AF112)+N169)),0)</f>
        <v>45493</v>
      </c>
      <c r="P169" s="143">
        <f>ROUND(IF($E$31="Yes",IF(Data!$AG112&gt;0,(Duplicate!$P$23*Data!$AG112)+O169,(Duplicate!$P$24*Data!$AG112)+O169),IF(Data!$AF112&gt;0,(Duplicate!$P$23*Data!$AF112)+O169,(Duplicate!$P$24*Data!$AF112)+O169)),0)</f>
        <v>49419</v>
      </c>
      <c r="Q169" s="143">
        <f>ROUND(IF($E$31="Yes",IF(Data!$AG112&gt;0,(Duplicate!$Q$23*Data!$AG112)+P169,(Duplicate!$Q$24*Data!$AG112)+P169),IF(Data!$AF112&gt;0,(Duplicate!$Q$23*Data!$AF112)+P169,(Duplicate!$Q$24*Data!$AF112)+P169)),0)</f>
        <v>53345</v>
      </c>
      <c r="R169" s="143">
        <f>ROUND(IF($E$31="Yes",IF(Data!$AG112&gt;0,(Duplicate!$R$23*Data!$AG112)+Q169,(Duplicate!$R$24*Data!$AG112)+Q169),IF(Data!$AF112&gt;0,(Duplicate!$R$23*Data!$AF112)+Q169,(Duplicate!$R$24*Data!$AF112)+Q169)),0)</f>
        <v>57271</v>
      </c>
      <c r="S169" s="143">
        <f>ROUND(IF($E$31="Yes",IF(Data!$AG112&gt;0,(Duplicate!$S$23*Data!$AG112)+R169,(Duplicate!$S$24*Data!$AG112)+R169),IF(Data!$AF112&gt;0,(Duplicate!$S$23*Data!$AF112)+R169,(Duplicate!$S$24*Data!$AF112)+R169)),0)</f>
        <v>61197</v>
      </c>
      <c r="T169" s="143">
        <v>26148</v>
      </c>
      <c r="U169" s="143">
        <v>26433</v>
      </c>
      <c r="V169" s="143">
        <v>26718</v>
      </c>
      <c r="W169" s="143">
        <v>27003</v>
      </c>
      <c r="X169" s="143">
        <v>27288</v>
      </c>
      <c r="Y169" s="143">
        <v>27573</v>
      </c>
      <c r="Z169" s="143">
        <v>27858</v>
      </c>
      <c r="AA169" s="143">
        <v>28143</v>
      </c>
      <c r="AB169" s="143">
        <v>28428</v>
      </c>
      <c r="AC169" s="129">
        <f t="shared" si="61"/>
        <v>3641</v>
      </c>
      <c r="AD169" s="129">
        <f t="shared" si="62"/>
        <v>7282</v>
      </c>
      <c r="AE169" s="129">
        <f t="shared" si="63"/>
        <v>10923</v>
      </c>
      <c r="AF169" s="129">
        <f t="shared" si="64"/>
        <v>14564</v>
      </c>
      <c r="AG169" s="129">
        <f t="shared" si="65"/>
        <v>18205</v>
      </c>
      <c r="AH169" s="129">
        <f t="shared" si="66"/>
        <v>21846</v>
      </c>
      <c r="AI169" s="129">
        <f t="shared" si="67"/>
        <v>25487</v>
      </c>
      <c r="AJ169" s="129">
        <f t="shared" si="68"/>
        <v>29128</v>
      </c>
      <c r="AK169" s="129">
        <f t="shared" si="69"/>
        <v>32769</v>
      </c>
      <c r="AL169" s="127">
        <f t="shared" si="70"/>
        <v>0.13924583142114111</v>
      </c>
      <c r="AM169" s="127">
        <f t="shared" si="71"/>
        <v>0.27548897211818568</v>
      </c>
      <c r="AN169" s="127">
        <f t="shared" si="72"/>
        <v>0.40882551089153374</v>
      </c>
      <c r="AO169" s="127">
        <f t="shared" si="73"/>
        <v>0.5393474799096396</v>
      </c>
      <c r="AP169" s="127">
        <f t="shared" si="74"/>
        <v>0.66714306654939892</v>
      </c>
      <c r="AQ169" s="127">
        <f t="shared" si="75"/>
        <v>0.79229681209879232</v>
      </c>
      <c r="AR169" s="127">
        <f t="shared" si="76"/>
        <v>0.91488979826261763</v>
      </c>
      <c r="AS169" s="127">
        <f t="shared" si="77"/>
        <v>1.0349998223359274</v>
      </c>
      <c r="AT169" s="127">
        <f t="shared" si="78"/>
        <v>1.152701561840439</v>
      </c>
    </row>
    <row r="170" spans="1:46" s="18" customFormat="1" ht="13" x14ac:dyDescent="0.15">
      <c r="A170" s="29" t="s">
        <v>111</v>
      </c>
      <c r="B170" s="30">
        <f>IF(Data!D113=1, MAX(Data!AA113, $E$26) + INDEX(Duplicate!$E$39:$E$43, MATCH( Data!AD113, Duplicate!$B$39:$B$43, 0), 0), MAX(Data!AA113, $E$27) +  INDEX(Duplicate!$E$39:$E$43, MATCH( Data!AD113, Duplicate!$B$39:$B$43, 0), 0))</f>
        <v>0.31112899999999999</v>
      </c>
      <c r="C170" s="128">
        <f>ROUND(Data!R113/13*100, 2)</f>
        <v>0</v>
      </c>
      <c r="D170" s="141">
        <f>ROUND(Data!Q113*C170, 0)</f>
        <v>0</v>
      </c>
      <c r="E170" s="142">
        <f>ROUND($E$22*Data!W113*B170, 0)</f>
        <v>6409549</v>
      </c>
      <c r="F170" s="143">
        <f>IF(E170=0, 0,IF($E$31="Yes", IF(Data!D113=1, MAX(Duplicate!D170+Duplicate!E170, Data!AE113), Duplicate!D170+Duplicate!E170), Duplicate!D170+Duplicate!E170))</f>
        <v>6409549</v>
      </c>
      <c r="G170" s="143">
        <v>6260656</v>
      </c>
      <c r="H170" s="129">
        <f>F170-Data!AL113</f>
        <v>-921776</v>
      </c>
      <c r="I170" s="127">
        <f>((F170)/(Data!AL113)) - 1</f>
        <v>-0.12573116046553656</v>
      </c>
      <c r="J170" s="127">
        <f t="shared" si="42"/>
        <v>2.3782332075105161E-2</v>
      </c>
      <c r="K170" s="143">
        <f>ROUND(IF($E$31="Yes",IF(Data!AG113&gt;0,(Duplicate!$K$23*Data!AG113)+Data!AI113,(Duplicate!$K$24*Data!AG113)+Data!AI113),IF(Data!AF113&gt;0,(Duplicate!$K$23*Data!AF113)+Data!AI113,(Duplicate!$K$24*Data!AF113)+Data!AI113)),0)</f>
        <v>7466247</v>
      </c>
      <c r="L170" s="143">
        <f>ROUND(IF($E$31="Yes",IF(Data!$AG113&gt;0,(Duplicate!$L$23*Data!$AG113)+K170,(Duplicate!$L$24*Data!$AG113)+K170),IF(Data!$AF113&gt;0,(Duplicate!$L$23*Data!$AF113)+K170,(Duplicate!$L$24*Data!$AF113)+K170)),0)</f>
        <v>7327367</v>
      </c>
      <c r="M170" s="143">
        <f>ROUND(IF($E$31="Yes",IF(Data!$AG113&gt;0,(Duplicate!$M$23*Data!$AG113)+L170,(Duplicate!$M$24*Data!$AG113)+L170),IF(Data!$AF113&gt;0,(Duplicate!$M$23*Data!$AF113)+L170,(Duplicate!$M$24*Data!$AF113)+L170)),0)</f>
        <v>7188487</v>
      </c>
      <c r="N170" s="143">
        <f>ROUND(IF($E$31="Yes",IF(Data!$AG113&gt;0,(Duplicate!$N$23*Data!$AG113)+M170,(Duplicate!$N$24*Data!$AG113)+M170),IF(Data!$AF113&gt;0,(Duplicate!$N$23*Data!$AF113)+M170,(Duplicate!$N$24*Data!$AF113)+M170)),0)</f>
        <v>7049607</v>
      </c>
      <c r="O170" s="143">
        <f>ROUND(IF($E$31="Yes",IF(Data!$AG113&gt;0,(Duplicate!$O$23*Data!$AG113)+N170,(Duplicate!$O$24*Data!$AG113)+N170),IF(Data!$AF113&gt;0,(Duplicate!$O$23*Data!$AF113)+N170,(Duplicate!$O$24*Data!$AF113)+N170)),0)</f>
        <v>6910727</v>
      </c>
      <c r="P170" s="143">
        <f>ROUND(IF($E$31="Yes",IF(Data!$AG113&gt;0,(Duplicate!$P$23*Data!$AG113)+O170,(Duplicate!$P$24*Data!$AG113)+O170),IF(Data!$AF113&gt;0,(Duplicate!$P$23*Data!$AF113)+O170,(Duplicate!$P$24*Data!$AF113)+O170)),0)</f>
        <v>6771847</v>
      </c>
      <c r="Q170" s="143">
        <f>ROUND(IF($E$31="Yes",IF(Data!$AG113&gt;0,(Duplicate!$Q$23*Data!$AG113)+P170,(Duplicate!$Q$24*Data!$AG113)+P170),IF(Data!$AF113&gt;0,(Duplicate!$Q$23*Data!$AF113)+P170,(Duplicate!$Q$24*Data!$AF113)+P170)),0)</f>
        <v>6632967</v>
      </c>
      <c r="R170" s="143">
        <f>ROUND(IF($E$31="Yes",IF(Data!$AG113&gt;0,(Duplicate!$R$23*Data!$AG113)+Q170,(Duplicate!$R$24*Data!$AG113)+Q170),IF(Data!$AF113&gt;0,(Duplicate!$R$23*Data!$AF113)+Q170,(Duplicate!$R$24*Data!$AF113)+Q170)),0)</f>
        <v>6494087</v>
      </c>
      <c r="S170" s="143">
        <f>ROUND(IF($E$31="Yes",IF(Data!$AG113&gt;0,(Duplicate!$S$23*Data!$AG113)+R170,(Duplicate!$S$24*Data!$AG113)+R170),IF(Data!$AF113&gt;0,(Duplicate!$S$23*Data!$AF113)+R170,(Duplicate!$S$24*Data!$AF113)+R170)),0)</f>
        <v>6355207</v>
      </c>
      <c r="T170" s="143">
        <v>7453844</v>
      </c>
      <c r="U170" s="143">
        <v>7302561</v>
      </c>
      <c r="V170" s="143">
        <v>7151278</v>
      </c>
      <c r="W170" s="143">
        <v>6999995</v>
      </c>
      <c r="X170" s="143">
        <v>6848712</v>
      </c>
      <c r="Y170" s="143">
        <v>6697429</v>
      </c>
      <c r="Z170" s="143">
        <v>6546146</v>
      </c>
      <c r="AA170" s="143">
        <v>6394863</v>
      </c>
      <c r="AB170" s="143">
        <v>6243580</v>
      </c>
      <c r="AC170" s="129">
        <f t="shared" si="61"/>
        <v>12403</v>
      </c>
      <c r="AD170" s="129">
        <f t="shared" si="62"/>
        <v>24806</v>
      </c>
      <c r="AE170" s="129">
        <f t="shared" si="63"/>
        <v>37209</v>
      </c>
      <c r="AF170" s="129">
        <f t="shared" si="64"/>
        <v>49612</v>
      </c>
      <c r="AG170" s="129">
        <f t="shared" si="65"/>
        <v>62015</v>
      </c>
      <c r="AH170" s="129">
        <f t="shared" si="66"/>
        <v>74418</v>
      </c>
      <c r="AI170" s="129">
        <f t="shared" si="67"/>
        <v>86821</v>
      </c>
      <c r="AJ170" s="129">
        <f t="shared" si="68"/>
        <v>99224</v>
      </c>
      <c r="AK170" s="129">
        <f t="shared" si="69"/>
        <v>111627</v>
      </c>
      <c r="AL170" s="127">
        <f t="shared" si="70"/>
        <v>1.6639736490327017E-3</v>
      </c>
      <c r="AM170" s="127">
        <f t="shared" si="71"/>
        <v>3.3968904881451767E-3</v>
      </c>
      <c r="AN170" s="127">
        <f t="shared" si="72"/>
        <v>5.2031259307776523E-3</v>
      </c>
      <c r="AO170" s="127">
        <f t="shared" si="73"/>
        <v>7.0874336338810906E-3</v>
      </c>
      <c r="AP170" s="127">
        <f t="shared" si="74"/>
        <v>9.0549872735194992E-3</v>
      </c>
      <c r="AQ170" s="127">
        <f t="shared" si="75"/>
        <v>1.1111427982289923E-2</v>
      </c>
      <c r="AR170" s="127">
        <f t="shared" si="76"/>
        <v>1.326291836448501E-2</v>
      </c>
      <c r="AS170" s="127">
        <f t="shared" si="77"/>
        <v>1.551620417825994E-2</v>
      </c>
      <c r="AT170" s="127">
        <f t="shared" si="78"/>
        <v>1.7878684985216831E-2</v>
      </c>
    </row>
    <row r="171" spans="1:46" s="18" customFormat="1" ht="13" x14ac:dyDescent="0.15">
      <c r="A171" s="29" t="s">
        <v>112</v>
      </c>
      <c r="B171" s="30">
        <f>IF(Data!D114=1, MAX(Data!AA114, $E$26) + INDEX(Duplicate!$E$39:$E$43, MATCH( Data!AD114, Duplicate!$B$39:$B$43, 0), 0), MAX(Data!AA114, $E$27) +  INDEX(Duplicate!$E$39:$E$43, MATCH( Data!AD114, Duplicate!$B$39:$B$43, 0), 0))</f>
        <v>0.35265000000000002</v>
      </c>
      <c r="C171" s="128">
        <f>ROUND(Data!R114/13*100, 2)</f>
        <v>30.77</v>
      </c>
      <c r="D171" s="141">
        <f>ROUND(Data!Q114*C171, 0)</f>
        <v>3262</v>
      </c>
      <c r="E171" s="142">
        <f>ROUND($E$22*Data!W114*B171, 0)</f>
        <v>1659084</v>
      </c>
      <c r="F171" s="143">
        <f>IF(E171=0, 0,IF($E$31="Yes", IF(Data!D114=1, MAX(Duplicate!D171+Duplicate!E171, Data!AE114), Duplicate!D171+Duplicate!E171), Duplicate!D171+Duplicate!E171))</f>
        <v>1662346</v>
      </c>
      <c r="G171" s="143">
        <v>1358570</v>
      </c>
      <c r="H171" s="129">
        <f>F171-Data!AL114</f>
        <v>-119608</v>
      </c>
      <c r="I171" s="127">
        <f>((F171)/(Data!AL114)) - 1</f>
        <v>-6.7121822448839907E-2</v>
      </c>
      <c r="J171" s="127">
        <f t="shared" si="42"/>
        <v>0.22359981451084598</v>
      </c>
      <c r="K171" s="143">
        <f>ROUND(IF($E$31="Yes",IF(Data!AG114&gt;0,(Duplicate!$K$23*Data!AG114)+Data!AI114,(Duplicate!$K$24*Data!AG114)+Data!AI114),IF(Data!AF114&gt;0,(Duplicate!$K$23*Data!AF114)+Data!AI114,(Duplicate!$K$24*Data!AF114)+Data!AI114)),0)</f>
        <v>1864297</v>
      </c>
      <c r="L171" s="143">
        <f>ROUND(IF($E$31="Yes",IF(Data!$AG114&gt;0,(Duplicate!$L$23*Data!$AG114)+K171,(Duplicate!$L$24*Data!$AG114)+K171),IF(Data!$AF114&gt;0,(Duplicate!$L$23*Data!$AF114)+K171,(Duplicate!$L$24*Data!$AF114)+K171)),0)</f>
        <v>1835745</v>
      </c>
      <c r="M171" s="143">
        <f>ROUND(IF($E$31="Yes",IF(Data!$AG114&gt;0,(Duplicate!$M$23*Data!$AG114)+L171,(Duplicate!$M$24*Data!$AG114)+L171),IF(Data!$AF114&gt;0,(Duplicate!$M$23*Data!$AF114)+L171,(Duplicate!$M$24*Data!$AF114)+L171)),0)</f>
        <v>1807193</v>
      </c>
      <c r="N171" s="143">
        <f>ROUND(IF($E$31="Yes",IF(Data!$AG114&gt;0,(Duplicate!$N$23*Data!$AG114)+M171,(Duplicate!$N$24*Data!$AG114)+M171),IF(Data!$AF114&gt;0,(Duplicate!$N$23*Data!$AF114)+M171,(Duplicate!$N$24*Data!$AF114)+M171)),0)</f>
        <v>1778641</v>
      </c>
      <c r="O171" s="143">
        <f>ROUND(IF($E$31="Yes",IF(Data!$AG114&gt;0,(Duplicate!$O$23*Data!$AG114)+N171,(Duplicate!$O$24*Data!$AG114)+N171),IF(Data!$AF114&gt;0,(Duplicate!$O$23*Data!$AF114)+N171,(Duplicate!$O$24*Data!$AF114)+N171)),0)</f>
        <v>1750089</v>
      </c>
      <c r="P171" s="143">
        <f>ROUND(IF($E$31="Yes",IF(Data!$AG114&gt;0,(Duplicate!$P$23*Data!$AG114)+O171,(Duplicate!$P$24*Data!$AG114)+O171),IF(Data!$AF114&gt;0,(Duplicate!$P$23*Data!$AF114)+O171,(Duplicate!$P$24*Data!$AF114)+O171)),0)</f>
        <v>1721537</v>
      </c>
      <c r="Q171" s="143">
        <f>ROUND(IF($E$31="Yes",IF(Data!$AG114&gt;0,(Duplicate!$Q$23*Data!$AG114)+P171,(Duplicate!$Q$24*Data!$AG114)+P171),IF(Data!$AF114&gt;0,(Duplicate!$Q$23*Data!$AF114)+P171,(Duplicate!$Q$24*Data!$AF114)+P171)),0)</f>
        <v>1692985</v>
      </c>
      <c r="R171" s="143">
        <f>ROUND(IF($E$31="Yes",IF(Data!$AG114&gt;0,(Duplicate!$R$23*Data!$AG114)+Q171,(Duplicate!$R$24*Data!$AG114)+Q171),IF(Data!$AF114&gt;0,(Duplicate!$R$23*Data!$AF114)+Q171,(Duplicate!$R$24*Data!$AF114)+Q171)),0)</f>
        <v>1664433</v>
      </c>
      <c r="S171" s="143">
        <f>ROUND(IF($E$31="Yes",IF(Data!$AG114&gt;0,(Duplicate!$S$23*Data!$AG114)+R171,(Duplicate!$S$24*Data!$AG114)+R171),IF(Data!$AF114&gt;0,(Duplicate!$S$23*Data!$AF114)+R171,(Duplicate!$S$24*Data!$AF114)+R171)),0)</f>
        <v>1635881</v>
      </c>
      <c r="T171" s="143">
        <v>1835733</v>
      </c>
      <c r="U171" s="143">
        <v>1778616</v>
      </c>
      <c r="V171" s="143">
        <v>1721499</v>
      </c>
      <c r="W171" s="143">
        <v>1664382</v>
      </c>
      <c r="X171" s="143">
        <v>1607265</v>
      </c>
      <c r="Y171" s="143">
        <v>1550148</v>
      </c>
      <c r="Z171" s="143">
        <v>1493031</v>
      </c>
      <c r="AA171" s="143">
        <v>1435914</v>
      </c>
      <c r="AB171" s="143">
        <v>1378797</v>
      </c>
      <c r="AC171" s="129">
        <f t="shared" si="61"/>
        <v>28564</v>
      </c>
      <c r="AD171" s="129">
        <f t="shared" si="62"/>
        <v>57129</v>
      </c>
      <c r="AE171" s="129">
        <f t="shared" si="63"/>
        <v>85694</v>
      </c>
      <c r="AF171" s="129">
        <f t="shared" si="64"/>
        <v>114259</v>
      </c>
      <c r="AG171" s="129">
        <f t="shared" si="65"/>
        <v>142824</v>
      </c>
      <c r="AH171" s="129">
        <f t="shared" si="66"/>
        <v>171389</v>
      </c>
      <c r="AI171" s="129">
        <f t="shared" si="67"/>
        <v>199954</v>
      </c>
      <c r="AJ171" s="129">
        <f t="shared" si="68"/>
        <v>228519</v>
      </c>
      <c r="AK171" s="129">
        <f t="shared" si="69"/>
        <v>257084</v>
      </c>
      <c r="AL171" s="127">
        <f t="shared" si="70"/>
        <v>1.5559997014816362E-2</v>
      </c>
      <c r="AM171" s="127">
        <f t="shared" si="71"/>
        <v>3.2119917958682409E-2</v>
      </c>
      <c r="AN171" s="127">
        <f t="shared" si="72"/>
        <v>4.9778710298408635E-2</v>
      </c>
      <c r="AO171" s="127">
        <f t="shared" si="73"/>
        <v>6.8649504741099099E-2</v>
      </c>
      <c r="AP171" s="127">
        <f t="shared" si="74"/>
        <v>8.8861513191664132E-2</v>
      </c>
      <c r="AQ171" s="127">
        <f t="shared" si="75"/>
        <v>0.11056299140469172</v>
      </c>
      <c r="AR171" s="127">
        <f t="shared" si="76"/>
        <v>0.13392488166689098</v>
      </c>
      <c r="AS171" s="127">
        <f t="shared" si="77"/>
        <v>0.15914532485928823</v>
      </c>
      <c r="AT171" s="127">
        <f t="shared" si="78"/>
        <v>0.18645529399904404</v>
      </c>
    </row>
    <row r="172" spans="1:46" s="18" customFormat="1" ht="13" x14ac:dyDescent="0.15">
      <c r="A172" s="29" t="s">
        <v>113</v>
      </c>
      <c r="B172" s="30">
        <f>IF(Data!D115=1, MAX(Data!AA115, $E$26) + INDEX(Duplicate!$E$39:$E$43, MATCH( Data!AD115, Duplicate!$B$39:$B$43, 0), 0), MAX(Data!AA115, $E$27) +  INDEX(Duplicate!$E$39:$E$43, MATCH( Data!AD115, Duplicate!$B$39:$B$43, 0), 0))</f>
        <v>0.10191699999999999</v>
      </c>
      <c r="C172" s="128">
        <f>ROUND(Data!R115/13*100, 2)</f>
        <v>0</v>
      </c>
      <c r="D172" s="141">
        <f>ROUND(Data!Q115*C172, 0)</f>
        <v>0</v>
      </c>
      <c r="E172" s="142">
        <f>ROUND($E$22*Data!W115*B172, 0)</f>
        <v>3928310</v>
      </c>
      <c r="F172" s="143">
        <f>IF(E172=0, 0,IF($E$31="Yes", IF(Data!D115=1, MAX(Duplicate!D172+Duplicate!E172, Data!AE115), Duplicate!D172+Duplicate!E172), Duplicate!D172+Duplicate!E172))</f>
        <v>3928310</v>
      </c>
      <c r="G172" s="143">
        <v>3751892</v>
      </c>
      <c r="H172" s="129">
        <f>F172-Data!AL115</f>
        <v>76950</v>
      </c>
      <c r="I172" s="127">
        <f>((F172)/(Data!AL115)) - 1</f>
        <v>1.997995513273243E-2</v>
      </c>
      <c r="J172" s="127">
        <f t="shared" si="42"/>
        <v>4.7021076299637699E-2</v>
      </c>
      <c r="K172" s="143">
        <f>ROUND(IF($E$31="Yes",IF(Data!AG115&gt;0,(Duplicate!$K$23*Data!AG115)+Data!AI115,(Duplicate!$K$24*Data!AG115)+Data!AI115),IF(Data!AF115&gt;0,(Duplicate!$K$23*Data!AF115)+Data!AI115,(Duplicate!$K$24*Data!AF115)+Data!AI115)),0)</f>
        <v>3878096</v>
      </c>
      <c r="L172" s="143">
        <f>ROUND(IF($E$31="Yes",IF(Data!$AG115&gt;0,(Duplicate!$L$23*Data!$AG115)+K172,(Duplicate!$L$24*Data!$AG115)+K172),IF(Data!$AF115&gt;0,(Duplicate!$L$23*Data!$AF115)+K172,(Duplicate!$L$24*Data!$AF115)+K172)),0)</f>
        <v>3887287</v>
      </c>
      <c r="M172" s="143">
        <f>ROUND(IF($E$31="Yes",IF(Data!$AG115&gt;0,(Duplicate!$M$23*Data!$AG115)+L172,(Duplicate!$M$24*Data!$AG115)+L172),IF(Data!$AF115&gt;0,(Duplicate!$M$23*Data!$AF115)+L172,(Duplicate!$M$24*Data!$AF115)+L172)),0)</f>
        <v>3896478</v>
      </c>
      <c r="N172" s="143">
        <f>ROUND(IF($E$31="Yes",IF(Data!$AG115&gt;0,(Duplicate!$N$23*Data!$AG115)+M172,(Duplicate!$N$24*Data!$AG115)+M172),IF(Data!$AF115&gt;0,(Duplicate!$N$23*Data!$AF115)+M172,(Duplicate!$N$24*Data!$AF115)+M172)),0)</f>
        <v>3905669</v>
      </c>
      <c r="O172" s="143">
        <f>ROUND(IF($E$31="Yes",IF(Data!$AG115&gt;0,(Duplicate!$O$23*Data!$AG115)+N172,(Duplicate!$O$24*Data!$AG115)+N172),IF(Data!$AF115&gt;0,(Duplicate!$O$23*Data!$AF115)+N172,(Duplicate!$O$24*Data!$AF115)+N172)),0)</f>
        <v>3914860</v>
      </c>
      <c r="P172" s="143">
        <f>ROUND(IF($E$31="Yes",IF(Data!$AG115&gt;0,(Duplicate!$P$23*Data!$AG115)+O172,(Duplicate!$P$24*Data!$AG115)+O172),IF(Data!$AF115&gt;0,(Duplicate!$P$23*Data!$AF115)+O172,(Duplicate!$P$24*Data!$AF115)+O172)),0)</f>
        <v>3924051</v>
      </c>
      <c r="Q172" s="143">
        <f>ROUND(IF($E$31="Yes",IF(Data!$AG115&gt;0,(Duplicate!$Q$23*Data!$AG115)+P172,(Duplicate!$Q$24*Data!$AG115)+P172),IF(Data!$AF115&gt;0,(Duplicate!$Q$23*Data!$AF115)+P172,(Duplicate!$Q$24*Data!$AF115)+P172)),0)</f>
        <v>3933242</v>
      </c>
      <c r="R172" s="143">
        <f>ROUND(IF($E$31="Yes",IF(Data!$AG115&gt;0,(Duplicate!$R$23*Data!$AG115)+Q172,(Duplicate!$R$24*Data!$AG115)+Q172),IF(Data!$AF115&gt;0,(Duplicate!$R$23*Data!$AF115)+Q172,(Duplicate!$R$24*Data!$AF115)+Q172)),0)</f>
        <v>3942433</v>
      </c>
      <c r="S172" s="143">
        <f>ROUND(IF($E$31="Yes",IF(Data!$AG115&gt;0,(Duplicate!$S$23*Data!$AG115)+R172,(Duplicate!$S$24*Data!$AG115)+R172),IF(Data!$AF115&gt;0,(Duplicate!$S$23*Data!$AF115)+R172,(Duplicate!$S$24*Data!$AF115)+R172)),0)</f>
        <v>3951624</v>
      </c>
      <c r="T172" s="143">
        <v>3861392</v>
      </c>
      <c r="U172" s="143">
        <v>3853879</v>
      </c>
      <c r="V172" s="143">
        <v>3846366</v>
      </c>
      <c r="W172" s="143">
        <v>3838853</v>
      </c>
      <c r="X172" s="143">
        <v>3831340</v>
      </c>
      <c r="Y172" s="143">
        <v>3823827</v>
      </c>
      <c r="Z172" s="143">
        <v>3816314</v>
      </c>
      <c r="AA172" s="143">
        <v>3808801</v>
      </c>
      <c r="AB172" s="143">
        <v>3801288</v>
      </c>
      <c r="AC172" s="129">
        <f t="shared" si="61"/>
        <v>16704</v>
      </c>
      <c r="AD172" s="129">
        <f t="shared" si="62"/>
        <v>33408</v>
      </c>
      <c r="AE172" s="129">
        <f t="shared" si="63"/>
        <v>50112</v>
      </c>
      <c r="AF172" s="129">
        <f t="shared" si="64"/>
        <v>66816</v>
      </c>
      <c r="AG172" s="129">
        <f t="shared" si="65"/>
        <v>83520</v>
      </c>
      <c r="AH172" s="129">
        <f t="shared" si="66"/>
        <v>100224</v>
      </c>
      <c r="AI172" s="129">
        <f t="shared" si="67"/>
        <v>116928</v>
      </c>
      <c r="AJ172" s="129">
        <f t="shared" si="68"/>
        <v>133632</v>
      </c>
      <c r="AK172" s="129">
        <f t="shared" si="69"/>
        <v>150336</v>
      </c>
      <c r="AL172" s="127">
        <f t="shared" si="70"/>
        <v>4.3259011258116598E-3</v>
      </c>
      <c r="AM172" s="127">
        <f t="shared" si="71"/>
        <v>8.6686686323051987E-3</v>
      </c>
      <c r="AN172" s="127">
        <f t="shared" si="72"/>
        <v>1.3028401353381458E-2</v>
      </c>
      <c r="AO172" s="127">
        <f t="shared" si="73"/>
        <v>1.7405198896649487E-2</v>
      </c>
      <c r="AP172" s="127">
        <f t="shared" si="74"/>
        <v>2.1799161651015142E-2</v>
      </c>
      <c r="AQ172" s="127">
        <f t="shared" si="75"/>
        <v>2.6210390794353389E-2</v>
      </c>
      <c r="AR172" s="127">
        <f t="shared" si="76"/>
        <v>3.0638988301277204E-2</v>
      </c>
      <c r="AS172" s="127">
        <f t="shared" si="77"/>
        <v>3.5085056950993287E-2</v>
      </c>
      <c r="AT172" s="127">
        <f t="shared" si="78"/>
        <v>3.9548700335254816E-2</v>
      </c>
    </row>
    <row r="173" spans="1:46" s="18" customFormat="1" ht="13" x14ac:dyDescent="0.15">
      <c r="A173" s="29" t="s">
        <v>114</v>
      </c>
      <c r="B173" s="30">
        <f>IF(Data!D116=1, MAX(Data!AA116, $E$26) + INDEX(Duplicate!$E$39:$E$43, MATCH( Data!AD116, Duplicate!$B$39:$B$43, 0), 0), MAX(Data!AA116, $E$27) +  INDEX(Duplicate!$E$39:$E$43, MATCH( Data!AD116, Duplicate!$B$39:$B$43, 0), 0))</f>
        <v>0.23300799999999999</v>
      </c>
      <c r="C173" s="128">
        <f>ROUND(Data!R116/13*100, 2)</f>
        <v>0</v>
      </c>
      <c r="D173" s="141">
        <f>ROUND(Data!Q116*C173, 0)</f>
        <v>0</v>
      </c>
      <c r="E173" s="142">
        <f>ROUND($E$22*Data!W116*B173, 0)</f>
        <v>2031169</v>
      </c>
      <c r="F173" s="143">
        <f>IF(E173=0, 0,IF($E$31="Yes", IF(Data!D116=1, MAX(Duplicate!D173+Duplicate!E173, Data!AE116), Duplicate!D173+Duplicate!E173), Duplicate!D173+Duplicate!E173))</f>
        <v>2031169</v>
      </c>
      <c r="G173" s="143">
        <v>2224346</v>
      </c>
      <c r="H173" s="129">
        <f>F173-Data!AL116</f>
        <v>-553035</v>
      </c>
      <c r="I173" s="127">
        <f>((F173)/(Data!AL116)) - 1</f>
        <v>-0.21400593761173659</v>
      </c>
      <c r="J173" s="127">
        <f t="shared" si="42"/>
        <v>-8.6846650655968083E-2</v>
      </c>
      <c r="K173" s="143">
        <f>ROUND(IF($E$31="Yes",IF(Data!AG116&gt;0,(Duplicate!$K$23*Data!AG116)+Data!AI116,(Duplicate!$K$24*Data!AG116)+Data!AI116),IF(Data!AF116&gt;0,(Duplicate!$K$23*Data!AF116)+Data!AI116,(Duplicate!$K$24*Data!AF116)+Data!AI116)),0)</f>
        <v>2641749</v>
      </c>
      <c r="L173" s="143">
        <f>ROUND(IF($E$31="Yes",IF(Data!$AG116&gt;0,(Duplicate!$L$23*Data!$AG116)+K173,(Duplicate!$L$24*Data!$AG116)+K173),IF(Data!$AF116&gt;0,(Duplicate!$L$23*Data!$AF116)+K173,(Duplicate!$L$24*Data!$AF116)+K173)),0)</f>
        <v>2574834</v>
      </c>
      <c r="M173" s="143">
        <f>ROUND(IF($E$31="Yes",IF(Data!$AG116&gt;0,(Duplicate!$M$23*Data!$AG116)+L173,(Duplicate!$M$24*Data!$AG116)+L173),IF(Data!$AF116&gt;0,(Duplicate!$M$23*Data!$AF116)+L173,(Duplicate!$M$24*Data!$AF116)+L173)),0)</f>
        <v>2507919</v>
      </c>
      <c r="N173" s="143">
        <f>ROUND(IF($E$31="Yes",IF(Data!$AG116&gt;0,(Duplicate!$N$23*Data!$AG116)+M173,(Duplicate!$N$24*Data!$AG116)+M173),IF(Data!$AF116&gt;0,(Duplicate!$N$23*Data!$AF116)+M173,(Duplicate!$N$24*Data!$AF116)+M173)),0)</f>
        <v>2441004</v>
      </c>
      <c r="O173" s="143">
        <f>ROUND(IF($E$31="Yes",IF(Data!$AG116&gt;0,(Duplicate!$O$23*Data!$AG116)+N173,(Duplicate!$O$24*Data!$AG116)+N173),IF(Data!$AF116&gt;0,(Duplicate!$O$23*Data!$AF116)+N173,(Duplicate!$O$24*Data!$AF116)+N173)),0)</f>
        <v>2374089</v>
      </c>
      <c r="P173" s="143">
        <f>ROUND(IF($E$31="Yes",IF(Data!$AG116&gt;0,(Duplicate!$P$23*Data!$AG116)+O173,(Duplicate!$P$24*Data!$AG116)+O173),IF(Data!$AF116&gt;0,(Duplicate!$P$23*Data!$AF116)+O173,(Duplicate!$P$24*Data!$AF116)+O173)),0)</f>
        <v>2307174</v>
      </c>
      <c r="Q173" s="143">
        <f>ROUND(IF($E$31="Yes",IF(Data!$AG116&gt;0,(Duplicate!$Q$23*Data!$AG116)+P173,(Duplicate!$Q$24*Data!$AG116)+P173),IF(Data!$AF116&gt;0,(Duplicate!$Q$23*Data!$AF116)+P173,(Duplicate!$Q$24*Data!$AF116)+P173)),0)</f>
        <v>2240259</v>
      </c>
      <c r="R173" s="143">
        <f>ROUND(IF($E$31="Yes",IF(Data!$AG116&gt;0,(Duplicate!$R$23*Data!$AG116)+Q173,(Duplicate!$R$24*Data!$AG116)+Q173),IF(Data!$AF116&gt;0,(Duplicate!$R$23*Data!$AF116)+Q173,(Duplicate!$R$24*Data!$AF116)+Q173)),0)</f>
        <v>2173344</v>
      </c>
      <c r="S173" s="143">
        <f>ROUND(IF($E$31="Yes",IF(Data!$AG116&gt;0,(Duplicate!$S$23*Data!$AG116)+R173,(Duplicate!$S$24*Data!$AG116)+R173),IF(Data!$AF116&gt;0,(Duplicate!$S$23*Data!$AF116)+R173,(Duplicate!$S$24*Data!$AF116)+R173)),0)</f>
        <v>2106429</v>
      </c>
      <c r="T173" s="143">
        <v>2657840</v>
      </c>
      <c r="U173" s="143">
        <v>2607017</v>
      </c>
      <c r="V173" s="143">
        <v>2556194</v>
      </c>
      <c r="W173" s="143">
        <v>2505371</v>
      </c>
      <c r="X173" s="143">
        <v>2454548</v>
      </c>
      <c r="Y173" s="143">
        <v>2403725</v>
      </c>
      <c r="Z173" s="143">
        <v>2352902</v>
      </c>
      <c r="AA173" s="143">
        <v>2302079</v>
      </c>
      <c r="AB173" s="143">
        <v>2251256</v>
      </c>
      <c r="AC173" s="129">
        <f t="shared" si="61"/>
        <v>-16091</v>
      </c>
      <c r="AD173" s="129">
        <f t="shared" si="62"/>
        <v>-32183</v>
      </c>
      <c r="AE173" s="129">
        <f t="shared" si="63"/>
        <v>-48275</v>
      </c>
      <c r="AF173" s="129">
        <f t="shared" si="64"/>
        <v>-64367</v>
      </c>
      <c r="AG173" s="129">
        <f t="shared" si="65"/>
        <v>-80459</v>
      </c>
      <c r="AH173" s="129">
        <f t="shared" si="66"/>
        <v>-96551</v>
      </c>
      <c r="AI173" s="129">
        <f t="shared" si="67"/>
        <v>-112643</v>
      </c>
      <c r="AJ173" s="129">
        <f t="shared" si="68"/>
        <v>-128735</v>
      </c>
      <c r="AK173" s="129">
        <f t="shared" si="69"/>
        <v>-144827</v>
      </c>
      <c r="AL173" s="127">
        <f t="shared" si="70"/>
        <v>-6.0541642837793619E-3</v>
      </c>
      <c r="AM173" s="127">
        <f t="shared" si="71"/>
        <v>-1.2344760314182857E-2</v>
      </c>
      <c r="AN173" s="127">
        <f t="shared" si="72"/>
        <v>-1.8885499300913766E-2</v>
      </c>
      <c r="AO173" s="127">
        <f t="shared" si="73"/>
        <v>-2.5691604157627723E-2</v>
      </c>
      <c r="AP173" s="127">
        <f t="shared" si="74"/>
        <v>-3.2779558598976299E-2</v>
      </c>
      <c r="AQ173" s="127">
        <f t="shared" si="75"/>
        <v>-4.0167240428917617E-2</v>
      </c>
      <c r="AR173" s="127">
        <f t="shared" si="76"/>
        <v>-4.7874072103300525E-2</v>
      </c>
      <c r="AS173" s="127">
        <f t="shared" si="77"/>
        <v>-5.5921191236269485E-2</v>
      </c>
      <c r="AT173" s="127">
        <f t="shared" si="78"/>
        <v>-6.4331644202169858E-2</v>
      </c>
    </row>
    <row r="174" spans="1:46" s="18" customFormat="1" ht="13" x14ac:dyDescent="0.15">
      <c r="A174" s="29" t="s">
        <v>115</v>
      </c>
      <c r="B174" s="30">
        <f>IF(Data!D117=1, MAX(Data!AA117, $E$26) + INDEX(Duplicate!$E$39:$E$43, MATCH( Data!AD117, Duplicate!$B$39:$B$43, 0), 0), MAX(Data!AA117, $E$27) +  INDEX(Duplicate!$E$39:$E$43, MATCH( Data!AD117, Duplicate!$B$39:$B$43, 0), 0))</f>
        <v>0.1</v>
      </c>
      <c r="C174" s="128">
        <f>ROUND(Data!R117/13*100, 2)</f>
        <v>0</v>
      </c>
      <c r="D174" s="141">
        <f>ROUND(Data!Q117*C174, 0)</f>
        <v>0</v>
      </c>
      <c r="E174" s="142">
        <f>ROUND($E$22*Data!W117*B174, 0)</f>
        <v>16762582</v>
      </c>
      <c r="F174" s="143">
        <f>IF(E174=0, 0,IF($E$31="Yes", IF(Data!D117=1, MAX(Duplicate!D174+Duplicate!E174, Data!AE117), Duplicate!D174+Duplicate!E174), Duplicate!D174+Duplicate!E174))</f>
        <v>16762582</v>
      </c>
      <c r="G174" s="143">
        <v>16338693</v>
      </c>
      <c r="H174" s="129">
        <f>F174-Data!AL117</f>
        <v>4172103</v>
      </c>
      <c r="I174" s="127">
        <f>((F174)/(Data!AL117)) - 1</f>
        <v>0.33136968021629687</v>
      </c>
      <c r="J174" s="127">
        <f t="shared" si="42"/>
        <v>2.5943874458012051E-2</v>
      </c>
      <c r="K174" s="143">
        <f>ROUND(IF($E$31="Yes",IF(Data!AG117&gt;0,(Duplicate!$K$23*Data!AG117)+Data!AI117,(Duplicate!$K$24*Data!AG117)+Data!AI117),IF(Data!AF117&gt;0,(Duplicate!$K$23*Data!AF117)+Data!AI117,(Duplicate!$K$24*Data!AF117)+Data!AI117)),0)</f>
        <v>12027716</v>
      </c>
      <c r="L174" s="143">
        <f>ROUND(IF($E$31="Yes",IF(Data!$AG117&gt;0,(Duplicate!$L$23*Data!$AG117)+K174,(Duplicate!$L$24*Data!$AG117)+K174),IF(Data!$AF117&gt;0,(Duplicate!$L$23*Data!$AF117)+K174,(Duplicate!$L$24*Data!$AF117)+K174)),0)</f>
        <v>12616067</v>
      </c>
      <c r="M174" s="143">
        <f>ROUND(IF($E$31="Yes",IF(Data!$AG117&gt;0,(Duplicate!$M$23*Data!$AG117)+L174,(Duplicate!$M$24*Data!$AG117)+L174),IF(Data!$AF117&gt;0,(Duplicate!$M$23*Data!$AF117)+L174,(Duplicate!$M$24*Data!$AF117)+L174)),0)</f>
        <v>13204418</v>
      </c>
      <c r="N174" s="143">
        <f>ROUND(IF($E$31="Yes",IF(Data!$AG117&gt;0,(Duplicate!$N$23*Data!$AG117)+M174,(Duplicate!$N$24*Data!$AG117)+M174),IF(Data!$AF117&gt;0,(Duplicate!$N$23*Data!$AF117)+M174,(Duplicate!$N$24*Data!$AF117)+M174)),0)</f>
        <v>13792769</v>
      </c>
      <c r="O174" s="143">
        <f>ROUND(IF($E$31="Yes",IF(Data!$AG117&gt;0,(Duplicate!$O$23*Data!$AG117)+N174,(Duplicate!$O$24*Data!$AG117)+N174),IF(Data!$AF117&gt;0,(Duplicate!$O$23*Data!$AF117)+N174,(Duplicate!$O$24*Data!$AF117)+N174)),0)</f>
        <v>14381120</v>
      </c>
      <c r="P174" s="143">
        <f>ROUND(IF($E$31="Yes",IF(Data!$AG117&gt;0,(Duplicate!$P$23*Data!$AG117)+O174,(Duplicate!$P$24*Data!$AG117)+O174),IF(Data!$AF117&gt;0,(Duplicate!$P$23*Data!$AF117)+O174,(Duplicate!$P$24*Data!$AF117)+O174)),0)</f>
        <v>14969471</v>
      </c>
      <c r="Q174" s="143">
        <f>ROUND(IF($E$31="Yes",IF(Data!$AG117&gt;0,(Duplicate!$Q$23*Data!$AG117)+P174,(Duplicate!$Q$24*Data!$AG117)+P174),IF(Data!$AF117&gt;0,(Duplicate!$Q$23*Data!$AF117)+P174,(Duplicate!$Q$24*Data!$AF117)+P174)),0)</f>
        <v>15557822</v>
      </c>
      <c r="R174" s="143">
        <f>ROUND(IF($E$31="Yes",IF(Data!$AG117&gt;0,(Duplicate!$R$23*Data!$AG117)+Q174,(Duplicate!$R$24*Data!$AG117)+Q174),IF(Data!$AF117&gt;0,(Duplicate!$R$23*Data!$AF117)+Q174,(Duplicate!$R$24*Data!$AF117)+Q174)),0)</f>
        <v>16146173</v>
      </c>
      <c r="S174" s="143">
        <f>ROUND(IF($E$31="Yes",IF(Data!$AG117&gt;0,(Duplicate!$S$23*Data!$AG117)+R174,(Duplicate!$S$24*Data!$AG117)+R174),IF(Data!$AF117&gt;0,(Duplicate!$S$23*Data!$AF117)+R174,(Duplicate!$S$24*Data!$AF117)+R174)),0)</f>
        <v>16734524</v>
      </c>
      <c r="T174" s="143">
        <v>11982529</v>
      </c>
      <c r="U174" s="143">
        <v>12525694</v>
      </c>
      <c r="V174" s="143">
        <v>13068859</v>
      </c>
      <c r="W174" s="143">
        <v>13612024</v>
      </c>
      <c r="X174" s="143">
        <v>14155189</v>
      </c>
      <c r="Y174" s="143">
        <v>14698354</v>
      </c>
      <c r="Z174" s="143">
        <v>15241519</v>
      </c>
      <c r="AA174" s="143">
        <v>15784684</v>
      </c>
      <c r="AB174" s="143">
        <v>16327849</v>
      </c>
      <c r="AC174" s="129">
        <f t="shared" si="61"/>
        <v>45187</v>
      </c>
      <c r="AD174" s="129">
        <f t="shared" si="62"/>
        <v>90373</v>
      </c>
      <c r="AE174" s="129">
        <f t="shared" si="63"/>
        <v>135559</v>
      </c>
      <c r="AF174" s="129">
        <f t="shared" si="64"/>
        <v>180745</v>
      </c>
      <c r="AG174" s="129">
        <f t="shared" si="65"/>
        <v>225931</v>
      </c>
      <c r="AH174" s="129">
        <f t="shared" si="66"/>
        <v>271117</v>
      </c>
      <c r="AI174" s="129">
        <f t="shared" si="67"/>
        <v>316303</v>
      </c>
      <c r="AJ174" s="129">
        <f t="shared" si="68"/>
        <v>361489</v>
      </c>
      <c r="AK174" s="129">
        <f t="shared" si="69"/>
        <v>406675</v>
      </c>
      <c r="AL174" s="127">
        <f t="shared" si="70"/>
        <v>3.7710737023879393E-3</v>
      </c>
      <c r="AM174" s="127">
        <f t="shared" si="71"/>
        <v>7.2150094038700985E-3</v>
      </c>
      <c r="AN174" s="127">
        <f t="shared" si="72"/>
        <v>1.0372672931890925E-2</v>
      </c>
      <c r="AO174" s="127">
        <f t="shared" si="73"/>
        <v>1.3278333920069496E-2</v>
      </c>
      <c r="AP174" s="127">
        <f t="shared" si="74"/>
        <v>1.5961002004282632E-2</v>
      </c>
      <c r="AQ174" s="127">
        <f t="shared" si="75"/>
        <v>1.844539871607398E-2</v>
      </c>
      <c r="AR174" s="127">
        <f t="shared" si="76"/>
        <v>2.0752721562726117E-2</v>
      </c>
      <c r="AS174" s="127">
        <f t="shared" si="77"/>
        <v>2.2901250351289981E-2</v>
      </c>
      <c r="AT174" s="127">
        <f t="shared" si="78"/>
        <v>2.490683249214265E-2</v>
      </c>
    </row>
    <row r="175" spans="1:46" s="18" customFormat="1" ht="13" x14ac:dyDescent="0.15">
      <c r="A175" s="29" t="s">
        <v>116</v>
      </c>
      <c r="B175" s="30">
        <f>IF(Data!D118=1, MAX(Data!AA118, $E$26) + INDEX(Duplicate!$E$39:$E$43, MATCH( Data!AD118, Duplicate!$B$39:$B$43, 0), 0), MAX(Data!AA118, $E$27) +  INDEX(Duplicate!$E$39:$E$43, MATCH( Data!AD118, Duplicate!$B$39:$B$43, 0), 0))</f>
        <v>0.65622500000000006</v>
      </c>
      <c r="C175" s="128">
        <f>ROUND(Data!R118/13*100, 2)</f>
        <v>0</v>
      </c>
      <c r="D175" s="141">
        <f>ROUND(Data!Q118*C175, 0)</f>
        <v>0</v>
      </c>
      <c r="E175" s="142">
        <f>ROUND($E$22*Data!W118*B175, 0)</f>
        <v>47971022</v>
      </c>
      <c r="F175" s="143">
        <f>IF(E175=0, 0,IF($E$31="Yes", IF(Data!D118=1, MAX(Duplicate!D175+Duplicate!E175, Data!AE118), Duplicate!D175+Duplicate!E175), Duplicate!D175+Duplicate!E175))</f>
        <v>47971022</v>
      </c>
      <c r="G175" s="143">
        <v>48069955</v>
      </c>
      <c r="H175" s="129">
        <f>F175-Data!AL118</f>
        <v>8742784</v>
      </c>
      <c r="I175" s="127">
        <f>((F175)/(Data!AL118)) - 1</f>
        <v>0.22286965833132766</v>
      </c>
      <c r="J175" s="127">
        <f t="shared" si="42"/>
        <v>-2.0581046934619041E-3</v>
      </c>
      <c r="K175" s="143">
        <f>ROUND(IF($E$31="Yes",IF(Data!AG118&gt;0,(Duplicate!$K$23*Data!AG118)+Data!AI118,(Duplicate!$K$24*Data!AG118)+Data!AI118),IF(Data!AF118&gt;0,(Duplicate!$K$23*Data!AF118)+Data!AI118,(Duplicate!$K$24*Data!AF118)+Data!AI118)),0)</f>
        <v>38035521</v>
      </c>
      <c r="L175" s="143">
        <f>ROUND(IF($E$31="Yes",IF(Data!$AG118&gt;0,(Duplicate!$L$23*Data!$AG118)+K175,(Duplicate!$L$24*Data!$AG118)+K175),IF(Data!$AF118&gt;0,(Duplicate!$L$23*Data!$AF118)+K175,(Duplicate!$L$24*Data!$AF118)+K175)),0)</f>
        <v>39351621</v>
      </c>
      <c r="M175" s="143">
        <f>ROUND(IF($E$31="Yes",IF(Data!$AG118&gt;0,(Duplicate!$M$23*Data!$AG118)+L175,(Duplicate!$M$24*Data!$AG118)+L175),IF(Data!$AF118&gt;0,(Duplicate!$M$23*Data!$AF118)+L175,(Duplicate!$M$24*Data!$AF118)+L175)),0)</f>
        <v>40667721</v>
      </c>
      <c r="N175" s="143">
        <f>ROUND(IF($E$31="Yes",IF(Data!$AG118&gt;0,(Duplicate!$N$23*Data!$AG118)+M175,(Duplicate!$N$24*Data!$AG118)+M175),IF(Data!$AF118&gt;0,(Duplicate!$N$23*Data!$AF118)+M175,(Duplicate!$N$24*Data!$AF118)+M175)),0)</f>
        <v>41983821</v>
      </c>
      <c r="O175" s="143">
        <f>ROUND(IF($E$31="Yes",IF(Data!$AG118&gt;0,(Duplicate!$O$23*Data!$AG118)+N175,(Duplicate!$O$24*Data!$AG118)+N175),IF(Data!$AF118&gt;0,(Duplicate!$O$23*Data!$AF118)+N175,(Duplicate!$O$24*Data!$AF118)+N175)),0)</f>
        <v>43299921</v>
      </c>
      <c r="P175" s="143">
        <f>ROUND(IF($E$31="Yes",IF(Data!$AG118&gt;0,(Duplicate!$P$23*Data!$AG118)+O175,(Duplicate!$P$24*Data!$AG118)+O175),IF(Data!$AF118&gt;0,(Duplicate!$P$23*Data!$AF118)+O175,(Duplicate!$P$24*Data!$AF118)+O175)),0)</f>
        <v>44616021</v>
      </c>
      <c r="Q175" s="143">
        <f>ROUND(IF($E$31="Yes",IF(Data!$AG118&gt;0,(Duplicate!$Q$23*Data!$AG118)+P175,(Duplicate!$Q$24*Data!$AG118)+P175),IF(Data!$AF118&gt;0,(Duplicate!$Q$23*Data!$AF118)+P175,(Duplicate!$Q$24*Data!$AF118)+P175)),0)</f>
        <v>45932121</v>
      </c>
      <c r="R175" s="143">
        <f>ROUND(IF($E$31="Yes",IF(Data!$AG118&gt;0,(Duplicate!$R$23*Data!$AG118)+Q175,(Duplicate!$R$24*Data!$AG118)+Q175),IF(Data!$AF118&gt;0,(Duplicate!$R$23*Data!$AF118)+Q175,(Duplicate!$R$24*Data!$AF118)+Q175)),0)</f>
        <v>47248221</v>
      </c>
      <c r="S175" s="143">
        <f>ROUND(IF($E$31="Yes",IF(Data!$AG118&gt;0,(Duplicate!$S$23*Data!$AG118)+R175,(Duplicate!$S$24*Data!$AG118)+R175),IF(Data!$AF118&gt;0,(Duplicate!$S$23*Data!$AF118)+R175,(Duplicate!$S$24*Data!$AF118)+R175)),0)</f>
        <v>48564321</v>
      </c>
      <c r="T175" s="143">
        <v>37983728</v>
      </c>
      <c r="U175" s="143">
        <v>39248035</v>
      </c>
      <c r="V175" s="143">
        <v>40512342</v>
      </c>
      <c r="W175" s="143">
        <v>41776649</v>
      </c>
      <c r="X175" s="143">
        <v>43040956</v>
      </c>
      <c r="Y175" s="143">
        <v>44305263</v>
      </c>
      <c r="Z175" s="143">
        <v>45569570</v>
      </c>
      <c r="AA175" s="143">
        <v>46833877</v>
      </c>
      <c r="AB175" s="143">
        <v>48098184</v>
      </c>
      <c r="AC175" s="129">
        <f t="shared" si="61"/>
        <v>51793</v>
      </c>
      <c r="AD175" s="129">
        <f t="shared" si="62"/>
        <v>103586</v>
      </c>
      <c r="AE175" s="129">
        <f t="shared" si="63"/>
        <v>155379</v>
      </c>
      <c r="AF175" s="129">
        <f t="shared" si="64"/>
        <v>207172</v>
      </c>
      <c r="AG175" s="129">
        <f t="shared" si="65"/>
        <v>258965</v>
      </c>
      <c r="AH175" s="129">
        <f t="shared" si="66"/>
        <v>310758</v>
      </c>
      <c r="AI175" s="129">
        <f t="shared" si="67"/>
        <v>362551</v>
      </c>
      <c r="AJ175" s="129">
        <f t="shared" si="68"/>
        <v>414344</v>
      </c>
      <c r="AK175" s="129">
        <f t="shared" si="69"/>
        <v>466137</v>
      </c>
      <c r="AL175" s="127">
        <f t="shared" si="70"/>
        <v>1.3635575739168182E-3</v>
      </c>
      <c r="AM175" s="127">
        <f t="shared" si="71"/>
        <v>2.6392658893623633E-3</v>
      </c>
      <c r="AN175" s="127">
        <f t="shared" si="72"/>
        <v>3.835349731200477E-3</v>
      </c>
      <c r="AO175" s="127">
        <f t="shared" si="73"/>
        <v>4.9590382416742074E-3</v>
      </c>
      <c r="AP175" s="127">
        <f t="shared" si="74"/>
        <v>6.0167111529771944E-3</v>
      </c>
      <c r="AQ175" s="127">
        <f t="shared" si="75"/>
        <v>7.0140199822310567E-3</v>
      </c>
      <c r="AR175" s="127">
        <f t="shared" si="76"/>
        <v>7.9559890514657727E-3</v>
      </c>
      <c r="AS175" s="127">
        <f t="shared" si="77"/>
        <v>8.8471001450509679E-3</v>
      </c>
      <c r="AT175" s="127">
        <f t="shared" si="78"/>
        <v>9.6913638153157677E-3</v>
      </c>
    </row>
    <row r="176" spans="1:46" s="18" customFormat="1" ht="13" x14ac:dyDescent="0.15">
      <c r="A176" s="29" t="s">
        <v>117</v>
      </c>
      <c r="B176" s="30">
        <f>IF(Data!D119=1, MAX(Data!AA119, $E$26) + INDEX(Duplicate!$E$39:$E$43, MATCH( Data!AD119, Duplicate!$B$39:$B$43, 0), 0), MAX(Data!AA119, $E$27) +  INDEX(Duplicate!$E$39:$E$43, MATCH( Data!AD119, Duplicate!$B$39:$B$43, 0), 0))</f>
        <v>0.01</v>
      </c>
      <c r="C176" s="128">
        <f>ROUND(Data!R119/13*100, 2)</f>
        <v>100</v>
      </c>
      <c r="D176" s="141">
        <f>ROUND(Data!Q119*C176, 0)</f>
        <v>104400</v>
      </c>
      <c r="E176" s="142">
        <f>ROUND($E$22*Data!W119*B176, 0)</f>
        <v>128045</v>
      </c>
      <c r="F176" s="143">
        <f>IF(E176=0, 0,IF($E$31="Yes", IF(Data!D119=1, MAX(Duplicate!D176+Duplicate!E176, Data!AE119), Duplicate!D176+Duplicate!E176), Duplicate!D176+Duplicate!E176))</f>
        <v>232445</v>
      </c>
      <c r="G176" s="143">
        <v>227913</v>
      </c>
      <c r="H176" s="129">
        <f>F176-Data!AL119</f>
        <v>-6138</v>
      </c>
      <c r="I176" s="127">
        <f>((F176)/(Data!AL119)) - 1</f>
        <v>-2.5726895881098E-2</v>
      </c>
      <c r="J176" s="127">
        <f t="shared" si="42"/>
        <v>1.9884780596104656E-2</v>
      </c>
      <c r="K176" s="143">
        <f>ROUND(IF($E$31="Yes",IF(Data!AG119&gt;0,(Duplicate!$K$23*Data!AG119)+Data!AI119,(Duplicate!$K$24*Data!AG119)+Data!AI119),IF(Data!AF119&gt;0,(Duplicate!$K$23*Data!AF119)+Data!AI119,(Duplicate!$K$24*Data!AF119)+Data!AI119)),0)</f>
        <v>373460</v>
      </c>
      <c r="L176" s="143">
        <f>ROUND(IF($E$31="Yes",IF(Data!$AG119&gt;0,(Duplicate!$L$23*Data!$AG119)+K176,(Duplicate!$L$24*Data!$AG119)+K176),IF(Data!$AF119&gt;0,(Duplicate!$L$23*Data!$AF119)+K176,(Duplicate!$L$24*Data!$AF119)+K176)),0)</f>
        <v>505408</v>
      </c>
      <c r="M176" s="143">
        <f>ROUND(IF($E$31="Yes",IF(Data!$AG119&gt;0,(Duplicate!$M$23*Data!$AG119)+L176,(Duplicate!$M$24*Data!$AG119)+L176),IF(Data!$AF119&gt;0,(Duplicate!$M$23*Data!$AF119)+L176,(Duplicate!$M$24*Data!$AF119)+L176)),0)</f>
        <v>637356</v>
      </c>
      <c r="N176" s="143">
        <f>ROUND(IF($E$31="Yes",IF(Data!$AG119&gt;0,(Duplicate!$N$23*Data!$AG119)+M176,(Duplicate!$N$24*Data!$AG119)+M176),IF(Data!$AF119&gt;0,(Duplicate!$N$23*Data!$AF119)+M176,(Duplicate!$N$24*Data!$AF119)+M176)),0)</f>
        <v>769304</v>
      </c>
      <c r="O176" s="143">
        <f>ROUND(IF($E$31="Yes",IF(Data!$AG119&gt;0,(Duplicate!$O$23*Data!$AG119)+N176,(Duplicate!$O$24*Data!$AG119)+N176),IF(Data!$AF119&gt;0,(Duplicate!$O$23*Data!$AF119)+N176,(Duplicate!$O$24*Data!$AF119)+N176)),0)</f>
        <v>901252</v>
      </c>
      <c r="P176" s="143">
        <f>ROUND(IF($E$31="Yes",IF(Data!$AG119&gt;0,(Duplicate!$P$23*Data!$AG119)+O176,(Duplicate!$P$24*Data!$AG119)+O176),IF(Data!$AF119&gt;0,(Duplicate!$P$23*Data!$AF119)+O176,(Duplicate!$P$24*Data!$AF119)+O176)),0)</f>
        <v>1033200</v>
      </c>
      <c r="Q176" s="143">
        <f>ROUND(IF($E$31="Yes",IF(Data!$AG119&gt;0,(Duplicate!$Q$23*Data!$AG119)+P176,(Duplicate!$Q$24*Data!$AG119)+P176),IF(Data!$AF119&gt;0,(Duplicate!$Q$23*Data!$AF119)+P176,(Duplicate!$Q$24*Data!$AF119)+P176)),0)</f>
        <v>1165148</v>
      </c>
      <c r="R176" s="143">
        <f>ROUND(IF($E$31="Yes",IF(Data!$AG119&gt;0,(Duplicate!$R$23*Data!$AG119)+Q176,(Duplicate!$R$24*Data!$AG119)+Q176),IF(Data!$AF119&gt;0,(Duplicate!$R$23*Data!$AF119)+Q176,(Duplicate!$R$24*Data!$AF119)+Q176)),0)</f>
        <v>1297096</v>
      </c>
      <c r="S176" s="143">
        <f>ROUND(IF($E$31="Yes",IF(Data!$AG119&gt;0,(Duplicate!$S$23*Data!$AG119)+R176,(Duplicate!$S$24*Data!$AG119)+R176),IF(Data!$AF119&gt;0,(Duplicate!$S$23*Data!$AF119)+R176,(Duplicate!$S$24*Data!$AF119)+R176)),0)</f>
        <v>1429044</v>
      </c>
      <c r="T176" s="143">
        <v>239884</v>
      </c>
      <c r="U176" s="143">
        <v>238256</v>
      </c>
      <c r="V176" s="143">
        <v>236628</v>
      </c>
      <c r="W176" s="143">
        <v>235000</v>
      </c>
      <c r="X176" s="143">
        <v>233372</v>
      </c>
      <c r="Y176" s="143">
        <v>231744</v>
      </c>
      <c r="Z176" s="143">
        <v>230116</v>
      </c>
      <c r="AA176" s="143">
        <v>228488</v>
      </c>
      <c r="AB176" s="143">
        <v>226860</v>
      </c>
      <c r="AC176" s="129">
        <f t="shared" si="61"/>
        <v>133576</v>
      </c>
      <c r="AD176" s="129">
        <f t="shared" si="62"/>
        <v>267152</v>
      </c>
      <c r="AE176" s="129">
        <f t="shared" si="63"/>
        <v>400728</v>
      </c>
      <c r="AF176" s="129">
        <f t="shared" si="64"/>
        <v>534304</v>
      </c>
      <c r="AG176" s="129">
        <f t="shared" si="65"/>
        <v>667880</v>
      </c>
      <c r="AH176" s="129">
        <f t="shared" si="66"/>
        <v>801456</v>
      </c>
      <c r="AI176" s="129">
        <f t="shared" si="67"/>
        <v>935032</v>
      </c>
      <c r="AJ176" s="129">
        <f t="shared" si="68"/>
        <v>1068608</v>
      </c>
      <c r="AK176" s="129">
        <f t="shared" si="69"/>
        <v>1202184</v>
      </c>
      <c r="AL176" s="127">
        <f t="shared" si="70"/>
        <v>0.55683580397191967</v>
      </c>
      <c r="AM176" s="127">
        <f t="shared" si="71"/>
        <v>1.1212813108589081</v>
      </c>
      <c r="AN176" s="127">
        <f t="shared" si="72"/>
        <v>1.6934935848673867</v>
      </c>
      <c r="AO176" s="127">
        <f t="shared" si="73"/>
        <v>2.2736340425531916</v>
      </c>
      <c r="AP176" s="127">
        <f t="shared" si="74"/>
        <v>2.8618686046312325</v>
      </c>
      <c r="AQ176" s="127">
        <f t="shared" si="75"/>
        <v>3.4583678541839271</v>
      </c>
      <c r="AR176" s="127">
        <f t="shared" si="76"/>
        <v>4.0633072015852871</v>
      </c>
      <c r="AS176" s="127">
        <f t="shared" si="77"/>
        <v>4.6768670564756132</v>
      </c>
      <c r="AT176" s="127">
        <f t="shared" si="78"/>
        <v>5.2992330071409679</v>
      </c>
    </row>
    <row r="177" spans="1:46" s="18" customFormat="1" ht="13" x14ac:dyDescent="0.15">
      <c r="A177" s="29" t="s">
        <v>118</v>
      </c>
      <c r="B177" s="30">
        <f>IF(Data!D120=1, MAX(Data!AA120, $E$26) + INDEX(Duplicate!$E$39:$E$43, MATCH( Data!AD120, Duplicate!$B$39:$B$43, 0), 0), MAX(Data!AA120, $E$27) +  INDEX(Duplicate!$E$39:$E$43, MATCH( Data!AD120, Duplicate!$B$39:$B$43, 0), 0))</f>
        <v>0.01</v>
      </c>
      <c r="C177" s="128">
        <f>ROUND(Data!R120/13*100, 2)</f>
        <v>0</v>
      </c>
      <c r="D177" s="141">
        <f>ROUND(Data!Q120*C177, 0)</f>
        <v>0</v>
      </c>
      <c r="E177" s="142">
        <f>ROUND($E$22*Data!W120*B177, 0)</f>
        <v>132935</v>
      </c>
      <c r="F177" s="143">
        <f>IF(E177=0, 0,IF($E$31="Yes", IF(Data!D120=1, MAX(Duplicate!D177+Duplicate!E177, Data!AE120), Duplicate!D177+Duplicate!E177), Duplicate!D177+Duplicate!E177))</f>
        <v>132935</v>
      </c>
      <c r="G177" s="143">
        <v>151191</v>
      </c>
      <c r="H177" s="129">
        <f>F177-Data!AL120</f>
        <v>3221</v>
      </c>
      <c r="I177" s="127">
        <f>((F177)/(Data!AL120)) - 1</f>
        <v>2.4831552492406317E-2</v>
      </c>
      <c r="J177" s="127">
        <f t="shared" si="42"/>
        <v>-0.12074792811741442</v>
      </c>
      <c r="K177" s="143">
        <f>ROUND(IF($E$31="Yes",IF(Data!AG120&gt;0,(Duplicate!$K$23*Data!AG120)+Data!AI120,(Duplicate!$K$24*Data!AG120)+Data!AI120),IF(Data!AF120&gt;0,(Duplicate!$K$23*Data!AF120)+Data!AI120,(Duplicate!$K$24*Data!AF120)+Data!AI120)),0)</f>
        <v>125143</v>
      </c>
      <c r="L177" s="143">
        <f>ROUND(IF($E$31="Yes",IF(Data!$AG120&gt;0,(Duplicate!$L$23*Data!$AG120)+K177,(Duplicate!$L$24*Data!$AG120)+K177),IF(Data!$AF120&gt;0,(Duplicate!$L$23*Data!$AF120)+K177,(Duplicate!$L$24*Data!$AF120)+K177)),0)</f>
        <v>126212</v>
      </c>
      <c r="M177" s="143">
        <f>ROUND(IF($E$31="Yes",IF(Data!$AG120&gt;0,(Duplicate!$M$23*Data!$AG120)+L177,(Duplicate!$M$24*Data!$AG120)+L177),IF(Data!$AF120&gt;0,(Duplicate!$M$23*Data!$AF120)+L177,(Duplicate!$M$24*Data!$AF120)+L177)),0)</f>
        <v>127281</v>
      </c>
      <c r="N177" s="143">
        <f>ROUND(IF($E$31="Yes",IF(Data!$AG120&gt;0,(Duplicate!$N$23*Data!$AG120)+M177,(Duplicate!$N$24*Data!$AG120)+M177),IF(Data!$AF120&gt;0,(Duplicate!$N$23*Data!$AF120)+M177,(Duplicate!$N$24*Data!$AF120)+M177)),0)</f>
        <v>128350</v>
      </c>
      <c r="O177" s="143">
        <f>ROUND(IF($E$31="Yes",IF(Data!$AG120&gt;0,(Duplicate!$O$23*Data!$AG120)+N177,(Duplicate!$O$24*Data!$AG120)+N177),IF(Data!$AF120&gt;0,(Duplicate!$O$23*Data!$AF120)+N177,(Duplicate!$O$24*Data!$AF120)+N177)),0)</f>
        <v>129419</v>
      </c>
      <c r="P177" s="143">
        <f>ROUND(IF($E$31="Yes",IF(Data!$AG120&gt;0,(Duplicate!$P$23*Data!$AG120)+O177,(Duplicate!$P$24*Data!$AG120)+O177),IF(Data!$AF120&gt;0,(Duplicate!$P$23*Data!$AF120)+O177,(Duplicate!$P$24*Data!$AF120)+O177)),0)</f>
        <v>130488</v>
      </c>
      <c r="Q177" s="143">
        <f>ROUND(IF($E$31="Yes",IF(Data!$AG120&gt;0,(Duplicate!$Q$23*Data!$AG120)+P177,(Duplicate!$Q$24*Data!$AG120)+P177),IF(Data!$AF120&gt;0,(Duplicate!$Q$23*Data!$AF120)+P177,(Duplicate!$Q$24*Data!$AF120)+P177)),0)</f>
        <v>131557</v>
      </c>
      <c r="R177" s="143">
        <f>ROUND(IF($E$31="Yes",IF(Data!$AG120&gt;0,(Duplicate!$R$23*Data!$AG120)+Q177,(Duplicate!$R$24*Data!$AG120)+Q177),IF(Data!$AF120&gt;0,(Duplicate!$R$23*Data!$AF120)+Q177,(Duplicate!$R$24*Data!$AF120)+Q177)),0)</f>
        <v>132626</v>
      </c>
      <c r="S177" s="143">
        <f>ROUND(IF($E$31="Yes",IF(Data!$AG120&gt;0,(Duplicate!$S$23*Data!$AG120)+R177,(Duplicate!$S$24*Data!$AG120)+R177),IF(Data!$AF120&gt;0,(Duplicate!$S$23*Data!$AF120)+R177,(Duplicate!$S$24*Data!$AF120)+R177)),0)</f>
        <v>133695</v>
      </c>
      <c r="T177" s="143">
        <v>127089</v>
      </c>
      <c r="U177" s="143">
        <v>130104</v>
      </c>
      <c r="V177" s="143">
        <v>133119</v>
      </c>
      <c r="W177" s="143">
        <v>136134</v>
      </c>
      <c r="X177" s="143">
        <v>139149</v>
      </c>
      <c r="Y177" s="143">
        <v>142164</v>
      </c>
      <c r="Z177" s="143">
        <v>145179</v>
      </c>
      <c r="AA177" s="143">
        <v>148194</v>
      </c>
      <c r="AB177" s="143">
        <v>151209</v>
      </c>
      <c r="AC177" s="129">
        <f t="shared" si="61"/>
        <v>-1946</v>
      </c>
      <c r="AD177" s="129">
        <f t="shared" si="62"/>
        <v>-3892</v>
      </c>
      <c r="AE177" s="129">
        <f t="shared" si="63"/>
        <v>-5838</v>
      </c>
      <c r="AF177" s="129">
        <f t="shared" si="64"/>
        <v>-7784</v>
      </c>
      <c r="AG177" s="129">
        <f t="shared" si="65"/>
        <v>-9730</v>
      </c>
      <c r="AH177" s="129">
        <f t="shared" si="66"/>
        <v>-11676</v>
      </c>
      <c r="AI177" s="129">
        <f t="shared" si="67"/>
        <v>-13622</v>
      </c>
      <c r="AJ177" s="129">
        <f t="shared" si="68"/>
        <v>-15568</v>
      </c>
      <c r="AK177" s="129">
        <f t="shared" si="69"/>
        <v>-17514</v>
      </c>
      <c r="AL177" s="127">
        <f t="shared" si="70"/>
        <v>-1.5312104116013137E-2</v>
      </c>
      <c r="AM177" s="127">
        <f t="shared" si="71"/>
        <v>-2.9914529914529919E-2</v>
      </c>
      <c r="AN177" s="127">
        <f t="shared" si="72"/>
        <v>-4.3855497712572911E-2</v>
      </c>
      <c r="AO177" s="127">
        <f t="shared" si="73"/>
        <v>-5.7178956028618888E-2</v>
      </c>
      <c r="AP177" s="127">
        <f t="shared" si="74"/>
        <v>-6.9925044376890955E-2</v>
      </c>
      <c r="AQ177" s="127">
        <f t="shared" si="75"/>
        <v>-8.2130497172279937E-2</v>
      </c>
      <c r="AR177" s="127">
        <f t="shared" si="76"/>
        <v>-9.3828997306772965E-2</v>
      </c>
      <c r="AS177" s="127">
        <f t="shared" si="77"/>
        <v>-0.10505148656490815</v>
      </c>
      <c r="AT177" s="127">
        <f t="shared" si="78"/>
        <v>-0.11582643890244626</v>
      </c>
    </row>
    <row r="178" spans="1:46" s="18" customFormat="1" ht="13" x14ac:dyDescent="0.15">
      <c r="A178" s="29" t="s">
        <v>119</v>
      </c>
      <c r="B178" s="30">
        <f>IF(Data!D121=1, MAX(Data!AA121, $E$26) + INDEX(Duplicate!$E$39:$E$43, MATCH( Data!AD121, Duplicate!$B$39:$B$43, 0), 0), MAX(Data!AA121, $E$27) +  INDEX(Duplicate!$E$39:$E$43, MATCH( Data!AD121, Duplicate!$B$39:$B$43, 0), 0))</f>
        <v>0.01</v>
      </c>
      <c r="C178" s="128">
        <f>ROUND(Data!R121/13*100, 2)</f>
        <v>46.15</v>
      </c>
      <c r="D178" s="141">
        <f>ROUND(Data!Q121*C178, 0)</f>
        <v>50534</v>
      </c>
      <c r="E178" s="142">
        <f>ROUND($E$22*Data!W121*B178, 0)</f>
        <v>279278</v>
      </c>
      <c r="F178" s="143">
        <f>IF(E178=0, 0,IF($E$31="Yes", IF(Data!D121=1, MAX(Duplicate!D178+Duplicate!E178, Data!AE121), Duplicate!D178+Duplicate!E178), Duplicate!D178+Duplicate!E178))</f>
        <v>329812</v>
      </c>
      <c r="G178" s="143">
        <v>325610</v>
      </c>
      <c r="H178" s="129">
        <f>F178-Data!AL121</f>
        <v>-685686</v>
      </c>
      <c r="I178" s="127">
        <f>((F178)/(Data!AL121)) - 1</f>
        <v>-0.67522141845675709</v>
      </c>
      <c r="J178" s="127">
        <f t="shared" si="42"/>
        <v>1.2905009059918315E-2</v>
      </c>
      <c r="K178" s="143">
        <f>ROUND(IF($E$31="Yes",IF(Data!AG121&gt;0,(Duplicate!$K$23*Data!AG121)+Data!AI121,(Duplicate!$K$24*Data!AG121)+Data!AI121),IF(Data!AF121&gt;0,(Duplicate!$K$23*Data!AF121)+Data!AI121,(Duplicate!$K$24*Data!AF121)+Data!AI121)),0)</f>
        <v>1164487</v>
      </c>
      <c r="L178" s="143">
        <f>ROUND(IF($E$31="Yes",IF(Data!$AG121&gt;0,(Duplicate!$L$23*Data!$AG121)+K178,(Duplicate!$L$24*Data!$AG121)+K178),IF(Data!$AF121&gt;0,(Duplicate!$L$23*Data!$AF121)+K178,(Duplicate!$L$24*Data!$AF121)+K178)),0)</f>
        <v>1116760</v>
      </c>
      <c r="M178" s="143">
        <f>ROUND(IF($E$31="Yes",IF(Data!$AG121&gt;0,(Duplicate!$M$23*Data!$AG121)+L178,(Duplicate!$M$24*Data!$AG121)+L178),IF(Data!$AF121&gt;0,(Duplicate!$M$23*Data!$AF121)+L178,(Duplicate!$M$24*Data!$AF121)+L178)),0)</f>
        <v>1069033</v>
      </c>
      <c r="N178" s="143">
        <f>ROUND(IF($E$31="Yes",IF(Data!$AG121&gt;0,(Duplicate!$N$23*Data!$AG121)+M178,(Duplicate!$N$24*Data!$AG121)+M178),IF(Data!$AF121&gt;0,(Duplicate!$N$23*Data!$AF121)+M178,(Duplicate!$N$24*Data!$AF121)+M178)),0)</f>
        <v>1021306</v>
      </c>
      <c r="O178" s="143">
        <f>ROUND(IF($E$31="Yes",IF(Data!$AG121&gt;0,(Duplicate!$O$23*Data!$AG121)+N178,(Duplicate!$O$24*Data!$AG121)+N178),IF(Data!$AF121&gt;0,(Duplicate!$O$23*Data!$AF121)+N178,(Duplicate!$O$24*Data!$AF121)+N178)),0)</f>
        <v>973579</v>
      </c>
      <c r="P178" s="143">
        <f>ROUND(IF($E$31="Yes",IF(Data!$AG121&gt;0,(Duplicate!$P$23*Data!$AG121)+O178,(Duplicate!$P$24*Data!$AG121)+O178),IF(Data!$AF121&gt;0,(Duplicate!$P$23*Data!$AF121)+O178,(Duplicate!$P$24*Data!$AF121)+O178)),0)</f>
        <v>925852</v>
      </c>
      <c r="Q178" s="143">
        <f>ROUND(IF($E$31="Yes",IF(Data!$AG121&gt;0,(Duplicate!$Q$23*Data!$AG121)+P178,(Duplicate!$Q$24*Data!$AG121)+P178),IF(Data!$AF121&gt;0,(Duplicate!$Q$23*Data!$AF121)+P178,(Duplicate!$Q$24*Data!$AF121)+P178)),0)</f>
        <v>878125</v>
      </c>
      <c r="R178" s="143">
        <f>ROUND(IF($E$31="Yes",IF(Data!$AG121&gt;0,(Duplicate!$R$23*Data!$AG121)+Q178,(Duplicate!$R$24*Data!$AG121)+Q178),IF(Data!$AF121&gt;0,(Duplicate!$R$23*Data!$AF121)+Q178,(Duplicate!$R$24*Data!$AF121)+Q178)),0)</f>
        <v>830398</v>
      </c>
      <c r="S178" s="143">
        <f>ROUND(IF($E$31="Yes",IF(Data!$AG121&gt;0,(Duplicate!$S$23*Data!$AG121)+R178,(Duplicate!$S$24*Data!$AG121)+R178),IF(Data!$AF121&gt;0,(Duplicate!$S$23*Data!$AF121)+R178,(Duplicate!$S$24*Data!$AF121)+R178)),0)</f>
        <v>782671</v>
      </c>
      <c r="T178" s="143">
        <v>1113619</v>
      </c>
      <c r="U178" s="143">
        <v>1015024</v>
      </c>
      <c r="V178" s="143">
        <v>916429</v>
      </c>
      <c r="W178" s="143">
        <v>817834</v>
      </c>
      <c r="X178" s="143">
        <v>719239</v>
      </c>
      <c r="Y178" s="143">
        <v>620644</v>
      </c>
      <c r="Z178" s="143">
        <v>522049</v>
      </c>
      <c r="AA178" s="143">
        <v>423454</v>
      </c>
      <c r="AB178" s="143">
        <v>324859</v>
      </c>
      <c r="AC178" s="129">
        <f t="shared" si="61"/>
        <v>50868</v>
      </c>
      <c r="AD178" s="129">
        <f t="shared" si="62"/>
        <v>101736</v>
      </c>
      <c r="AE178" s="129">
        <f t="shared" si="63"/>
        <v>152604</v>
      </c>
      <c r="AF178" s="129">
        <f t="shared" si="64"/>
        <v>203472</v>
      </c>
      <c r="AG178" s="129">
        <f t="shared" si="65"/>
        <v>254340</v>
      </c>
      <c r="AH178" s="129">
        <f t="shared" si="66"/>
        <v>305208</v>
      </c>
      <c r="AI178" s="129">
        <f t="shared" si="67"/>
        <v>356076</v>
      </c>
      <c r="AJ178" s="129">
        <f t="shared" si="68"/>
        <v>406944</v>
      </c>
      <c r="AK178" s="129">
        <f t="shared" si="69"/>
        <v>457812</v>
      </c>
      <c r="AL178" s="127">
        <f t="shared" si="70"/>
        <v>4.5678099960579033E-2</v>
      </c>
      <c r="AM178" s="127">
        <f t="shared" si="71"/>
        <v>0.10023014234146177</v>
      </c>
      <c r="AN178" s="127">
        <f t="shared" si="72"/>
        <v>0.16652026507236251</v>
      </c>
      <c r="AO178" s="127">
        <f t="shared" si="73"/>
        <v>0.24879376499387407</v>
      </c>
      <c r="AP178" s="127">
        <f t="shared" si="74"/>
        <v>0.35362376066926293</v>
      </c>
      <c r="AQ178" s="127">
        <f t="shared" si="75"/>
        <v>0.49176017169262898</v>
      </c>
      <c r="AR178" s="127">
        <f t="shared" si="76"/>
        <v>0.68207390493995779</v>
      </c>
      <c r="AS178" s="127">
        <f t="shared" si="77"/>
        <v>0.96101111336768574</v>
      </c>
      <c r="AT178" s="127">
        <f t="shared" si="78"/>
        <v>1.4092637113332245</v>
      </c>
    </row>
    <row r="179" spans="1:46" s="18" customFormat="1" ht="13" x14ac:dyDescent="0.15">
      <c r="A179" s="29" t="s">
        <v>120</v>
      </c>
      <c r="B179" s="30">
        <f>IF(Data!D122=1, MAX(Data!AA122, $E$26) + INDEX(Duplicate!$E$39:$E$43, MATCH( Data!AD122, Duplicate!$B$39:$B$43, 0), 0), MAX(Data!AA122, $E$27) +  INDEX(Duplicate!$E$39:$E$43, MATCH( Data!AD122, Duplicate!$B$39:$B$43, 0), 0))</f>
        <v>0.100563</v>
      </c>
      <c r="C179" s="128">
        <f>ROUND(Data!R122/13*100, 2)</f>
        <v>0</v>
      </c>
      <c r="D179" s="141">
        <f>ROUND(Data!Q122*C179, 0)</f>
        <v>0</v>
      </c>
      <c r="E179" s="142">
        <f>ROUND($E$22*Data!W122*B179, 0)</f>
        <v>2037479</v>
      </c>
      <c r="F179" s="143">
        <f>IF(E179=0, 0,IF($E$31="Yes", IF(Data!D122=1, MAX(Duplicate!D179+Duplicate!E179, Data!AE122), Duplicate!D179+Duplicate!E179), Duplicate!D179+Duplicate!E179))</f>
        <v>2037479</v>
      </c>
      <c r="G179" s="143">
        <v>2425612</v>
      </c>
      <c r="H179" s="129">
        <f>F179-Data!AL122</f>
        <v>-1639532</v>
      </c>
      <c r="I179" s="127">
        <f>((F179)/(Data!AL122)) - 1</f>
        <v>-0.44588716215426061</v>
      </c>
      <c r="J179" s="127">
        <f t="shared" si="42"/>
        <v>-0.16001446232950689</v>
      </c>
      <c r="K179" s="143">
        <f>ROUND(IF($E$31="Yes",IF(Data!AG122&gt;0,(Duplicate!$K$23*Data!AG122)+Data!AI122,(Duplicate!$K$24*Data!AG122)+Data!AI122),IF(Data!AF122&gt;0,(Duplicate!$K$23*Data!AF122)+Data!AI122,(Duplicate!$K$24*Data!AF122)+Data!AI122)),0)</f>
        <v>3841818</v>
      </c>
      <c r="L179" s="143">
        <f>ROUND(IF($E$31="Yes",IF(Data!$AG122&gt;0,(Duplicate!$L$23*Data!$AG122)+K179,(Duplicate!$L$24*Data!$AG122)+K179),IF(Data!$AF122&gt;0,(Duplicate!$L$23*Data!$AF122)+K179,(Duplicate!$L$24*Data!$AF122)+K179)),0)</f>
        <v>3634294</v>
      </c>
      <c r="M179" s="143">
        <f>ROUND(IF($E$31="Yes",IF(Data!$AG122&gt;0,(Duplicate!$M$23*Data!$AG122)+L179,(Duplicate!$M$24*Data!$AG122)+L179),IF(Data!$AF122&gt;0,(Duplicate!$M$23*Data!$AF122)+L179,(Duplicate!$M$24*Data!$AF122)+L179)),0)</f>
        <v>3426770</v>
      </c>
      <c r="N179" s="143">
        <f>ROUND(IF($E$31="Yes",IF(Data!$AG122&gt;0,(Duplicate!$N$23*Data!$AG122)+M179,(Duplicate!$N$24*Data!$AG122)+M179),IF(Data!$AF122&gt;0,(Duplicate!$N$23*Data!$AF122)+M179,(Duplicate!$N$24*Data!$AF122)+M179)),0)</f>
        <v>3219246</v>
      </c>
      <c r="O179" s="143">
        <f>ROUND(IF($E$31="Yes",IF(Data!$AG122&gt;0,(Duplicate!$O$23*Data!$AG122)+N179,(Duplicate!$O$24*Data!$AG122)+N179),IF(Data!$AF122&gt;0,(Duplicate!$O$23*Data!$AF122)+N179,(Duplicate!$O$24*Data!$AF122)+N179)),0)</f>
        <v>3011722</v>
      </c>
      <c r="P179" s="143">
        <f>ROUND(IF($E$31="Yes",IF(Data!$AG122&gt;0,(Duplicate!$P$23*Data!$AG122)+O179,(Duplicate!$P$24*Data!$AG122)+O179),IF(Data!$AF122&gt;0,(Duplicate!$P$23*Data!$AF122)+O179,(Duplicate!$P$24*Data!$AF122)+O179)),0)</f>
        <v>2804198</v>
      </c>
      <c r="Q179" s="143">
        <f>ROUND(IF($E$31="Yes",IF(Data!$AG122&gt;0,(Duplicate!$Q$23*Data!$AG122)+P179,(Duplicate!$Q$24*Data!$AG122)+P179),IF(Data!$AF122&gt;0,(Duplicate!$Q$23*Data!$AF122)+P179,(Duplicate!$Q$24*Data!$AF122)+P179)),0)</f>
        <v>2596674</v>
      </c>
      <c r="R179" s="143">
        <f>ROUND(IF($E$31="Yes",IF(Data!$AG122&gt;0,(Duplicate!$R$23*Data!$AG122)+Q179,(Duplicate!$R$24*Data!$AG122)+Q179),IF(Data!$AF122&gt;0,(Duplicate!$R$23*Data!$AF122)+Q179,(Duplicate!$R$24*Data!$AF122)+Q179)),0)</f>
        <v>2389150</v>
      </c>
      <c r="S179" s="143">
        <f>ROUND(IF($E$31="Yes",IF(Data!$AG122&gt;0,(Duplicate!$S$23*Data!$AG122)+R179,(Duplicate!$S$24*Data!$AG122)+R179),IF(Data!$AF122&gt;0,(Duplicate!$S$23*Data!$AF122)+R179,(Duplicate!$S$24*Data!$AF122)+R179)),0)</f>
        <v>2181626</v>
      </c>
      <c r="T179" s="143">
        <v>3874150</v>
      </c>
      <c r="U179" s="143">
        <v>3698958</v>
      </c>
      <c r="V179" s="143">
        <v>3523766</v>
      </c>
      <c r="W179" s="143">
        <v>3348574</v>
      </c>
      <c r="X179" s="143">
        <v>3173382</v>
      </c>
      <c r="Y179" s="143">
        <v>2998190</v>
      </c>
      <c r="Z179" s="143">
        <v>2822998</v>
      </c>
      <c r="AA179" s="143">
        <v>2647806</v>
      </c>
      <c r="AB179" s="143">
        <v>2472614</v>
      </c>
      <c r="AC179" s="129">
        <f t="shared" si="61"/>
        <v>-32332</v>
      </c>
      <c r="AD179" s="129">
        <f t="shared" si="62"/>
        <v>-64664</v>
      </c>
      <c r="AE179" s="129">
        <f t="shared" si="63"/>
        <v>-96996</v>
      </c>
      <c r="AF179" s="129">
        <f t="shared" si="64"/>
        <v>-129328</v>
      </c>
      <c r="AG179" s="129">
        <f t="shared" si="65"/>
        <v>-161660</v>
      </c>
      <c r="AH179" s="129">
        <f t="shared" si="66"/>
        <v>-193992</v>
      </c>
      <c r="AI179" s="129">
        <f t="shared" si="67"/>
        <v>-226324</v>
      </c>
      <c r="AJ179" s="129">
        <f t="shared" si="68"/>
        <v>-258656</v>
      </c>
      <c r="AK179" s="129">
        <f t="shared" si="69"/>
        <v>-290988</v>
      </c>
      <c r="AL179" s="127">
        <f t="shared" si="70"/>
        <v>-8.3455725772104694E-3</v>
      </c>
      <c r="AM179" s="127">
        <f t="shared" si="71"/>
        <v>-1.7481679975820175E-2</v>
      </c>
      <c r="AN179" s="127">
        <f t="shared" si="72"/>
        <v>-2.7526231878053142E-2</v>
      </c>
      <c r="AO179" s="127">
        <f t="shared" si="73"/>
        <v>-3.8621813345023903E-2</v>
      </c>
      <c r="AP179" s="127">
        <f t="shared" si="74"/>
        <v>-5.0942496049955488E-2</v>
      </c>
      <c r="AQ179" s="127">
        <f t="shared" si="75"/>
        <v>-6.4703037499291294E-2</v>
      </c>
      <c r="AR179" s="127">
        <f t="shared" si="76"/>
        <v>-8.0171505612118721E-2</v>
      </c>
      <c r="AS179" s="127">
        <f t="shared" si="77"/>
        <v>-9.7686915128978535E-2</v>
      </c>
      <c r="AT179" s="127">
        <f t="shared" si="78"/>
        <v>-0.11768436157038664</v>
      </c>
    </row>
    <row r="180" spans="1:46" s="18" customFormat="1" ht="13" x14ac:dyDescent="0.15">
      <c r="A180" s="29" t="s">
        <v>121</v>
      </c>
      <c r="B180" s="30">
        <f>IF(Data!D123=1, MAX(Data!AA123, $E$26) + INDEX(Duplicate!$E$39:$E$43, MATCH( Data!AD123, Duplicate!$B$39:$B$43, 0), 0), MAX(Data!AA123, $E$27) +  INDEX(Duplicate!$E$39:$E$43, MATCH( Data!AD123, Duplicate!$B$39:$B$43, 0), 0))</f>
        <v>0.47357100000000002</v>
      </c>
      <c r="C180" s="128">
        <f>ROUND(Data!R123/13*100, 2)</f>
        <v>0</v>
      </c>
      <c r="D180" s="141">
        <f>ROUND(Data!Q123*C180, 0)</f>
        <v>0</v>
      </c>
      <c r="E180" s="142">
        <f>ROUND($E$22*Data!W123*B180, 0)</f>
        <v>12878747</v>
      </c>
      <c r="F180" s="143">
        <f>IF(E180=0, 0,IF($E$31="Yes", IF(Data!D123=1, MAX(Duplicate!D180+Duplicate!E180, Data!AE123), Duplicate!D180+Duplicate!E180), Duplicate!D180+Duplicate!E180))</f>
        <v>12878747</v>
      </c>
      <c r="G180" s="143">
        <v>13994005</v>
      </c>
      <c r="H180" s="129">
        <f>F180-Data!AL123</f>
        <v>-2111300</v>
      </c>
      <c r="I180" s="127">
        <f>((F180)/(Data!AL123)) - 1</f>
        <v>-0.14084678987330723</v>
      </c>
      <c r="J180" s="127">
        <f t="shared" si="42"/>
        <v>-7.9695412428393397E-2</v>
      </c>
      <c r="K180" s="143">
        <f>ROUND(IF($E$31="Yes",IF(Data!AG123&gt;0,(Duplicate!$K$23*Data!AG123)+Data!AI123,(Duplicate!$K$24*Data!AG123)+Data!AI123),IF(Data!AF123&gt;0,(Duplicate!$K$23*Data!AF123)+Data!AI123,(Duplicate!$K$24*Data!AF123)+Data!AI123)),0)</f>
        <v>14956118</v>
      </c>
      <c r="L180" s="143">
        <f>ROUND(IF($E$31="Yes",IF(Data!$AG123&gt;0,(Duplicate!$L$23*Data!$AG123)+K180,(Duplicate!$L$24*Data!$AG123)+K180),IF(Data!$AF123&gt;0,(Duplicate!$L$23*Data!$AF123)+K180,(Duplicate!$L$24*Data!$AF123)+K180)),0)</f>
        <v>14749059</v>
      </c>
      <c r="M180" s="143">
        <f>ROUND(IF($E$31="Yes",IF(Data!$AG123&gt;0,(Duplicate!$M$23*Data!$AG123)+L180,(Duplicate!$M$24*Data!$AG123)+L180),IF(Data!$AF123&gt;0,(Duplicate!$M$23*Data!$AF123)+L180,(Duplicate!$M$24*Data!$AF123)+L180)),0)</f>
        <v>14542000</v>
      </c>
      <c r="N180" s="143">
        <f>ROUND(IF($E$31="Yes",IF(Data!$AG123&gt;0,(Duplicate!$N$23*Data!$AG123)+M180,(Duplicate!$N$24*Data!$AG123)+M180),IF(Data!$AF123&gt;0,(Duplicate!$N$23*Data!$AF123)+M180,(Duplicate!$N$24*Data!$AF123)+M180)),0)</f>
        <v>14334941</v>
      </c>
      <c r="O180" s="143">
        <f>ROUND(IF($E$31="Yes",IF(Data!$AG123&gt;0,(Duplicate!$O$23*Data!$AG123)+N180,(Duplicate!$O$24*Data!$AG123)+N180),IF(Data!$AF123&gt;0,(Duplicate!$O$23*Data!$AF123)+N180,(Duplicate!$O$24*Data!$AF123)+N180)),0)</f>
        <v>14127882</v>
      </c>
      <c r="P180" s="143">
        <f>ROUND(IF($E$31="Yes",IF(Data!$AG123&gt;0,(Duplicate!$P$23*Data!$AG123)+O180,(Duplicate!$P$24*Data!$AG123)+O180),IF(Data!$AF123&gt;0,(Duplicate!$P$23*Data!$AF123)+O180,(Duplicate!$P$24*Data!$AF123)+O180)),0)</f>
        <v>13920823</v>
      </c>
      <c r="Q180" s="143">
        <f>ROUND(IF($E$31="Yes",IF(Data!$AG123&gt;0,(Duplicate!$Q$23*Data!$AG123)+P180,(Duplicate!$Q$24*Data!$AG123)+P180),IF(Data!$AF123&gt;0,(Duplicate!$Q$23*Data!$AF123)+P180,(Duplicate!$Q$24*Data!$AF123)+P180)),0)</f>
        <v>13713764</v>
      </c>
      <c r="R180" s="143">
        <f>ROUND(IF($E$31="Yes",IF(Data!$AG123&gt;0,(Duplicate!$R$23*Data!$AG123)+Q180,(Duplicate!$R$24*Data!$AG123)+Q180),IF(Data!$AF123&gt;0,(Duplicate!$R$23*Data!$AF123)+Q180,(Duplicate!$R$24*Data!$AF123)+Q180)),0)</f>
        <v>13506705</v>
      </c>
      <c r="S180" s="143">
        <f>ROUND(IF($E$31="Yes",IF(Data!$AG123&gt;0,(Duplicate!$S$23*Data!$AG123)+R180,(Duplicate!$S$24*Data!$AG123)+R180),IF(Data!$AF123&gt;0,(Duplicate!$S$23*Data!$AF123)+R180,(Duplicate!$S$24*Data!$AF123)+R180)),0)</f>
        <v>13299646</v>
      </c>
      <c r="T180" s="143">
        <v>15049019</v>
      </c>
      <c r="U180" s="143">
        <v>14934861</v>
      </c>
      <c r="V180" s="143">
        <v>14820703</v>
      </c>
      <c r="W180" s="143">
        <v>14706545</v>
      </c>
      <c r="X180" s="143">
        <v>14592387</v>
      </c>
      <c r="Y180" s="143">
        <v>14478229</v>
      </c>
      <c r="Z180" s="143">
        <v>14364071</v>
      </c>
      <c r="AA180" s="143">
        <v>14249913</v>
      </c>
      <c r="AB180" s="143">
        <v>14135755</v>
      </c>
      <c r="AC180" s="129">
        <f t="shared" si="61"/>
        <v>-92901</v>
      </c>
      <c r="AD180" s="129">
        <f t="shared" si="62"/>
        <v>-185802</v>
      </c>
      <c r="AE180" s="129">
        <f t="shared" si="63"/>
        <v>-278703</v>
      </c>
      <c r="AF180" s="129">
        <f t="shared" si="64"/>
        <v>-371604</v>
      </c>
      <c r="AG180" s="129">
        <f t="shared" si="65"/>
        <v>-464505</v>
      </c>
      <c r="AH180" s="129">
        <f t="shared" si="66"/>
        <v>-557406</v>
      </c>
      <c r="AI180" s="129">
        <f t="shared" si="67"/>
        <v>-650307</v>
      </c>
      <c r="AJ180" s="129">
        <f t="shared" si="68"/>
        <v>-743208</v>
      </c>
      <c r="AK180" s="129">
        <f t="shared" si="69"/>
        <v>-836109</v>
      </c>
      <c r="AL180" s="127">
        <f t="shared" si="70"/>
        <v>-6.1732263079740113E-3</v>
      </c>
      <c r="AM180" s="127">
        <f t="shared" si="71"/>
        <v>-1.244082552894199E-2</v>
      </c>
      <c r="AN180" s="127">
        <f t="shared" si="72"/>
        <v>-1.8804978414316831E-2</v>
      </c>
      <c r="AO180" s="127">
        <f t="shared" si="73"/>
        <v>-2.5267933426919797E-2</v>
      </c>
      <c r="AP180" s="127">
        <f t="shared" si="74"/>
        <v>-3.1832009389553662E-2</v>
      </c>
      <c r="AQ180" s="127">
        <f t="shared" si="75"/>
        <v>-3.84995982588755E-2</v>
      </c>
      <c r="AR180" s="127">
        <f t="shared" si="76"/>
        <v>-4.5273168031542022E-2</v>
      </c>
      <c r="AS180" s="127">
        <f t="shared" si="77"/>
        <v>-5.2155265790043814E-2</v>
      </c>
      <c r="AT180" s="127">
        <f t="shared" si="78"/>
        <v>-5.9148520896124768E-2</v>
      </c>
    </row>
    <row r="181" spans="1:46" s="18" customFormat="1" ht="13" x14ac:dyDescent="0.15">
      <c r="A181" s="29" t="s">
        <v>122</v>
      </c>
      <c r="B181" s="30">
        <f>IF(Data!D124=1, MAX(Data!AA124, $E$26) + INDEX(Duplicate!$E$39:$E$43, MATCH( Data!AD124, Duplicate!$B$39:$B$43, 0), 0), MAX(Data!AA124, $E$27) +  INDEX(Duplicate!$E$39:$E$43, MATCH( Data!AD124, Duplicate!$B$39:$B$43, 0), 0))</f>
        <v>0.41694900000000001</v>
      </c>
      <c r="C181" s="128">
        <f>ROUND(Data!R124/13*100, 2)</f>
        <v>0</v>
      </c>
      <c r="D181" s="141">
        <f>ROUND(Data!Q124*C181, 0)</f>
        <v>0</v>
      </c>
      <c r="E181" s="142">
        <f>ROUND($E$22*Data!W124*B181, 0)</f>
        <v>12079320</v>
      </c>
      <c r="F181" s="143">
        <f>IF(E181=0, 0,IF($E$31="Yes", IF(Data!D124=1, MAX(Duplicate!D181+Duplicate!E181, Data!AE124), Duplicate!D181+Duplicate!E181), Duplicate!D181+Duplicate!E181))</f>
        <v>12079320</v>
      </c>
      <c r="G181" s="143">
        <v>12316401</v>
      </c>
      <c r="H181" s="129">
        <f>F181-Data!AL124</f>
        <v>1267254</v>
      </c>
      <c r="I181" s="127">
        <f>((F181)/(Data!AL124)) - 1</f>
        <v>0.11720738663637453</v>
      </c>
      <c r="J181" s="127">
        <f t="shared" si="42"/>
        <v>-1.9249210869311528E-2</v>
      </c>
      <c r="K181" s="143">
        <f>ROUND(IF($E$31="Yes",IF(Data!AG124&gt;0,(Duplicate!$K$23*Data!AG124)+Data!AI124,(Duplicate!$K$24*Data!AG124)+Data!AI124),IF(Data!AF124&gt;0,(Duplicate!$K$23*Data!AF124)+Data!AI124,(Duplicate!$K$24*Data!AF124)+Data!AI124)),0)</f>
        <v>10551970</v>
      </c>
      <c r="L181" s="143">
        <f>ROUND(IF($E$31="Yes",IF(Data!$AG124&gt;0,(Duplicate!$L$23*Data!$AG124)+K181,(Duplicate!$L$24*Data!$AG124)+K181),IF(Data!$AF124&gt;0,(Duplicate!$L$23*Data!$AF124)+K181,(Duplicate!$L$24*Data!$AF124)+K181)),0)</f>
        <v>10744609</v>
      </c>
      <c r="M181" s="143">
        <f>ROUND(IF($E$31="Yes",IF(Data!$AG124&gt;0,(Duplicate!$M$23*Data!$AG124)+L181,(Duplicate!$M$24*Data!$AG124)+L181),IF(Data!$AF124&gt;0,(Duplicate!$M$23*Data!$AF124)+L181,(Duplicate!$M$24*Data!$AF124)+L181)),0)</f>
        <v>10937248</v>
      </c>
      <c r="N181" s="143">
        <f>ROUND(IF($E$31="Yes",IF(Data!$AG124&gt;0,(Duplicate!$N$23*Data!$AG124)+M181,(Duplicate!$N$24*Data!$AG124)+M181),IF(Data!$AF124&gt;0,(Duplicate!$N$23*Data!$AF124)+M181,(Duplicate!$N$24*Data!$AF124)+M181)),0)</f>
        <v>11129887</v>
      </c>
      <c r="O181" s="143">
        <f>ROUND(IF($E$31="Yes",IF(Data!$AG124&gt;0,(Duplicate!$O$23*Data!$AG124)+N181,(Duplicate!$O$24*Data!$AG124)+N181),IF(Data!$AF124&gt;0,(Duplicate!$O$23*Data!$AF124)+N181,(Duplicate!$O$24*Data!$AF124)+N181)),0)</f>
        <v>11322526</v>
      </c>
      <c r="P181" s="143">
        <f>ROUND(IF($E$31="Yes",IF(Data!$AG124&gt;0,(Duplicate!$P$23*Data!$AG124)+O181,(Duplicate!$P$24*Data!$AG124)+O181),IF(Data!$AF124&gt;0,(Duplicate!$P$23*Data!$AF124)+O181,(Duplicate!$P$24*Data!$AF124)+O181)),0)</f>
        <v>11515165</v>
      </c>
      <c r="Q181" s="143">
        <f>ROUND(IF($E$31="Yes",IF(Data!$AG124&gt;0,(Duplicate!$Q$23*Data!$AG124)+P181,(Duplicate!$Q$24*Data!$AG124)+P181),IF(Data!$AF124&gt;0,(Duplicate!$Q$23*Data!$AF124)+P181,(Duplicate!$Q$24*Data!$AF124)+P181)),0)</f>
        <v>11707804</v>
      </c>
      <c r="R181" s="143">
        <f>ROUND(IF($E$31="Yes",IF(Data!$AG124&gt;0,(Duplicate!$R$23*Data!$AG124)+Q181,(Duplicate!$R$24*Data!$AG124)+Q181),IF(Data!$AF124&gt;0,(Duplicate!$R$23*Data!$AF124)+Q181,(Duplicate!$R$24*Data!$AF124)+Q181)),0)</f>
        <v>11900443</v>
      </c>
      <c r="S181" s="143">
        <f>ROUND(IF($E$31="Yes",IF(Data!$AG124&gt;0,(Duplicate!$S$23*Data!$AG124)+R181,(Duplicate!$S$24*Data!$AG124)+R181),IF(Data!$AF124&gt;0,(Duplicate!$S$23*Data!$AF124)+R181,(Duplicate!$S$24*Data!$AF124)+R181)),0)</f>
        <v>12093082</v>
      </c>
      <c r="T181" s="143">
        <v>10577243</v>
      </c>
      <c r="U181" s="143">
        <v>10795155</v>
      </c>
      <c r="V181" s="143">
        <v>11013067</v>
      </c>
      <c r="W181" s="143">
        <v>11230979</v>
      </c>
      <c r="X181" s="143">
        <v>11448891</v>
      </c>
      <c r="Y181" s="143">
        <v>11666803</v>
      </c>
      <c r="Z181" s="143">
        <v>11884715</v>
      </c>
      <c r="AA181" s="143">
        <v>12102627</v>
      </c>
      <c r="AB181" s="143">
        <v>12320539</v>
      </c>
      <c r="AC181" s="129">
        <f t="shared" si="61"/>
        <v>-25273</v>
      </c>
      <c r="AD181" s="129">
        <f t="shared" si="62"/>
        <v>-50546</v>
      </c>
      <c r="AE181" s="129">
        <f t="shared" si="63"/>
        <v>-75819</v>
      </c>
      <c r="AF181" s="129">
        <f t="shared" si="64"/>
        <v>-101092</v>
      </c>
      <c r="AG181" s="129">
        <f t="shared" si="65"/>
        <v>-126365</v>
      </c>
      <c r="AH181" s="129">
        <f t="shared" si="66"/>
        <v>-151638</v>
      </c>
      <c r="AI181" s="129">
        <f t="shared" si="67"/>
        <v>-176911</v>
      </c>
      <c r="AJ181" s="129">
        <f t="shared" si="68"/>
        <v>-202184</v>
      </c>
      <c r="AK181" s="129">
        <f t="shared" si="69"/>
        <v>-227457</v>
      </c>
      <c r="AL181" s="127">
        <f t="shared" si="70"/>
        <v>-2.3893750006499515E-3</v>
      </c>
      <c r="AM181" s="127">
        <f t="shared" si="71"/>
        <v>-4.6822857105803806E-3</v>
      </c>
      <c r="AN181" s="127">
        <f t="shared" si="72"/>
        <v>-6.8844582530915854E-3</v>
      </c>
      <c r="AO181" s="127">
        <f t="shared" si="73"/>
        <v>-9.0011743410792766E-3</v>
      </c>
      <c r="AP181" s="127">
        <f t="shared" si="74"/>
        <v>-1.1037313570371188E-2</v>
      </c>
      <c r="AQ181" s="127">
        <f t="shared" si="75"/>
        <v>-1.2997390973345513E-2</v>
      </c>
      <c r="AR181" s="127">
        <f t="shared" si="76"/>
        <v>-1.4885590441167551E-2</v>
      </c>
      <c r="AS181" s="127">
        <f t="shared" si="77"/>
        <v>-1.6705794535351703E-2</v>
      </c>
      <c r="AT181" s="127">
        <f t="shared" si="78"/>
        <v>-1.8461611135681677E-2</v>
      </c>
    </row>
    <row r="182" spans="1:46" s="18" customFormat="1" ht="13" x14ac:dyDescent="0.15">
      <c r="A182" s="29" t="s">
        <v>123</v>
      </c>
      <c r="B182" s="30">
        <f>IF(Data!D125=1, MAX(Data!AA125, $E$26) + INDEX(Duplicate!$E$39:$E$43, MATCH( Data!AD125, Duplicate!$B$39:$B$43, 0), 0), MAX(Data!AA125, $E$27) +  INDEX(Duplicate!$E$39:$E$43, MATCH( Data!AD125, Duplicate!$B$39:$B$43, 0), 0))</f>
        <v>0.48308300000000004</v>
      </c>
      <c r="C182" s="128">
        <f>ROUND(Data!R125/13*100, 2)</f>
        <v>0</v>
      </c>
      <c r="D182" s="141">
        <f>ROUND(Data!Q125*C182, 0)</f>
        <v>0</v>
      </c>
      <c r="E182" s="142">
        <f>ROUND($E$22*Data!W125*B182, 0)</f>
        <v>9031817</v>
      </c>
      <c r="F182" s="143">
        <f>IF(E182=0, 0,IF($E$31="Yes", IF(Data!D125=1, MAX(Duplicate!D182+Duplicate!E182, Data!AE125), Duplicate!D182+Duplicate!E182), Duplicate!D182+Duplicate!E182))</f>
        <v>9031817</v>
      </c>
      <c r="G182" s="143">
        <v>10239618</v>
      </c>
      <c r="H182" s="129">
        <f>F182-Data!AL125</f>
        <v>-770304</v>
      </c>
      <c r="I182" s="127">
        <f>((F182)/(Data!AL125)) - 1</f>
        <v>-7.8585440844894716E-2</v>
      </c>
      <c r="J182" s="127">
        <f t="shared" si="42"/>
        <v>-0.11795371663278842</v>
      </c>
      <c r="K182" s="143">
        <f>ROUND(IF($E$31="Yes",IF(Data!AG125&gt;0,(Duplicate!$K$23*Data!AG125)+Data!AI125,(Duplicate!$K$24*Data!AG125)+Data!AI125),IF(Data!AF125&gt;0,(Duplicate!$K$23*Data!AF125)+Data!AI125,(Duplicate!$K$24*Data!AF125)+Data!AI125)),0)</f>
        <v>9717827</v>
      </c>
      <c r="L182" s="143">
        <f>ROUND(IF($E$31="Yes",IF(Data!$AG125&gt;0,(Duplicate!$L$23*Data!$AG125)+K182,(Duplicate!$L$24*Data!$AG125)+K182),IF(Data!$AF125&gt;0,(Duplicate!$L$23*Data!$AF125)+K182,(Duplicate!$L$24*Data!$AF125)+K182)),0)</f>
        <v>9657033</v>
      </c>
      <c r="M182" s="143">
        <f>ROUND(IF($E$31="Yes",IF(Data!$AG125&gt;0,(Duplicate!$M$23*Data!$AG125)+L182,(Duplicate!$M$24*Data!$AG125)+L182),IF(Data!$AF125&gt;0,(Duplicate!$M$23*Data!$AF125)+L182,(Duplicate!$M$24*Data!$AF125)+L182)),0)</f>
        <v>9596239</v>
      </c>
      <c r="N182" s="143">
        <f>ROUND(IF($E$31="Yes",IF(Data!$AG125&gt;0,(Duplicate!$N$23*Data!$AG125)+M182,(Duplicate!$N$24*Data!$AG125)+M182),IF(Data!$AF125&gt;0,(Duplicate!$N$23*Data!$AF125)+M182,(Duplicate!$N$24*Data!$AF125)+M182)),0)</f>
        <v>9535445</v>
      </c>
      <c r="O182" s="143">
        <f>ROUND(IF($E$31="Yes",IF(Data!$AG125&gt;0,(Duplicate!$O$23*Data!$AG125)+N182,(Duplicate!$O$24*Data!$AG125)+N182),IF(Data!$AF125&gt;0,(Duplicate!$O$23*Data!$AF125)+N182,(Duplicate!$O$24*Data!$AF125)+N182)),0)</f>
        <v>9474651</v>
      </c>
      <c r="P182" s="143">
        <f>ROUND(IF($E$31="Yes",IF(Data!$AG125&gt;0,(Duplicate!$P$23*Data!$AG125)+O182,(Duplicate!$P$24*Data!$AG125)+O182),IF(Data!$AF125&gt;0,(Duplicate!$P$23*Data!$AF125)+O182,(Duplicate!$P$24*Data!$AF125)+O182)),0)</f>
        <v>9413857</v>
      </c>
      <c r="Q182" s="143">
        <f>ROUND(IF($E$31="Yes",IF(Data!$AG125&gt;0,(Duplicate!$Q$23*Data!$AG125)+P182,(Duplicate!$Q$24*Data!$AG125)+P182),IF(Data!$AF125&gt;0,(Duplicate!$Q$23*Data!$AF125)+P182,(Duplicate!$Q$24*Data!$AF125)+P182)),0)</f>
        <v>9353063</v>
      </c>
      <c r="R182" s="143">
        <f>ROUND(IF($E$31="Yes",IF(Data!$AG125&gt;0,(Duplicate!$R$23*Data!$AG125)+Q182,(Duplicate!$R$24*Data!$AG125)+Q182),IF(Data!$AF125&gt;0,(Duplicate!$R$23*Data!$AF125)+Q182,(Duplicate!$R$24*Data!$AF125)+Q182)),0)</f>
        <v>9292269</v>
      </c>
      <c r="S182" s="143">
        <f>ROUND(IF($E$31="Yes",IF(Data!$AG125&gt;0,(Duplicate!$S$23*Data!$AG125)+R182,(Duplicate!$S$24*Data!$AG125)+R182),IF(Data!$AF125&gt;0,(Duplicate!$S$23*Data!$AF125)+R182,(Duplicate!$S$24*Data!$AF125)+R182)),0)</f>
        <v>9231475</v>
      </c>
      <c r="T182" s="143">
        <v>9829574</v>
      </c>
      <c r="U182" s="143">
        <v>9880527</v>
      </c>
      <c r="V182" s="143">
        <v>9931480</v>
      </c>
      <c r="W182" s="143">
        <v>9982433</v>
      </c>
      <c r="X182" s="143">
        <v>10033386</v>
      </c>
      <c r="Y182" s="143">
        <v>10084339</v>
      </c>
      <c r="Z182" s="143">
        <v>10135292</v>
      </c>
      <c r="AA182" s="143">
        <v>10186245</v>
      </c>
      <c r="AB182" s="143">
        <v>10237198</v>
      </c>
      <c r="AC182" s="129">
        <f t="shared" si="61"/>
        <v>-111747</v>
      </c>
      <c r="AD182" s="129">
        <f t="shared" si="62"/>
        <v>-223494</v>
      </c>
      <c r="AE182" s="129">
        <f t="shared" si="63"/>
        <v>-335241</v>
      </c>
      <c r="AF182" s="129">
        <f t="shared" si="64"/>
        <v>-446988</v>
      </c>
      <c r="AG182" s="129">
        <f t="shared" si="65"/>
        <v>-558735</v>
      </c>
      <c r="AH182" s="129">
        <f t="shared" si="66"/>
        <v>-670482</v>
      </c>
      <c r="AI182" s="129">
        <f t="shared" si="67"/>
        <v>-782229</v>
      </c>
      <c r="AJ182" s="129">
        <f t="shared" si="68"/>
        <v>-893976</v>
      </c>
      <c r="AK182" s="129">
        <f t="shared" si="69"/>
        <v>-1005723</v>
      </c>
      <c r="AL182" s="127">
        <f t="shared" si="70"/>
        <v>-1.1368447910357071E-2</v>
      </c>
      <c r="AM182" s="127">
        <f t="shared" si="71"/>
        <v>-2.2619643668804312E-2</v>
      </c>
      <c r="AN182" s="127">
        <f t="shared" si="72"/>
        <v>-3.3755391945611279E-2</v>
      </c>
      <c r="AO182" s="127">
        <f t="shared" si="73"/>
        <v>-4.4777460564974447E-2</v>
      </c>
      <c r="AP182" s="127">
        <f t="shared" si="74"/>
        <v>-5.5687581440602374E-2</v>
      </c>
      <c r="AQ182" s="127">
        <f t="shared" si="75"/>
        <v>-6.6487451482937998E-2</v>
      </c>
      <c r="AR182" s="127">
        <f t="shared" si="76"/>
        <v>-7.7178733479015715E-2</v>
      </c>
      <c r="AS182" s="127">
        <f t="shared" si="77"/>
        <v>-8.7763056945910911E-2</v>
      </c>
      <c r="AT182" s="127">
        <f t="shared" si="78"/>
        <v>-9.8242018958703325E-2</v>
      </c>
    </row>
    <row r="183" spans="1:46" s="18" customFormat="1" ht="13" x14ac:dyDescent="0.15">
      <c r="A183" s="29" t="s">
        <v>124</v>
      </c>
      <c r="B183" s="30">
        <f>IF(Data!D126=1, MAX(Data!AA126, $E$26) + INDEX(Duplicate!$E$39:$E$43, MATCH( Data!AD126, Duplicate!$B$39:$B$43, 0), 0), MAX(Data!AA126, $E$27) +  INDEX(Duplicate!$E$39:$E$43, MATCH( Data!AD126, Duplicate!$B$39:$B$43, 0), 0))</f>
        <v>0.32113399999999998</v>
      </c>
      <c r="C183" s="128">
        <f>ROUND(Data!R126/13*100, 2)</f>
        <v>0</v>
      </c>
      <c r="D183" s="141">
        <f>ROUND(Data!Q126*C183, 0)</f>
        <v>0</v>
      </c>
      <c r="E183" s="142">
        <f>ROUND($E$22*Data!W126*B183, 0)</f>
        <v>2030407</v>
      </c>
      <c r="F183" s="143">
        <f>IF(E183=0, 0,IF($E$31="Yes", IF(Data!D126=1, MAX(Duplicate!D183+Duplicate!E183, Data!AE126), Duplicate!D183+Duplicate!E183), Duplicate!D183+Duplicate!E183))</f>
        <v>2030407</v>
      </c>
      <c r="G183" s="143">
        <v>2099110</v>
      </c>
      <c r="H183" s="129">
        <f>F183-Data!AL126</f>
        <v>-640580</v>
      </c>
      <c r="I183" s="127">
        <f>((F183)/(Data!AL126)) - 1</f>
        <v>-0.23982894712703584</v>
      </c>
      <c r="J183" s="127">
        <f t="shared" si="42"/>
        <v>-3.2729585395715355E-2</v>
      </c>
      <c r="K183" s="143">
        <f>ROUND(IF($E$31="Yes",IF(Data!AG126&gt;0,(Duplicate!$K$23*Data!AG126)+Data!AI126,(Duplicate!$K$24*Data!AG126)+Data!AI126),IF(Data!AF126&gt;0,(Duplicate!$K$23*Data!AF126)+Data!AI126,(Duplicate!$K$24*Data!AF126)+Data!AI126)),0)</f>
        <v>2745066</v>
      </c>
      <c r="L183" s="143">
        <f>ROUND(IF($E$31="Yes",IF(Data!$AG126&gt;0,(Duplicate!$L$23*Data!$AG126)+K183,(Duplicate!$L$24*Data!$AG126)+K183),IF(Data!$AF126&gt;0,(Duplicate!$L$23*Data!$AF126)+K183,(Duplicate!$L$24*Data!$AF126)+K183)),0)</f>
        <v>2663448</v>
      </c>
      <c r="M183" s="143">
        <f>ROUND(IF($E$31="Yes",IF(Data!$AG126&gt;0,(Duplicate!$M$23*Data!$AG126)+L183,(Duplicate!$M$24*Data!$AG126)+L183),IF(Data!$AF126&gt;0,(Duplicate!$M$23*Data!$AF126)+L183,(Duplicate!$M$24*Data!$AF126)+L183)),0)</f>
        <v>2581830</v>
      </c>
      <c r="N183" s="143">
        <f>ROUND(IF($E$31="Yes",IF(Data!$AG126&gt;0,(Duplicate!$N$23*Data!$AG126)+M183,(Duplicate!$N$24*Data!$AG126)+M183),IF(Data!$AF126&gt;0,(Duplicate!$N$23*Data!$AF126)+M183,(Duplicate!$N$24*Data!$AF126)+M183)),0)</f>
        <v>2500212</v>
      </c>
      <c r="O183" s="143">
        <f>ROUND(IF($E$31="Yes",IF(Data!$AG126&gt;0,(Duplicate!$O$23*Data!$AG126)+N183,(Duplicate!$O$24*Data!$AG126)+N183),IF(Data!$AF126&gt;0,(Duplicate!$O$23*Data!$AF126)+N183,(Duplicate!$O$24*Data!$AF126)+N183)),0)</f>
        <v>2418594</v>
      </c>
      <c r="P183" s="143">
        <f>ROUND(IF($E$31="Yes",IF(Data!$AG126&gt;0,(Duplicate!$P$23*Data!$AG126)+O183,(Duplicate!$P$24*Data!$AG126)+O183),IF(Data!$AF126&gt;0,(Duplicate!$P$23*Data!$AF126)+O183,(Duplicate!$P$24*Data!$AF126)+O183)),0)</f>
        <v>2336976</v>
      </c>
      <c r="Q183" s="143">
        <f>ROUND(IF($E$31="Yes",IF(Data!$AG126&gt;0,(Duplicate!$Q$23*Data!$AG126)+P183,(Duplicate!$Q$24*Data!$AG126)+P183),IF(Data!$AF126&gt;0,(Duplicate!$Q$23*Data!$AF126)+P183,(Duplicate!$Q$24*Data!$AF126)+P183)),0)</f>
        <v>2255358</v>
      </c>
      <c r="R183" s="143">
        <f>ROUND(IF($E$31="Yes",IF(Data!$AG126&gt;0,(Duplicate!$R$23*Data!$AG126)+Q183,(Duplicate!$R$24*Data!$AG126)+Q183),IF(Data!$AF126&gt;0,(Duplicate!$R$23*Data!$AF126)+Q183,(Duplicate!$R$24*Data!$AF126)+Q183)),0)</f>
        <v>2173740</v>
      </c>
      <c r="S183" s="143">
        <f>ROUND(IF($E$31="Yes",IF(Data!$AG126&gt;0,(Duplicate!$S$23*Data!$AG126)+R183,(Duplicate!$S$24*Data!$AG126)+R183),IF(Data!$AF126&gt;0,(Duplicate!$S$23*Data!$AF126)+R183,(Duplicate!$S$24*Data!$AF126)+R183)),0)</f>
        <v>2092122</v>
      </c>
      <c r="T183" s="143">
        <v>2745558</v>
      </c>
      <c r="U183" s="143">
        <v>2664432</v>
      </c>
      <c r="V183" s="143">
        <v>2583306</v>
      </c>
      <c r="W183" s="143">
        <v>2502180</v>
      </c>
      <c r="X183" s="143">
        <v>2421054</v>
      </c>
      <c r="Y183" s="143">
        <v>2339928</v>
      </c>
      <c r="Z183" s="143">
        <v>2258802</v>
      </c>
      <c r="AA183" s="143">
        <v>2177676</v>
      </c>
      <c r="AB183" s="143">
        <v>2096550</v>
      </c>
      <c r="AC183" s="129">
        <f t="shared" si="61"/>
        <v>-492</v>
      </c>
      <c r="AD183" s="129">
        <f t="shared" si="62"/>
        <v>-984</v>
      </c>
      <c r="AE183" s="129">
        <f t="shared" si="63"/>
        <v>-1476</v>
      </c>
      <c r="AF183" s="129">
        <f t="shared" si="64"/>
        <v>-1968</v>
      </c>
      <c r="AG183" s="129">
        <f t="shared" si="65"/>
        <v>-2460</v>
      </c>
      <c r="AH183" s="129">
        <f t="shared" si="66"/>
        <v>-2952</v>
      </c>
      <c r="AI183" s="129">
        <f t="shared" si="67"/>
        <v>-3444</v>
      </c>
      <c r="AJ183" s="129">
        <f t="shared" si="68"/>
        <v>-3936</v>
      </c>
      <c r="AK183" s="129">
        <f t="shared" si="69"/>
        <v>-4428</v>
      </c>
      <c r="AL183" s="127">
        <f t="shared" si="70"/>
        <v>-1.7919854543224645E-4</v>
      </c>
      <c r="AM183" s="127">
        <f t="shared" si="71"/>
        <v>-3.6930948134539232E-4</v>
      </c>
      <c r="AN183" s="127">
        <f t="shared" si="72"/>
        <v>-5.7136088407649943E-4</v>
      </c>
      <c r="AO183" s="127">
        <f t="shared" si="73"/>
        <v>-7.8651415965280691E-4</v>
      </c>
      <c r="AP183" s="127">
        <f t="shared" si="74"/>
        <v>-1.0160863822120669E-3</v>
      </c>
      <c r="AQ183" s="127">
        <f t="shared" si="75"/>
        <v>-1.2615772793008739E-3</v>
      </c>
      <c r="AR183" s="127">
        <f t="shared" si="76"/>
        <v>-1.5247020323162497E-3</v>
      </c>
      <c r="AS183" s="127">
        <f t="shared" si="77"/>
        <v>-1.8074314085291254E-3</v>
      </c>
      <c r="AT183" s="127">
        <f t="shared" si="78"/>
        <v>-2.1120412105601893E-3</v>
      </c>
    </row>
    <row r="184" spans="1:46" s="18" customFormat="1" ht="13" x14ac:dyDescent="0.15">
      <c r="A184" s="29" t="s">
        <v>125</v>
      </c>
      <c r="B184" s="30">
        <f>IF(Data!D127=1, MAX(Data!AA127, $E$26) + INDEX(Duplicate!$E$39:$E$43, MATCH( Data!AD127, Duplicate!$B$39:$B$43, 0), 0), MAX(Data!AA127, $E$27) +  INDEX(Duplicate!$E$39:$E$43, MATCH( Data!AD127, Duplicate!$B$39:$B$43, 0), 0))</f>
        <v>0.30067100000000002</v>
      </c>
      <c r="C184" s="128">
        <f>ROUND(Data!R127/13*100, 2)</f>
        <v>0</v>
      </c>
      <c r="D184" s="141">
        <f>ROUND(Data!Q127*C184, 0)</f>
        <v>0</v>
      </c>
      <c r="E184" s="142">
        <f>ROUND($E$22*Data!W127*B184, 0)</f>
        <v>4842664</v>
      </c>
      <c r="F184" s="143">
        <f>IF(E184=0, 0,IF($E$31="Yes", IF(Data!D127=1, MAX(Duplicate!D184+Duplicate!E184, Data!AE127), Duplicate!D184+Duplicate!E184), Duplicate!D184+Duplicate!E184))</f>
        <v>4842664</v>
      </c>
      <c r="G184" s="143">
        <v>5144376</v>
      </c>
      <c r="H184" s="129">
        <f>F184-Data!AL127</f>
        <v>349359</v>
      </c>
      <c r="I184" s="127">
        <f>((F184)/(Data!AL127)) - 1</f>
        <v>7.7751009557552875E-2</v>
      </c>
      <c r="J184" s="127">
        <f t="shared" si="42"/>
        <v>-5.864890124672073E-2</v>
      </c>
      <c r="K184" s="143">
        <f>ROUND(IF($E$31="Yes",IF(Data!AG127&gt;0,(Duplicate!$K$23*Data!AG127)+Data!AI127,(Duplicate!$K$24*Data!AG127)+Data!AI127),IF(Data!AF127&gt;0,(Duplicate!$K$23*Data!AF127)+Data!AI127,(Duplicate!$K$24*Data!AF127)+Data!AI127)),0)</f>
        <v>4424464</v>
      </c>
      <c r="L184" s="143">
        <f>ROUND(IF($E$31="Yes",IF(Data!$AG127&gt;0,(Duplicate!$L$23*Data!$AG127)+K184,(Duplicate!$L$24*Data!$AG127)+K184),IF(Data!$AF127&gt;0,(Duplicate!$L$23*Data!$AF127)+K184,(Duplicate!$L$24*Data!$AF127)+K184)),0)</f>
        <v>4475516</v>
      </c>
      <c r="M184" s="143">
        <f>ROUND(IF($E$31="Yes",IF(Data!$AG127&gt;0,(Duplicate!$M$23*Data!$AG127)+L184,(Duplicate!$M$24*Data!$AG127)+L184),IF(Data!$AF127&gt;0,(Duplicate!$M$23*Data!$AF127)+L184,(Duplicate!$M$24*Data!$AF127)+L184)),0)</f>
        <v>4526568</v>
      </c>
      <c r="N184" s="143">
        <f>ROUND(IF($E$31="Yes",IF(Data!$AG127&gt;0,(Duplicate!$N$23*Data!$AG127)+M184,(Duplicate!$N$24*Data!$AG127)+M184),IF(Data!$AF127&gt;0,(Duplicate!$N$23*Data!$AF127)+M184,(Duplicate!$N$24*Data!$AF127)+M184)),0)</f>
        <v>4577620</v>
      </c>
      <c r="O184" s="143">
        <f>ROUND(IF($E$31="Yes",IF(Data!$AG127&gt;0,(Duplicate!$O$23*Data!$AG127)+N184,(Duplicate!$O$24*Data!$AG127)+N184),IF(Data!$AF127&gt;0,(Duplicate!$O$23*Data!$AF127)+N184,(Duplicate!$O$24*Data!$AF127)+N184)),0)</f>
        <v>4628672</v>
      </c>
      <c r="P184" s="143">
        <f>ROUND(IF($E$31="Yes",IF(Data!$AG127&gt;0,(Duplicate!$P$23*Data!$AG127)+O184,(Duplicate!$P$24*Data!$AG127)+O184),IF(Data!$AF127&gt;0,(Duplicate!$P$23*Data!$AF127)+O184,(Duplicate!$P$24*Data!$AF127)+O184)),0)</f>
        <v>4679724</v>
      </c>
      <c r="Q184" s="143">
        <f>ROUND(IF($E$31="Yes",IF(Data!$AG127&gt;0,(Duplicate!$Q$23*Data!$AG127)+P184,(Duplicate!$Q$24*Data!$AG127)+P184),IF(Data!$AF127&gt;0,(Duplicate!$Q$23*Data!$AF127)+P184,(Duplicate!$Q$24*Data!$AF127)+P184)),0)</f>
        <v>4730776</v>
      </c>
      <c r="R184" s="143">
        <f>ROUND(IF($E$31="Yes",IF(Data!$AG127&gt;0,(Duplicate!$R$23*Data!$AG127)+Q184,(Duplicate!$R$24*Data!$AG127)+Q184),IF(Data!$AF127&gt;0,(Duplicate!$R$23*Data!$AF127)+Q184,(Duplicate!$R$24*Data!$AF127)+Q184)),0)</f>
        <v>4781828</v>
      </c>
      <c r="S184" s="143">
        <f>ROUND(IF($E$31="Yes",IF(Data!$AG127&gt;0,(Duplicate!$S$23*Data!$AG127)+R184,(Duplicate!$S$24*Data!$AG127)+R184),IF(Data!$AF127&gt;0,(Duplicate!$S$23*Data!$AF127)+R184,(Duplicate!$S$24*Data!$AF127)+R184)),0)</f>
        <v>4832880</v>
      </c>
      <c r="T184" s="143">
        <v>4456627</v>
      </c>
      <c r="U184" s="143">
        <v>4539842</v>
      </c>
      <c r="V184" s="143">
        <v>4623057</v>
      </c>
      <c r="W184" s="143">
        <v>4706272</v>
      </c>
      <c r="X184" s="143">
        <v>4789487</v>
      </c>
      <c r="Y184" s="143">
        <v>4872702</v>
      </c>
      <c r="Z184" s="143">
        <v>4955917</v>
      </c>
      <c r="AA184" s="143">
        <v>5039132</v>
      </c>
      <c r="AB184" s="143">
        <v>5122347</v>
      </c>
      <c r="AC184" s="129">
        <f t="shared" si="61"/>
        <v>-32163</v>
      </c>
      <c r="AD184" s="129">
        <f t="shared" si="62"/>
        <v>-64326</v>
      </c>
      <c r="AE184" s="129">
        <f t="shared" si="63"/>
        <v>-96489</v>
      </c>
      <c r="AF184" s="129">
        <f t="shared" si="64"/>
        <v>-128652</v>
      </c>
      <c r="AG184" s="129">
        <f t="shared" si="65"/>
        <v>-160815</v>
      </c>
      <c r="AH184" s="129">
        <f t="shared" si="66"/>
        <v>-192978</v>
      </c>
      <c r="AI184" s="129">
        <f t="shared" si="67"/>
        <v>-225141</v>
      </c>
      <c r="AJ184" s="129">
        <f t="shared" si="68"/>
        <v>-257304</v>
      </c>
      <c r="AK184" s="129">
        <f t="shared" si="69"/>
        <v>-289467</v>
      </c>
      <c r="AL184" s="127">
        <f t="shared" si="70"/>
        <v>-7.2168929551429395E-3</v>
      </c>
      <c r="AM184" s="127">
        <f t="shared" si="71"/>
        <v>-1.4169215580630334E-2</v>
      </c>
      <c r="AN184" s="127">
        <f t="shared" si="72"/>
        <v>-2.0871254669799666E-2</v>
      </c>
      <c r="AO184" s="127">
        <f t="shared" si="73"/>
        <v>-2.7336286555473155E-2</v>
      </c>
      <c r="AP184" s="127">
        <f t="shared" si="74"/>
        <v>-3.357666489125033E-2</v>
      </c>
      <c r="AQ184" s="127">
        <f t="shared" si="75"/>
        <v>-3.9603899438135137E-2</v>
      </c>
      <c r="AR184" s="127">
        <f t="shared" si="76"/>
        <v>-4.5428726913707362E-2</v>
      </c>
      <c r="AS184" s="127">
        <f t="shared" si="77"/>
        <v>-5.1061174821377953E-2</v>
      </c>
      <c r="AT184" s="127">
        <f t="shared" si="78"/>
        <v>-5.6510619058021683E-2</v>
      </c>
    </row>
    <row r="185" spans="1:46" s="18" customFormat="1" ht="13" x14ac:dyDescent="0.15">
      <c r="A185" s="29" t="s">
        <v>126</v>
      </c>
      <c r="B185" s="30">
        <f>IF(Data!D128=1, MAX(Data!AA128, $E$26) + INDEX(Duplicate!$E$39:$E$43, MATCH( Data!AD128, Duplicate!$B$39:$B$43, 0), 0), MAX(Data!AA128, $E$27) +  INDEX(Duplicate!$E$39:$E$43, MATCH( Data!AD128, Duplicate!$B$39:$B$43, 0), 0))</f>
        <v>0.303481</v>
      </c>
      <c r="C185" s="128">
        <f>ROUND(Data!R128/13*100, 2)</f>
        <v>0</v>
      </c>
      <c r="D185" s="141">
        <f>ROUND(Data!Q128*C185, 0)</f>
        <v>0</v>
      </c>
      <c r="E185" s="142">
        <f>ROUND($E$22*Data!W128*B185, 0)</f>
        <v>2228193</v>
      </c>
      <c r="F185" s="143">
        <f>IF(E185=0, 0,IF($E$31="Yes", IF(Data!D128=1, MAX(Duplicate!D185+Duplicate!E185, Data!AE128), Duplicate!D185+Duplicate!E185), Duplicate!D185+Duplicate!E185))</f>
        <v>2228193</v>
      </c>
      <c r="G185" s="143">
        <v>2773684</v>
      </c>
      <c r="H185" s="129">
        <f>F185-Data!AL128</f>
        <v>-724303</v>
      </c>
      <c r="I185" s="127">
        <f>((F185)/(Data!AL128)) - 1</f>
        <v>-0.24531887596122059</v>
      </c>
      <c r="J185" s="127">
        <f t="shared" si="42"/>
        <v>-0.19666659936748387</v>
      </c>
      <c r="K185" s="143">
        <f>ROUND(IF($E$31="Yes",IF(Data!AG128&gt;0,(Duplicate!$K$23*Data!AG128)+Data!AI128,(Duplicate!$K$24*Data!AG128)+Data!AI128),IF(Data!AF128&gt;0,(Duplicate!$K$23*Data!AF128)+Data!AI128,(Duplicate!$K$24*Data!AF128)+Data!AI128)),0)</f>
        <v>2948846</v>
      </c>
      <c r="L185" s="143">
        <f>ROUND(IF($E$31="Yes",IF(Data!$AG128&gt;0,(Duplicate!$L$23*Data!$AG128)+K185,(Duplicate!$L$24*Data!$AG128)+K185),IF(Data!$AF128&gt;0,(Duplicate!$L$23*Data!$AF128)+K185,(Duplicate!$L$24*Data!$AF128)+K185)),0)</f>
        <v>2888818</v>
      </c>
      <c r="M185" s="143">
        <f>ROUND(IF($E$31="Yes",IF(Data!$AG128&gt;0,(Duplicate!$M$23*Data!$AG128)+L185,(Duplicate!$M$24*Data!$AG128)+L185),IF(Data!$AF128&gt;0,(Duplicate!$M$23*Data!$AF128)+L185,(Duplicate!$M$24*Data!$AF128)+L185)),0)</f>
        <v>2828790</v>
      </c>
      <c r="N185" s="143">
        <f>ROUND(IF($E$31="Yes",IF(Data!$AG128&gt;0,(Duplicate!$N$23*Data!$AG128)+M185,(Duplicate!$N$24*Data!$AG128)+M185),IF(Data!$AF128&gt;0,(Duplicate!$N$23*Data!$AF128)+M185,(Duplicate!$N$24*Data!$AF128)+M185)),0)</f>
        <v>2768762</v>
      </c>
      <c r="O185" s="143">
        <f>ROUND(IF($E$31="Yes",IF(Data!$AG128&gt;0,(Duplicate!$O$23*Data!$AG128)+N185,(Duplicate!$O$24*Data!$AG128)+N185),IF(Data!$AF128&gt;0,(Duplicate!$O$23*Data!$AF128)+N185,(Duplicate!$O$24*Data!$AF128)+N185)),0)</f>
        <v>2708734</v>
      </c>
      <c r="P185" s="143">
        <f>ROUND(IF($E$31="Yes",IF(Data!$AG128&gt;0,(Duplicate!$P$23*Data!$AG128)+O185,(Duplicate!$P$24*Data!$AG128)+O185),IF(Data!$AF128&gt;0,(Duplicate!$P$23*Data!$AF128)+O185,(Duplicate!$P$24*Data!$AF128)+O185)),0)</f>
        <v>2648706</v>
      </c>
      <c r="Q185" s="143">
        <f>ROUND(IF($E$31="Yes",IF(Data!$AG128&gt;0,(Duplicate!$Q$23*Data!$AG128)+P185,(Duplicate!$Q$24*Data!$AG128)+P185),IF(Data!$AF128&gt;0,(Duplicate!$Q$23*Data!$AF128)+P185,(Duplicate!$Q$24*Data!$AF128)+P185)),0)</f>
        <v>2588678</v>
      </c>
      <c r="R185" s="143">
        <f>ROUND(IF($E$31="Yes",IF(Data!$AG128&gt;0,(Duplicate!$R$23*Data!$AG128)+Q185,(Duplicate!$R$24*Data!$AG128)+Q185),IF(Data!$AF128&gt;0,(Duplicate!$R$23*Data!$AF128)+Q185,(Duplicate!$R$24*Data!$AF128)+Q185)),0)</f>
        <v>2528650</v>
      </c>
      <c r="S185" s="143">
        <f>ROUND(IF($E$31="Yes",IF(Data!$AG128&gt;0,(Duplicate!$S$23*Data!$AG128)+R185,(Duplicate!$S$24*Data!$AG128)+R185),IF(Data!$AF128&gt;0,(Duplicate!$S$23*Data!$AF128)+R185,(Duplicate!$S$24*Data!$AF128)+R185)),0)</f>
        <v>2468622</v>
      </c>
      <c r="T185" s="143">
        <v>2989021</v>
      </c>
      <c r="U185" s="143">
        <v>2969168</v>
      </c>
      <c r="V185" s="143">
        <v>2949315</v>
      </c>
      <c r="W185" s="143">
        <v>2929462</v>
      </c>
      <c r="X185" s="143">
        <v>2909609</v>
      </c>
      <c r="Y185" s="143">
        <v>2889756</v>
      </c>
      <c r="Z185" s="143">
        <v>2869903</v>
      </c>
      <c r="AA185" s="143">
        <v>2850050</v>
      </c>
      <c r="AB185" s="143">
        <v>2830197</v>
      </c>
      <c r="AC185" s="129">
        <f t="shared" si="61"/>
        <v>-40175</v>
      </c>
      <c r="AD185" s="129">
        <f t="shared" si="62"/>
        <v>-80350</v>
      </c>
      <c r="AE185" s="129">
        <f t="shared" si="63"/>
        <v>-120525</v>
      </c>
      <c r="AF185" s="129">
        <f t="shared" si="64"/>
        <v>-160700</v>
      </c>
      <c r="AG185" s="129">
        <f t="shared" si="65"/>
        <v>-200875</v>
      </c>
      <c r="AH185" s="129">
        <f t="shared" si="66"/>
        <v>-241050</v>
      </c>
      <c r="AI185" s="129">
        <f t="shared" si="67"/>
        <v>-281225</v>
      </c>
      <c r="AJ185" s="129">
        <f t="shared" si="68"/>
        <v>-321400</v>
      </c>
      <c r="AK185" s="129">
        <f t="shared" si="69"/>
        <v>-361575</v>
      </c>
      <c r="AL185" s="127">
        <f t="shared" si="70"/>
        <v>-1.344085571831044E-2</v>
      </c>
      <c r="AM185" s="127">
        <f t="shared" si="71"/>
        <v>-2.7061452905325689E-2</v>
      </c>
      <c r="AN185" s="127">
        <f t="shared" si="72"/>
        <v>-4.0865421292740844E-2</v>
      </c>
      <c r="AO185" s="127">
        <f t="shared" si="73"/>
        <v>-5.4856489007196529E-2</v>
      </c>
      <c r="AP185" s="127">
        <f t="shared" si="74"/>
        <v>-6.9038485927146898E-2</v>
      </c>
      <c r="AQ185" s="127">
        <f t="shared" si="75"/>
        <v>-8.341534717810084E-2</v>
      </c>
      <c r="AR185" s="127">
        <f t="shared" si="76"/>
        <v>-9.799111677293626E-2</v>
      </c>
      <c r="AS185" s="127">
        <f t="shared" si="77"/>
        <v>-0.1127699514043613</v>
      </c>
      <c r="AT185" s="127">
        <f t="shared" si="78"/>
        <v>-0.12775612439699424</v>
      </c>
    </row>
    <row r="186" spans="1:46" s="18" customFormat="1" ht="13" x14ac:dyDescent="0.15">
      <c r="A186" s="29" t="s">
        <v>127</v>
      </c>
      <c r="B186" s="30">
        <f>IF(Data!D129=1, MAX(Data!AA129, $E$26) + INDEX(Duplicate!$E$39:$E$43, MATCH( Data!AD129, Duplicate!$B$39:$B$43, 0), 0), MAX(Data!AA129, $E$27) +  INDEX(Duplicate!$E$39:$E$43, MATCH( Data!AD129, Duplicate!$B$39:$B$43, 0), 0))</f>
        <v>0.27468399999999998</v>
      </c>
      <c r="C186" s="128">
        <f>ROUND(Data!R129/13*100, 2)</f>
        <v>100</v>
      </c>
      <c r="D186" s="141">
        <f>ROUND(Data!Q129*C186, 0)</f>
        <v>131200</v>
      </c>
      <c r="E186" s="142">
        <f>ROUND($E$22*Data!W129*B186, 0)</f>
        <v>4427183</v>
      </c>
      <c r="F186" s="143">
        <f>IF(E186=0, 0,IF($E$31="Yes", IF(Data!D129=1, MAX(Duplicate!D186+Duplicate!E186, Data!AE129), Duplicate!D186+Duplicate!E186), Duplicate!D186+Duplicate!E186))</f>
        <v>4558383</v>
      </c>
      <c r="G186" s="143">
        <v>4206337</v>
      </c>
      <c r="H186" s="129">
        <f>F186-Data!AL129</f>
        <v>-303740</v>
      </c>
      <c r="I186" s="127">
        <f>((F186)/(Data!AL129)) - 1</f>
        <v>-6.2470653251676223E-2</v>
      </c>
      <c r="J186" s="127">
        <f t="shared" si="42"/>
        <v>8.369419758806762E-2</v>
      </c>
      <c r="K186" s="143">
        <f>ROUND(IF($E$31="Yes",IF(Data!AG129&gt;0,(Duplicate!$K$23*Data!AG129)+Data!AI129,(Duplicate!$K$24*Data!AG129)+Data!AI129),IF(Data!AF129&gt;0,(Duplicate!$K$23*Data!AF129)+Data!AI129,(Duplicate!$K$24*Data!AF129)+Data!AI129)),0)</f>
        <v>5113814</v>
      </c>
      <c r="L186" s="143">
        <f>ROUND(IF($E$31="Yes",IF(Data!$AG129&gt;0,(Duplicate!$L$23*Data!$AG129)+K186,(Duplicate!$L$24*Data!$AG129)+K186),IF(Data!$AF129&gt;0,(Duplicate!$L$23*Data!$AF129)+K186,(Duplicate!$L$24*Data!$AF129)+K186)),0)</f>
        <v>5202844</v>
      </c>
      <c r="M186" s="143">
        <f>ROUND(IF($E$31="Yes",IF(Data!$AG129&gt;0,(Duplicate!$M$23*Data!$AG129)+L186,(Duplicate!$M$24*Data!$AG129)+L186),IF(Data!$AF129&gt;0,(Duplicate!$M$23*Data!$AF129)+L186,(Duplicate!$M$24*Data!$AF129)+L186)),0)</f>
        <v>5291874</v>
      </c>
      <c r="N186" s="143">
        <f>ROUND(IF($E$31="Yes",IF(Data!$AG129&gt;0,(Duplicate!$N$23*Data!$AG129)+M186,(Duplicate!$N$24*Data!$AG129)+M186),IF(Data!$AF129&gt;0,(Duplicate!$N$23*Data!$AF129)+M186,(Duplicate!$N$24*Data!$AF129)+M186)),0)</f>
        <v>5380904</v>
      </c>
      <c r="O186" s="143">
        <f>ROUND(IF($E$31="Yes",IF(Data!$AG129&gt;0,(Duplicate!$O$23*Data!$AG129)+N186,(Duplicate!$O$24*Data!$AG129)+N186),IF(Data!$AF129&gt;0,(Duplicate!$O$23*Data!$AF129)+N186,(Duplicate!$O$24*Data!$AF129)+N186)),0)</f>
        <v>5469934</v>
      </c>
      <c r="P186" s="143">
        <f>ROUND(IF($E$31="Yes",IF(Data!$AG129&gt;0,(Duplicate!$P$23*Data!$AG129)+O186,(Duplicate!$P$24*Data!$AG129)+O186),IF(Data!$AF129&gt;0,(Duplicate!$P$23*Data!$AF129)+O186,(Duplicate!$P$24*Data!$AF129)+O186)),0)</f>
        <v>5558964</v>
      </c>
      <c r="Q186" s="143">
        <f>ROUND(IF($E$31="Yes",IF(Data!$AG129&gt;0,(Duplicate!$Q$23*Data!$AG129)+P186,(Duplicate!$Q$24*Data!$AG129)+P186),IF(Data!$AF129&gt;0,(Duplicate!$Q$23*Data!$AF129)+P186,(Duplicate!$Q$24*Data!$AF129)+P186)),0)</f>
        <v>5647994</v>
      </c>
      <c r="R186" s="143">
        <f>ROUND(IF($E$31="Yes",IF(Data!$AG129&gt;0,(Duplicate!$R$23*Data!$AG129)+Q186,(Duplicate!$R$24*Data!$AG129)+Q186),IF(Data!$AF129&gt;0,(Duplicate!$R$23*Data!$AF129)+Q186,(Duplicate!$R$24*Data!$AF129)+Q186)),0)</f>
        <v>5737024</v>
      </c>
      <c r="S186" s="143">
        <f>ROUND(IF($E$31="Yes",IF(Data!$AG129&gt;0,(Duplicate!$S$23*Data!$AG129)+R186,(Duplicate!$S$24*Data!$AG129)+R186),IF(Data!$AF129&gt;0,(Duplicate!$S$23*Data!$AF129)+R186,(Duplicate!$S$24*Data!$AF129)+R186)),0)</f>
        <v>5826054</v>
      </c>
      <c r="T186" s="143">
        <v>4933881</v>
      </c>
      <c r="U186" s="143">
        <v>4842978</v>
      </c>
      <c r="V186" s="143">
        <v>4752075</v>
      </c>
      <c r="W186" s="143">
        <v>4661172</v>
      </c>
      <c r="X186" s="143">
        <v>4570269</v>
      </c>
      <c r="Y186" s="143">
        <v>4479366</v>
      </c>
      <c r="Z186" s="143">
        <v>4388463</v>
      </c>
      <c r="AA186" s="143">
        <v>4297560</v>
      </c>
      <c r="AB186" s="143">
        <v>4206657</v>
      </c>
      <c r="AC186" s="129">
        <f t="shared" si="61"/>
        <v>179933</v>
      </c>
      <c r="AD186" s="129">
        <f t="shared" si="62"/>
        <v>359866</v>
      </c>
      <c r="AE186" s="129">
        <f t="shared" si="63"/>
        <v>539799</v>
      </c>
      <c r="AF186" s="129">
        <f t="shared" si="64"/>
        <v>719732</v>
      </c>
      <c r="AG186" s="129">
        <f t="shared" si="65"/>
        <v>899665</v>
      </c>
      <c r="AH186" s="129">
        <f t="shared" si="66"/>
        <v>1079598</v>
      </c>
      <c r="AI186" s="129">
        <f t="shared" si="67"/>
        <v>1259531</v>
      </c>
      <c r="AJ186" s="129">
        <f t="shared" si="68"/>
        <v>1439464</v>
      </c>
      <c r="AK186" s="129">
        <f t="shared" si="69"/>
        <v>1619397</v>
      </c>
      <c r="AL186" s="127">
        <f t="shared" si="70"/>
        <v>3.6468856869470434E-2</v>
      </c>
      <c r="AM186" s="127">
        <f t="shared" si="71"/>
        <v>7.4306759188251581E-2</v>
      </c>
      <c r="AN186" s="127">
        <f t="shared" si="72"/>
        <v>0.11359227284922913</v>
      </c>
      <c r="AO186" s="127">
        <f t="shared" si="73"/>
        <v>0.1544100925689933</v>
      </c>
      <c r="AP186" s="127">
        <f t="shared" si="74"/>
        <v>0.19685165140170091</v>
      </c>
      <c r="AQ186" s="127">
        <f t="shared" si="75"/>
        <v>0.24101580446875737</v>
      </c>
      <c r="AR186" s="127">
        <f t="shared" si="76"/>
        <v>0.28700959766551515</v>
      </c>
      <c r="AS186" s="127">
        <f t="shared" si="77"/>
        <v>0.33494913392715864</v>
      </c>
      <c r="AT186" s="127">
        <f t="shared" si="78"/>
        <v>0.38496055181109368</v>
      </c>
    </row>
    <row r="187" spans="1:46" s="18" customFormat="1" ht="13" x14ac:dyDescent="0.15">
      <c r="A187" s="29" t="s">
        <v>128</v>
      </c>
      <c r="B187" s="30">
        <f>IF(Data!D130=1, MAX(Data!AA130, $E$26) + INDEX(Duplicate!$E$39:$E$43, MATCH( Data!AD130, Duplicate!$B$39:$B$43, 0), 0), MAX(Data!AA130, $E$27) +  INDEX(Duplicate!$E$39:$E$43, MATCH( Data!AD130, Duplicate!$B$39:$B$43, 0), 0))</f>
        <v>0.46002399999999999</v>
      </c>
      <c r="C187" s="128">
        <f>ROUND(Data!R130/13*100, 2)</f>
        <v>0</v>
      </c>
      <c r="D187" s="141">
        <f>ROUND(Data!Q130*C187, 0)</f>
        <v>0</v>
      </c>
      <c r="E187" s="142">
        <f>ROUND($E$22*Data!W130*B187, 0)</f>
        <v>6807791</v>
      </c>
      <c r="F187" s="143">
        <f>IF(E187=0, 0,IF($E$31="Yes", IF(Data!D130=1, MAX(Duplicate!D187+Duplicate!E187, Data!AE130), Duplicate!D187+Duplicate!E187), Duplicate!D187+Duplicate!E187))</f>
        <v>8340282</v>
      </c>
      <c r="G187" s="143">
        <v>8340282</v>
      </c>
      <c r="H187" s="129">
        <f>F187-Data!AL130</f>
        <v>0</v>
      </c>
      <c r="I187" s="127">
        <f>((F187)/(Data!AL130)) - 1</f>
        <v>0</v>
      </c>
      <c r="J187" s="127">
        <f t="shared" si="42"/>
        <v>0</v>
      </c>
      <c r="K187" s="143">
        <f>ROUND(IF($E$31="Yes",IF(Data!AG130&gt;0,(Duplicate!$K$23*Data!AG130)+Data!AI130,(Duplicate!$K$24*Data!AG130)+Data!AI130),IF(Data!AF130&gt;0,(Duplicate!$K$23*Data!AF130)+Data!AI130,(Duplicate!$K$24*Data!AF130)+Data!AI130)),0)</f>
        <v>8340282</v>
      </c>
      <c r="L187" s="143">
        <f>ROUND(IF($E$31="Yes",IF(Data!$AG130&gt;0,(Duplicate!$L$23*Data!$AG130)+K187,(Duplicate!$L$24*Data!$AG130)+K187),IF(Data!$AF130&gt;0,(Duplicate!$L$23*Data!$AF130)+K187,(Duplicate!$L$24*Data!$AF130)+K187)),0)</f>
        <v>8340282</v>
      </c>
      <c r="M187" s="143">
        <f>ROUND(IF($E$31="Yes",IF(Data!$AG130&gt;0,(Duplicate!$M$23*Data!$AG130)+L187,(Duplicate!$M$24*Data!$AG130)+L187),IF(Data!$AF130&gt;0,(Duplicate!$M$23*Data!$AF130)+L187,(Duplicate!$M$24*Data!$AF130)+L187)),0)</f>
        <v>8340282</v>
      </c>
      <c r="N187" s="143">
        <f>ROUND(IF($E$31="Yes",IF(Data!$AG130&gt;0,(Duplicate!$N$23*Data!$AG130)+M187,(Duplicate!$N$24*Data!$AG130)+M187),IF(Data!$AF130&gt;0,(Duplicate!$N$23*Data!$AF130)+M187,(Duplicate!$N$24*Data!$AF130)+M187)),0)</f>
        <v>8340282</v>
      </c>
      <c r="O187" s="143">
        <f>ROUND(IF($E$31="Yes",IF(Data!$AG130&gt;0,(Duplicate!$O$23*Data!$AG130)+N187,(Duplicate!$O$24*Data!$AG130)+N187),IF(Data!$AF130&gt;0,(Duplicate!$O$23*Data!$AF130)+N187,(Duplicate!$O$24*Data!$AF130)+N187)),0)</f>
        <v>8340282</v>
      </c>
      <c r="P187" s="143">
        <f>ROUND(IF($E$31="Yes",IF(Data!$AG130&gt;0,(Duplicate!$P$23*Data!$AG130)+O187,(Duplicate!$P$24*Data!$AG130)+O187),IF(Data!$AF130&gt;0,(Duplicate!$P$23*Data!$AF130)+O187,(Duplicate!$P$24*Data!$AF130)+O187)),0)</f>
        <v>8340282</v>
      </c>
      <c r="Q187" s="143">
        <f>ROUND(IF($E$31="Yes",IF(Data!$AG130&gt;0,(Duplicate!$Q$23*Data!$AG130)+P187,(Duplicate!$Q$24*Data!$AG130)+P187),IF(Data!$AF130&gt;0,(Duplicate!$Q$23*Data!$AF130)+P187,(Duplicate!$Q$24*Data!$AF130)+P187)),0)</f>
        <v>8340282</v>
      </c>
      <c r="R187" s="143">
        <f>ROUND(IF($E$31="Yes",IF(Data!$AG130&gt;0,(Duplicate!$R$23*Data!$AG130)+Q187,(Duplicate!$R$24*Data!$AG130)+Q187),IF(Data!$AF130&gt;0,(Duplicate!$R$23*Data!$AF130)+Q187,(Duplicate!$R$24*Data!$AF130)+Q187)),0)</f>
        <v>8340282</v>
      </c>
      <c r="S187" s="143">
        <f>ROUND(IF($E$31="Yes",IF(Data!$AG130&gt;0,(Duplicate!$S$23*Data!$AG130)+R187,(Duplicate!$S$24*Data!$AG130)+R187),IF(Data!$AF130&gt;0,(Duplicate!$S$23*Data!$AF130)+R187,(Duplicate!$S$24*Data!$AF130)+R187)),0)</f>
        <v>8340282</v>
      </c>
      <c r="T187" s="143">
        <v>8340282</v>
      </c>
      <c r="U187" s="143">
        <v>8340282</v>
      </c>
      <c r="V187" s="143">
        <v>8340282</v>
      </c>
      <c r="W187" s="143">
        <v>8340282</v>
      </c>
      <c r="X187" s="143">
        <v>8340282</v>
      </c>
      <c r="Y187" s="143">
        <v>8340282</v>
      </c>
      <c r="Z187" s="143">
        <v>8340282</v>
      </c>
      <c r="AA187" s="143">
        <v>8340282</v>
      </c>
      <c r="AB187" s="143">
        <v>8340282</v>
      </c>
      <c r="AC187" s="129">
        <f t="shared" si="61"/>
        <v>0</v>
      </c>
      <c r="AD187" s="129">
        <f t="shared" si="62"/>
        <v>0</v>
      </c>
      <c r="AE187" s="129">
        <f t="shared" si="63"/>
        <v>0</v>
      </c>
      <c r="AF187" s="129">
        <f t="shared" si="64"/>
        <v>0</v>
      </c>
      <c r="AG187" s="129">
        <f t="shared" si="65"/>
        <v>0</v>
      </c>
      <c r="AH187" s="129">
        <f t="shared" si="66"/>
        <v>0</v>
      </c>
      <c r="AI187" s="129">
        <f t="shared" si="67"/>
        <v>0</v>
      </c>
      <c r="AJ187" s="129">
        <f t="shared" si="68"/>
        <v>0</v>
      </c>
      <c r="AK187" s="129">
        <f t="shared" si="69"/>
        <v>0</v>
      </c>
      <c r="AL187" s="127">
        <f t="shared" si="70"/>
        <v>0</v>
      </c>
      <c r="AM187" s="127">
        <f t="shared" si="71"/>
        <v>0</v>
      </c>
      <c r="AN187" s="127">
        <f t="shared" si="72"/>
        <v>0</v>
      </c>
      <c r="AO187" s="127">
        <f t="shared" si="73"/>
        <v>0</v>
      </c>
      <c r="AP187" s="127">
        <f t="shared" si="74"/>
        <v>0</v>
      </c>
      <c r="AQ187" s="127">
        <f t="shared" si="75"/>
        <v>0</v>
      </c>
      <c r="AR187" s="127">
        <f t="shared" si="76"/>
        <v>0</v>
      </c>
      <c r="AS187" s="127">
        <f t="shared" si="77"/>
        <v>0</v>
      </c>
      <c r="AT187" s="127">
        <f t="shared" si="78"/>
        <v>0</v>
      </c>
    </row>
    <row r="188" spans="1:46" s="18" customFormat="1" ht="13" x14ac:dyDescent="0.15">
      <c r="A188" s="29" t="s">
        <v>129</v>
      </c>
      <c r="B188" s="30">
        <f>IF(Data!D131=1, MAX(Data!AA131, $E$26) + INDEX(Duplicate!$E$39:$E$43, MATCH( Data!AD131, Duplicate!$B$39:$B$43, 0), 0), MAX(Data!AA131, $E$27) +  INDEX(Duplicate!$E$39:$E$43, MATCH( Data!AD131, Duplicate!$B$39:$B$43, 0), 0))</f>
        <v>0.01</v>
      </c>
      <c r="C188" s="128">
        <f>ROUND(Data!R131/13*100, 2)</f>
        <v>30.77</v>
      </c>
      <c r="D188" s="141">
        <f>ROUND(Data!Q131*C188, 0)</f>
        <v>13354</v>
      </c>
      <c r="E188" s="142">
        <f>ROUND($E$22*Data!W131*B188, 0)</f>
        <v>146135</v>
      </c>
      <c r="F188" s="143">
        <f>IF(E188=0, 0,IF($E$31="Yes", IF(Data!D131=1, MAX(Duplicate!D188+Duplicate!E188, Data!AE131), Duplicate!D188+Duplicate!E188), Duplicate!D188+Duplicate!E188))</f>
        <v>159489</v>
      </c>
      <c r="G188" s="143">
        <v>174499</v>
      </c>
      <c r="H188" s="129">
        <f>F188-Data!AL131</f>
        <v>-18551</v>
      </c>
      <c r="I188" s="127">
        <f>((F188)/(Data!AL131)) - 1</f>
        <v>-0.10419568636261511</v>
      </c>
      <c r="J188" s="127">
        <f t="shared" si="42"/>
        <v>-8.6017684915099757E-2</v>
      </c>
      <c r="K188" s="143">
        <f>ROUND(IF($E$31="Yes",IF(Data!AG131&gt;0,(Duplicate!$K$23*Data!AG131)+Data!AI131,(Duplicate!$K$24*Data!AG131)+Data!AI131),IF(Data!AF131&gt;0,(Duplicate!$K$23*Data!AF131)+Data!AI131,(Duplicate!$K$24*Data!AF131)+Data!AI131)),0)</f>
        <v>194483</v>
      </c>
      <c r="L188" s="143">
        <f>ROUND(IF($E$31="Yes",IF(Data!$AG131&gt;0,(Duplicate!$L$23*Data!$AG131)+K188,(Duplicate!$L$24*Data!$AG131)+K188),IF(Data!$AF131&gt;0,(Duplicate!$L$23*Data!$AF131)+K188,(Duplicate!$L$24*Data!$AF131)+K188)),0)</f>
        <v>209364</v>
      </c>
      <c r="M188" s="143">
        <f>ROUND(IF($E$31="Yes",IF(Data!$AG131&gt;0,(Duplicate!$M$23*Data!$AG131)+L188,(Duplicate!$M$24*Data!$AG131)+L188),IF(Data!$AF131&gt;0,(Duplicate!$M$23*Data!$AF131)+L188,(Duplicate!$M$24*Data!$AF131)+L188)),0)</f>
        <v>224245</v>
      </c>
      <c r="N188" s="143">
        <f>ROUND(IF($E$31="Yes",IF(Data!$AG131&gt;0,(Duplicate!$N$23*Data!$AG131)+M188,(Duplicate!$N$24*Data!$AG131)+M188),IF(Data!$AF131&gt;0,(Duplicate!$N$23*Data!$AF131)+M188,(Duplicate!$N$24*Data!$AF131)+M188)),0)</f>
        <v>239126</v>
      </c>
      <c r="O188" s="143">
        <f>ROUND(IF($E$31="Yes",IF(Data!$AG131&gt;0,(Duplicate!$O$23*Data!$AG131)+N188,(Duplicate!$O$24*Data!$AG131)+N188),IF(Data!$AF131&gt;0,(Duplicate!$O$23*Data!$AF131)+N188,(Duplicate!$O$24*Data!$AF131)+N188)),0)</f>
        <v>254007</v>
      </c>
      <c r="P188" s="143">
        <f>ROUND(IF($E$31="Yes",IF(Data!$AG131&gt;0,(Duplicate!$P$23*Data!$AG131)+O188,(Duplicate!$P$24*Data!$AG131)+O188),IF(Data!$AF131&gt;0,(Duplicate!$P$23*Data!$AF131)+O188,(Duplicate!$P$24*Data!$AF131)+O188)),0)</f>
        <v>268888</v>
      </c>
      <c r="Q188" s="143">
        <f>ROUND(IF($E$31="Yes",IF(Data!$AG131&gt;0,(Duplicate!$Q$23*Data!$AG131)+P188,(Duplicate!$Q$24*Data!$AG131)+P188),IF(Data!$AF131&gt;0,(Duplicate!$Q$23*Data!$AF131)+P188,(Duplicate!$Q$24*Data!$AF131)+P188)),0)</f>
        <v>283769</v>
      </c>
      <c r="R188" s="143">
        <f>ROUND(IF($E$31="Yes",IF(Data!$AG131&gt;0,(Duplicate!$R$23*Data!$AG131)+Q188,(Duplicate!$R$24*Data!$AG131)+Q188),IF(Data!$AF131&gt;0,(Duplicate!$R$23*Data!$AF131)+Q188,(Duplicate!$R$24*Data!$AF131)+Q188)),0)</f>
        <v>298650</v>
      </c>
      <c r="S188" s="143">
        <f>ROUND(IF($E$31="Yes",IF(Data!$AG131&gt;0,(Duplicate!$S$23*Data!$AG131)+R188,(Duplicate!$S$24*Data!$AG131)+R188),IF(Data!$AF131&gt;0,(Duplicate!$S$23*Data!$AF131)+R188,(Duplicate!$S$24*Data!$AF131)+R188)),0)</f>
        <v>313531</v>
      </c>
      <c r="T188" s="143">
        <v>179132</v>
      </c>
      <c r="U188" s="143">
        <v>178663</v>
      </c>
      <c r="V188" s="143">
        <v>178194</v>
      </c>
      <c r="W188" s="143">
        <v>177725</v>
      </c>
      <c r="X188" s="143">
        <v>177256</v>
      </c>
      <c r="Y188" s="143">
        <v>176787</v>
      </c>
      <c r="Z188" s="143">
        <v>176318</v>
      </c>
      <c r="AA188" s="143">
        <v>175849</v>
      </c>
      <c r="AB188" s="143">
        <v>175380</v>
      </c>
      <c r="AC188" s="129">
        <f t="shared" si="61"/>
        <v>15351</v>
      </c>
      <c r="AD188" s="129">
        <f t="shared" si="62"/>
        <v>30701</v>
      </c>
      <c r="AE188" s="129">
        <f t="shared" si="63"/>
        <v>46051</v>
      </c>
      <c r="AF188" s="129">
        <f t="shared" si="64"/>
        <v>61401</v>
      </c>
      <c r="AG188" s="129">
        <f t="shared" si="65"/>
        <v>76751</v>
      </c>
      <c r="AH188" s="129">
        <f t="shared" si="66"/>
        <v>92101</v>
      </c>
      <c r="AI188" s="129">
        <f t="shared" si="67"/>
        <v>107451</v>
      </c>
      <c r="AJ188" s="129">
        <f t="shared" si="68"/>
        <v>122801</v>
      </c>
      <c r="AK188" s="129">
        <f t="shared" si="69"/>
        <v>138151</v>
      </c>
      <c r="AL188" s="127">
        <f t="shared" si="70"/>
        <v>8.5696581292008078E-2</v>
      </c>
      <c r="AM188" s="127">
        <f t="shared" si="71"/>
        <v>0.17183748173936397</v>
      </c>
      <c r="AN188" s="127">
        <f t="shared" si="72"/>
        <v>0.25843182149791799</v>
      </c>
      <c r="AO188" s="127">
        <f t="shared" si="73"/>
        <v>0.34548319032212693</v>
      </c>
      <c r="AP188" s="127">
        <f t="shared" si="74"/>
        <v>0.43299521595883927</v>
      </c>
      <c r="AQ188" s="127">
        <f t="shared" si="75"/>
        <v>0.52097156465124694</v>
      </c>
      <c r="AR188" s="127">
        <f t="shared" si="76"/>
        <v>0.60941594165088087</v>
      </c>
      <c r="AS188" s="127">
        <f t="shared" si="77"/>
        <v>0.69833209173779776</v>
      </c>
      <c r="AT188" s="127">
        <f t="shared" si="78"/>
        <v>0.78772379974911622</v>
      </c>
    </row>
    <row r="189" spans="1:46" s="18" customFormat="1" ht="13" x14ac:dyDescent="0.15">
      <c r="A189" s="29" t="s">
        <v>130</v>
      </c>
      <c r="B189" s="30">
        <f>IF(Data!D132=1, MAX(Data!AA132, $E$26) + INDEX(Duplicate!$E$39:$E$43, MATCH( Data!AD132, Duplicate!$B$39:$B$43, 0), 0), MAX(Data!AA132, $E$27) +  INDEX(Duplicate!$E$39:$E$43, MATCH( Data!AD132, Duplicate!$B$39:$B$43, 0), 0))</f>
        <v>0.01</v>
      </c>
      <c r="C189" s="128">
        <f>ROUND(Data!R132/13*100, 2)</f>
        <v>0</v>
      </c>
      <c r="D189" s="141">
        <f>ROUND(Data!Q132*C189, 0)</f>
        <v>0</v>
      </c>
      <c r="E189" s="142">
        <f>ROUND($E$22*Data!W132*B189, 0)</f>
        <v>533916</v>
      </c>
      <c r="F189" s="143">
        <f>IF(E189=0, 0,IF($E$31="Yes", IF(Data!D132=1, MAX(Duplicate!D189+Duplicate!E189, Data!AE132), Duplicate!D189+Duplicate!E189), Duplicate!D189+Duplicate!E189))</f>
        <v>533916</v>
      </c>
      <c r="G189" s="143">
        <v>565412</v>
      </c>
      <c r="H189" s="129">
        <f>F189-Data!AL132</f>
        <v>-34784</v>
      </c>
      <c r="I189" s="127">
        <f>((F189)/(Data!AL132)) - 1</f>
        <v>-6.1164058378758601E-2</v>
      </c>
      <c r="J189" s="127">
        <f t="shared" si="42"/>
        <v>-5.5704512815433649E-2</v>
      </c>
      <c r="K189" s="143">
        <f>ROUND(IF($E$31="Yes",IF(Data!AG132&gt;0,(Duplicate!$K$23*Data!AG132)+Data!AI132,(Duplicate!$K$24*Data!AG132)+Data!AI132),IF(Data!AF132&gt;0,(Duplicate!$K$23*Data!AF132)+Data!AI132,(Duplicate!$K$24*Data!AF132)+Data!AI132)),0)</f>
        <v>567762</v>
      </c>
      <c r="L189" s="143">
        <f>ROUND(IF($E$31="Yes",IF(Data!$AG132&gt;0,(Duplicate!$L$23*Data!$AG132)+K189,(Duplicate!$L$24*Data!$AG132)+K189),IF(Data!$AF132&gt;0,(Duplicate!$L$23*Data!$AF132)+K189,(Duplicate!$L$24*Data!$AF132)+K189)),0)</f>
        <v>564619</v>
      </c>
      <c r="M189" s="143">
        <f>ROUND(IF($E$31="Yes",IF(Data!$AG132&gt;0,(Duplicate!$M$23*Data!$AG132)+L189,(Duplicate!$M$24*Data!$AG132)+L189),IF(Data!$AF132&gt;0,(Duplicate!$M$23*Data!$AF132)+L189,(Duplicate!$M$24*Data!$AF132)+L189)),0)</f>
        <v>561476</v>
      </c>
      <c r="N189" s="143">
        <f>ROUND(IF($E$31="Yes",IF(Data!$AG132&gt;0,(Duplicate!$N$23*Data!$AG132)+M189,(Duplicate!$N$24*Data!$AG132)+M189),IF(Data!$AF132&gt;0,(Duplicate!$N$23*Data!$AF132)+M189,(Duplicate!$N$24*Data!$AF132)+M189)),0)</f>
        <v>558333</v>
      </c>
      <c r="O189" s="143">
        <f>ROUND(IF($E$31="Yes",IF(Data!$AG132&gt;0,(Duplicate!$O$23*Data!$AG132)+N189,(Duplicate!$O$24*Data!$AG132)+N189),IF(Data!$AF132&gt;0,(Duplicate!$O$23*Data!$AF132)+N189,(Duplicate!$O$24*Data!$AF132)+N189)),0)</f>
        <v>555190</v>
      </c>
      <c r="P189" s="143">
        <f>ROUND(IF($E$31="Yes",IF(Data!$AG132&gt;0,(Duplicate!$P$23*Data!$AG132)+O189,(Duplicate!$P$24*Data!$AG132)+O189),IF(Data!$AF132&gt;0,(Duplicate!$P$23*Data!$AF132)+O189,(Duplicate!$P$24*Data!$AF132)+O189)),0)</f>
        <v>552047</v>
      </c>
      <c r="Q189" s="143">
        <f>ROUND(IF($E$31="Yes",IF(Data!$AG132&gt;0,(Duplicate!$Q$23*Data!$AG132)+P189,(Duplicate!$Q$24*Data!$AG132)+P189),IF(Data!$AF132&gt;0,(Duplicate!$Q$23*Data!$AF132)+P189,(Duplicate!$Q$24*Data!$AF132)+P189)),0)</f>
        <v>548904</v>
      </c>
      <c r="R189" s="143">
        <f>ROUND(IF($E$31="Yes",IF(Data!$AG132&gt;0,(Duplicate!$R$23*Data!$AG132)+Q189,(Duplicate!$R$24*Data!$AG132)+Q189),IF(Data!$AF132&gt;0,(Duplicate!$R$23*Data!$AF132)+Q189,(Duplicate!$R$24*Data!$AF132)+Q189)),0)</f>
        <v>545761</v>
      </c>
      <c r="S189" s="143">
        <f>ROUND(IF($E$31="Yes",IF(Data!$AG132&gt;0,(Duplicate!$S$23*Data!$AG132)+R189,(Duplicate!$S$24*Data!$AG132)+R189),IF(Data!$AF132&gt;0,(Duplicate!$S$23*Data!$AF132)+R189,(Duplicate!$S$24*Data!$AF132)+R189)),0)</f>
        <v>542618</v>
      </c>
      <c r="T189" s="143">
        <v>570386</v>
      </c>
      <c r="U189" s="143">
        <v>569867</v>
      </c>
      <c r="V189" s="143">
        <v>569348</v>
      </c>
      <c r="W189" s="143">
        <v>568829</v>
      </c>
      <c r="X189" s="143">
        <v>568310</v>
      </c>
      <c r="Y189" s="143">
        <v>567791</v>
      </c>
      <c r="Z189" s="143">
        <v>567272</v>
      </c>
      <c r="AA189" s="143">
        <v>566753</v>
      </c>
      <c r="AB189" s="143">
        <v>566234</v>
      </c>
      <c r="AC189" s="129">
        <f t="shared" si="61"/>
        <v>-2624</v>
      </c>
      <c r="AD189" s="129">
        <f t="shared" si="62"/>
        <v>-5248</v>
      </c>
      <c r="AE189" s="129">
        <f t="shared" si="63"/>
        <v>-7872</v>
      </c>
      <c r="AF189" s="129">
        <f t="shared" si="64"/>
        <v>-10496</v>
      </c>
      <c r="AG189" s="129">
        <f t="shared" si="65"/>
        <v>-13120</v>
      </c>
      <c r="AH189" s="129">
        <f t="shared" si="66"/>
        <v>-15744</v>
      </c>
      <c r="AI189" s="129">
        <f t="shared" si="67"/>
        <v>-18368</v>
      </c>
      <c r="AJ189" s="129">
        <f t="shared" si="68"/>
        <v>-20992</v>
      </c>
      <c r="AK189" s="129">
        <f t="shared" si="69"/>
        <v>-23616</v>
      </c>
      <c r="AL189" s="127">
        <f t="shared" si="70"/>
        <v>-4.6003934177907269E-3</v>
      </c>
      <c r="AM189" s="127">
        <f t="shared" si="71"/>
        <v>-9.2091663493412135E-3</v>
      </c>
      <c r="AN189" s="127">
        <f t="shared" si="72"/>
        <v>-1.3826341710166723E-2</v>
      </c>
      <c r="AO189" s="127">
        <f t="shared" si="73"/>
        <v>-1.8451942499415508E-2</v>
      </c>
      <c r="AP189" s="127">
        <f t="shared" si="74"/>
        <v>-2.3085991800249839E-2</v>
      </c>
      <c r="AQ189" s="127">
        <f t="shared" si="75"/>
        <v>-2.7728512780230807E-2</v>
      </c>
      <c r="AR189" s="127">
        <f t="shared" si="76"/>
        <v>-3.2379528691703463E-2</v>
      </c>
      <c r="AS189" s="127">
        <f t="shared" si="77"/>
        <v>-3.7039062872185946E-2</v>
      </c>
      <c r="AT189" s="127">
        <f t="shared" si="78"/>
        <v>-4.1707138744759287E-2</v>
      </c>
    </row>
    <row r="190" spans="1:46" s="18" customFormat="1" ht="13" x14ac:dyDescent="0.15">
      <c r="A190" s="29" t="s">
        <v>131</v>
      </c>
      <c r="B190" s="30">
        <f>IF(Data!D133=1, MAX(Data!AA133, $E$26) + INDEX(Duplicate!$E$39:$E$43, MATCH( Data!AD133, Duplicate!$B$39:$B$43, 0), 0), MAX(Data!AA133, $E$27) +  INDEX(Duplicate!$E$39:$E$43, MATCH( Data!AD133, Duplicate!$B$39:$B$43, 0), 0))</f>
        <v>0.23385500000000001</v>
      </c>
      <c r="C190" s="128">
        <f>ROUND(Data!R133/13*100, 2)</f>
        <v>0</v>
      </c>
      <c r="D190" s="141">
        <f>ROUND(Data!Q133*C190, 0)</f>
        <v>0</v>
      </c>
      <c r="E190" s="142">
        <f>ROUND($E$22*Data!W133*B190, 0)</f>
        <v>8030878</v>
      </c>
      <c r="F190" s="143">
        <f>IF(E190=0, 0,IF($E$31="Yes", IF(Data!D133=1, MAX(Duplicate!D190+Duplicate!E190, Data!AE133), Duplicate!D190+Duplicate!E190), Duplicate!D190+Duplicate!E190))</f>
        <v>8030878</v>
      </c>
      <c r="G190" s="143">
        <v>6978711</v>
      </c>
      <c r="H190" s="129">
        <f>F190-Data!AL133</f>
        <v>3020064</v>
      </c>
      <c r="I190" s="127">
        <f>((F190)/(Data!AL133)) - 1</f>
        <v>0.60270926041158179</v>
      </c>
      <c r="J190" s="127">
        <f t="shared" si="42"/>
        <v>0.15076810029817822</v>
      </c>
      <c r="K190" s="143">
        <f>ROUND(IF($E$31="Yes",IF(Data!AG133&gt;0,(Duplicate!$K$23*Data!AG133)+Data!AI133,(Duplicate!$K$24*Data!AG133)+Data!AI133),IF(Data!AF133&gt;0,(Duplicate!$K$23*Data!AF133)+Data!AI133,(Duplicate!$K$24*Data!AF133)+Data!AI133)),0)</f>
        <v>4750646</v>
      </c>
      <c r="L190" s="143">
        <f>ROUND(IF($E$31="Yes",IF(Data!$AG133&gt;0,(Duplicate!$L$23*Data!$AG133)+K190,(Duplicate!$L$24*Data!$AG133)+K190),IF(Data!$AF133&gt;0,(Duplicate!$L$23*Data!$AF133)+K190,(Duplicate!$L$24*Data!$AF133)+K190)),0)</f>
        <v>5153663</v>
      </c>
      <c r="M190" s="143">
        <f>ROUND(IF($E$31="Yes",IF(Data!$AG133&gt;0,(Duplicate!$M$23*Data!$AG133)+L190,(Duplicate!$M$24*Data!$AG133)+L190),IF(Data!$AF133&gt;0,(Duplicate!$M$23*Data!$AF133)+L190,(Duplicate!$M$24*Data!$AF133)+L190)),0)</f>
        <v>5556680</v>
      </c>
      <c r="N190" s="143">
        <f>ROUND(IF($E$31="Yes",IF(Data!$AG133&gt;0,(Duplicate!$N$23*Data!$AG133)+M190,(Duplicate!$N$24*Data!$AG133)+M190),IF(Data!$AF133&gt;0,(Duplicate!$N$23*Data!$AF133)+M190,(Duplicate!$N$24*Data!$AF133)+M190)),0)</f>
        <v>5959697</v>
      </c>
      <c r="O190" s="143">
        <f>ROUND(IF($E$31="Yes",IF(Data!$AG133&gt;0,(Duplicate!$O$23*Data!$AG133)+N190,(Duplicate!$O$24*Data!$AG133)+N190),IF(Data!$AF133&gt;0,(Duplicate!$O$23*Data!$AF133)+N190,(Duplicate!$O$24*Data!$AF133)+N190)),0)</f>
        <v>6362714</v>
      </c>
      <c r="P190" s="143">
        <f>ROUND(IF($E$31="Yes",IF(Data!$AG133&gt;0,(Duplicate!$P$23*Data!$AG133)+O190,(Duplicate!$P$24*Data!$AG133)+O190),IF(Data!$AF133&gt;0,(Duplicate!$P$23*Data!$AF133)+O190,(Duplicate!$P$24*Data!$AF133)+O190)),0)</f>
        <v>6765731</v>
      </c>
      <c r="Q190" s="143">
        <f>ROUND(IF($E$31="Yes",IF(Data!$AG133&gt;0,(Duplicate!$Q$23*Data!$AG133)+P190,(Duplicate!$Q$24*Data!$AG133)+P190),IF(Data!$AF133&gt;0,(Duplicate!$Q$23*Data!$AF133)+P190,(Duplicate!$Q$24*Data!$AF133)+P190)),0)</f>
        <v>7168748</v>
      </c>
      <c r="R190" s="143">
        <f>ROUND(IF($E$31="Yes",IF(Data!$AG133&gt;0,(Duplicate!$R$23*Data!$AG133)+Q190,(Duplicate!$R$24*Data!$AG133)+Q190),IF(Data!$AF133&gt;0,(Duplicate!$R$23*Data!$AF133)+Q190,(Duplicate!$R$24*Data!$AF133)+Q190)),0)</f>
        <v>7571765</v>
      </c>
      <c r="S190" s="143">
        <f>ROUND(IF($E$31="Yes",IF(Data!$AG133&gt;0,(Duplicate!$S$23*Data!$AG133)+R190,(Duplicate!$S$24*Data!$AG133)+R190),IF(Data!$AF133&gt;0,(Duplicate!$S$23*Data!$AF133)+R190,(Duplicate!$S$24*Data!$AF133)+R190)),0)</f>
        <v>7974782</v>
      </c>
      <c r="T190" s="143">
        <v>4638485</v>
      </c>
      <c r="U190" s="143">
        <v>4929341</v>
      </c>
      <c r="V190" s="143">
        <v>5220197</v>
      </c>
      <c r="W190" s="143">
        <v>5511053</v>
      </c>
      <c r="X190" s="143">
        <v>5801909</v>
      </c>
      <c r="Y190" s="143">
        <v>6092765</v>
      </c>
      <c r="Z190" s="143">
        <v>6383621</v>
      </c>
      <c r="AA190" s="143">
        <v>6674477</v>
      </c>
      <c r="AB190" s="143">
        <v>6965333</v>
      </c>
      <c r="AC190" s="129">
        <f t="shared" si="61"/>
        <v>112161</v>
      </c>
      <c r="AD190" s="129">
        <f t="shared" si="62"/>
        <v>224322</v>
      </c>
      <c r="AE190" s="129">
        <f t="shared" si="63"/>
        <v>336483</v>
      </c>
      <c r="AF190" s="129">
        <f t="shared" si="64"/>
        <v>448644</v>
      </c>
      <c r="AG190" s="129">
        <f t="shared" si="65"/>
        <v>560805</v>
      </c>
      <c r="AH190" s="129">
        <f t="shared" si="66"/>
        <v>672966</v>
      </c>
      <c r="AI190" s="129">
        <f t="shared" si="67"/>
        <v>785127</v>
      </c>
      <c r="AJ190" s="129">
        <f t="shared" si="68"/>
        <v>897288</v>
      </c>
      <c r="AK190" s="129">
        <f t="shared" si="69"/>
        <v>1009449</v>
      </c>
      <c r="AL190" s="127">
        <f t="shared" si="70"/>
        <v>2.4180524460033936E-2</v>
      </c>
      <c r="AM190" s="127">
        <f t="shared" si="71"/>
        <v>4.5507502929904797E-2</v>
      </c>
      <c r="AN190" s="127">
        <f t="shared" si="72"/>
        <v>6.4457912220554192E-2</v>
      </c>
      <c r="AO190" s="127">
        <f t="shared" si="73"/>
        <v>8.1408035814571234E-2</v>
      </c>
      <c r="AP190" s="127">
        <f t="shared" si="74"/>
        <v>9.6658703195793061E-2</v>
      </c>
      <c r="AQ190" s="127">
        <f t="shared" si="75"/>
        <v>0.1104532999385337</v>
      </c>
      <c r="AR190" s="127">
        <f t="shared" si="76"/>
        <v>0.12299085425027578</v>
      </c>
      <c r="AS190" s="127">
        <f t="shared" si="77"/>
        <v>0.13443570185349363</v>
      </c>
      <c r="AT190" s="127">
        <f t="shared" si="78"/>
        <v>0.14492472937044076</v>
      </c>
    </row>
    <row r="191" spans="1:46" s="18" customFormat="1" ht="13" x14ac:dyDescent="0.15">
      <c r="A191" s="29" t="s">
        <v>132</v>
      </c>
      <c r="B191" s="30">
        <f>IF(Data!D134=1, MAX(Data!AA134, $E$26) + INDEX(Duplicate!$E$39:$E$43, MATCH( Data!AD134, Duplicate!$B$39:$B$43, 0), 0), MAX(Data!AA134, $E$27) +  INDEX(Duplicate!$E$39:$E$43, MATCH( Data!AD134, Duplicate!$B$39:$B$43, 0), 0))</f>
        <v>0.01</v>
      </c>
      <c r="C191" s="128">
        <f>ROUND(Data!R134/13*100, 2)</f>
        <v>100</v>
      </c>
      <c r="D191" s="141">
        <f>ROUND(Data!Q134*C191, 0)</f>
        <v>19200</v>
      </c>
      <c r="E191" s="142">
        <f>ROUND($E$22*Data!W134*B191, 0)</f>
        <v>23675</v>
      </c>
      <c r="F191" s="143">
        <f>IF(E191=0, 0,IF($E$31="Yes", IF(Data!D134=1, MAX(Duplicate!D191+Duplicate!E191, Data!AE134), Duplicate!D191+Duplicate!E191), Duplicate!D191+Duplicate!E191))</f>
        <v>42875</v>
      </c>
      <c r="G191" s="143">
        <v>44723</v>
      </c>
      <c r="H191" s="129">
        <f>F191-Data!AL134</f>
        <v>6828</v>
      </c>
      <c r="I191" s="127">
        <f>((F191)/(Data!AL134)) - 1</f>
        <v>0.18941936915693391</v>
      </c>
      <c r="J191" s="127">
        <f t="shared" si="42"/>
        <v>-4.1321020503991224E-2</v>
      </c>
      <c r="K191" s="143">
        <f>ROUND(IF($E$31="Yes",IF(Data!AG134&gt;0,(Duplicate!$K$23*Data!AG134)+Data!AI134,(Duplicate!$K$24*Data!AG134)+Data!AI134),IF(Data!AF134&gt;0,(Duplicate!$K$23*Data!AF134)+Data!AI134,(Duplicate!$K$24*Data!AF134)+Data!AI134)),0)</f>
        <v>59725</v>
      </c>
      <c r="L191" s="143">
        <f>ROUND(IF($E$31="Yes",IF(Data!$AG134&gt;0,(Duplicate!$L$23*Data!$AG134)+K191,(Duplicate!$L$24*Data!$AG134)+K191),IF(Data!$AF134&gt;0,(Duplicate!$L$23*Data!$AF134)+K191,(Duplicate!$L$24*Data!$AF134)+K191)),0)</f>
        <v>85273</v>
      </c>
      <c r="M191" s="143">
        <f>ROUND(IF($E$31="Yes",IF(Data!$AG134&gt;0,(Duplicate!$M$23*Data!$AG134)+L191,(Duplicate!$M$24*Data!$AG134)+L191),IF(Data!$AF134&gt;0,(Duplicate!$M$23*Data!$AF134)+L191,(Duplicate!$M$24*Data!$AF134)+L191)),0)</f>
        <v>110821</v>
      </c>
      <c r="N191" s="143">
        <f>ROUND(IF($E$31="Yes",IF(Data!$AG134&gt;0,(Duplicate!$N$23*Data!$AG134)+M191,(Duplicate!$N$24*Data!$AG134)+M191),IF(Data!$AF134&gt;0,(Duplicate!$N$23*Data!$AF134)+M191,(Duplicate!$N$24*Data!$AF134)+M191)),0)</f>
        <v>136369</v>
      </c>
      <c r="O191" s="143">
        <f>ROUND(IF($E$31="Yes",IF(Data!$AG134&gt;0,(Duplicate!$O$23*Data!$AG134)+N191,(Duplicate!$O$24*Data!$AG134)+N191),IF(Data!$AF134&gt;0,(Duplicate!$O$23*Data!$AF134)+N191,(Duplicate!$O$24*Data!$AF134)+N191)),0)</f>
        <v>161917</v>
      </c>
      <c r="P191" s="143">
        <f>ROUND(IF($E$31="Yes",IF(Data!$AG134&gt;0,(Duplicate!$P$23*Data!$AG134)+O191,(Duplicate!$P$24*Data!$AG134)+O191),IF(Data!$AF134&gt;0,(Duplicate!$P$23*Data!$AF134)+O191,(Duplicate!$P$24*Data!$AF134)+O191)),0)</f>
        <v>187465</v>
      </c>
      <c r="Q191" s="143">
        <f>ROUND(IF($E$31="Yes",IF(Data!$AG134&gt;0,(Duplicate!$Q$23*Data!$AG134)+P191,(Duplicate!$Q$24*Data!$AG134)+P191),IF(Data!$AF134&gt;0,(Duplicate!$Q$23*Data!$AF134)+P191,(Duplicate!$Q$24*Data!$AF134)+P191)),0)</f>
        <v>213013</v>
      </c>
      <c r="R191" s="143">
        <f>ROUND(IF($E$31="Yes",IF(Data!$AG134&gt;0,(Duplicate!$R$23*Data!$AG134)+Q191,(Duplicate!$R$24*Data!$AG134)+Q191),IF(Data!$AF134&gt;0,(Duplicate!$R$23*Data!$AF134)+Q191,(Duplicate!$R$24*Data!$AF134)+Q191)),0)</f>
        <v>238561</v>
      </c>
      <c r="S191" s="143">
        <f>ROUND(IF($E$31="Yes",IF(Data!$AG134&gt;0,(Duplicate!$S$23*Data!$AG134)+R191,(Duplicate!$S$24*Data!$AG134)+R191),IF(Data!$AF134&gt;0,(Duplicate!$S$23*Data!$AF134)+R191,(Duplicate!$S$24*Data!$AF134)+R191)),0)</f>
        <v>264109</v>
      </c>
      <c r="T191" s="143">
        <v>35362</v>
      </c>
      <c r="U191" s="143">
        <v>36546</v>
      </c>
      <c r="V191" s="143">
        <v>37730</v>
      </c>
      <c r="W191" s="143">
        <v>38914</v>
      </c>
      <c r="X191" s="143">
        <v>40098</v>
      </c>
      <c r="Y191" s="143">
        <v>41282</v>
      </c>
      <c r="Z191" s="143">
        <v>42466</v>
      </c>
      <c r="AA191" s="143">
        <v>43650</v>
      </c>
      <c r="AB191" s="143">
        <v>44834</v>
      </c>
      <c r="AC191" s="129">
        <f t="shared" si="61"/>
        <v>24363</v>
      </c>
      <c r="AD191" s="129">
        <f t="shared" si="62"/>
        <v>48727</v>
      </c>
      <c r="AE191" s="129">
        <f t="shared" si="63"/>
        <v>73091</v>
      </c>
      <c r="AF191" s="129">
        <f t="shared" si="64"/>
        <v>97455</v>
      </c>
      <c r="AG191" s="129">
        <f t="shared" si="65"/>
        <v>121819</v>
      </c>
      <c r="AH191" s="129">
        <f t="shared" si="66"/>
        <v>146183</v>
      </c>
      <c r="AI191" s="129">
        <f t="shared" si="67"/>
        <v>170547</v>
      </c>
      <c r="AJ191" s="129">
        <f t="shared" si="68"/>
        <v>194911</v>
      </c>
      <c r="AK191" s="129">
        <f t="shared" si="69"/>
        <v>219275</v>
      </c>
      <c r="AL191" s="127">
        <f t="shared" si="70"/>
        <v>0.68895990045811883</v>
      </c>
      <c r="AM191" s="127">
        <f t="shared" si="71"/>
        <v>1.3333059705576535</v>
      </c>
      <c r="AN191" s="127">
        <f t="shared" si="72"/>
        <v>1.9372117678240128</v>
      </c>
      <c r="AO191" s="127">
        <f t="shared" si="73"/>
        <v>2.5043686076990288</v>
      </c>
      <c r="AP191" s="127">
        <f t="shared" si="74"/>
        <v>3.0380318220360119</v>
      </c>
      <c r="AQ191" s="127">
        <f t="shared" si="75"/>
        <v>3.5410832808487962</v>
      </c>
      <c r="AR191" s="127">
        <f t="shared" si="76"/>
        <v>4.0160834549992934</v>
      </c>
      <c r="AS191" s="127">
        <f t="shared" si="77"/>
        <v>4.4653150057273772</v>
      </c>
      <c r="AT191" s="127">
        <f t="shared" si="78"/>
        <v>4.890819467368515</v>
      </c>
    </row>
    <row r="192" spans="1:46" s="18" customFormat="1" ht="13" x14ac:dyDescent="0.15">
      <c r="A192" s="29" t="s">
        <v>133</v>
      </c>
      <c r="B192" s="30">
        <f>IF(Data!D135=1, MAX(Data!AA135, $E$26) + INDEX(Duplicate!$E$39:$E$43, MATCH( Data!AD135, Duplicate!$B$39:$B$43, 0), 0), MAX(Data!AA135, $E$27) +  INDEX(Duplicate!$E$39:$E$43, MATCH( Data!AD135, Duplicate!$B$39:$B$43, 0), 0))</f>
        <v>0.232988</v>
      </c>
      <c r="C192" s="128">
        <f>ROUND(Data!R135/13*100, 2)</f>
        <v>0</v>
      </c>
      <c r="D192" s="141">
        <f>ROUND(Data!Q135*C192, 0)</f>
        <v>0</v>
      </c>
      <c r="E192" s="142">
        <f>ROUND($E$22*Data!W135*B192, 0)</f>
        <v>1701442</v>
      </c>
      <c r="F192" s="143">
        <f>IF(E192=0, 0,IF($E$31="Yes", IF(Data!D135=1, MAX(Duplicate!D192+Duplicate!E192, Data!AE135), Duplicate!D192+Duplicate!E192), Duplicate!D192+Duplicate!E192))</f>
        <v>1701442</v>
      </c>
      <c r="G192" s="143">
        <v>1817906</v>
      </c>
      <c r="H192" s="129">
        <f>F192-Data!AL135</f>
        <v>-823636</v>
      </c>
      <c r="I192" s="127">
        <f>((F192)/(Data!AL135)) - 1</f>
        <v>-0.32618239911796787</v>
      </c>
      <c r="J192" s="127">
        <f t="shared" si="42"/>
        <v>-6.4064918648158886E-2</v>
      </c>
      <c r="K192" s="143">
        <f>ROUND(IF($E$31="Yes",IF(Data!AG135&gt;0,(Duplicate!$K$23*Data!AG135)+Data!AI135,(Duplicate!$K$24*Data!AG135)+Data!AI135),IF(Data!AF135&gt;0,(Duplicate!$K$23*Data!AF135)+Data!AI135,(Duplicate!$K$24*Data!AF135)+Data!AI135)),0)</f>
        <v>2616549</v>
      </c>
      <c r="L192" s="143">
        <f>ROUND(IF($E$31="Yes",IF(Data!$AG135&gt;0,(Duplicate!$L$23*Data!$AG135)+K192,(Duplicate!$L$24*Data!$AG135)+K192),IF(Data!$AF135&gt;0,(Duplicate!$L$23*Data!$AF135)+K192,(Duplicate!$L$24*Data!$AF135)+K192)),0)</f>
        <v>2504271</v>
      </c>
      <c r="M192" s="143">
        <f>ROUND(IF($E$31="Yes",IF(Data!$AG135&gt;0,(Duplicate!$M$23*Data!$AG135)+L192,(Duplicate!$M$24*Data!$AG135)+L192),IF(Data!$AF135&gt;0,(Duplicate!$M$23*Data!$AF135)+L192,(Duplicate!$M$24*Data!$AF135)+L192)),0)</f>
        <v>2391993</v>
      </c>
      <c r="N192" s="143">
        <f>ROUND(IF($E$31="Yes",IF(Data!$AG135&gt;0,(Duplicate!$N$23*Data!$AG135)+M192,(Duplicate!$N$24*Data!$AG135)+M192),IF(Data!$AF135&gt;0,(Duplicate!$N$23*Data!$AF135)+M192,(Duplicate!$N$24*Data!$AF135)+M192)),0)</f>
        <v>2279715</v>
      </c>
      <c r="O192" s="143">
        <f>ROUND(IF($E$31="Yes",IF(Data!$AG135&gt;0,(Duplicate!$O$23*Data!$AG135)+N192,(Duplicate!$O$24*Data!$AG135)+N192),IF(Data!$AF135&gt;0,(Duplicate!$O$23*Data!$AF135)+N192,(Duplicate!$O$24*Data!$AF135)+N192)),0)</f>
        <v>2167437</v>
      </c>
      <c r="P192" s="143">
        <f>ROUND(IF($E$31="Yes",IF(Data!$AG135&gt;0,(Duplicate!$P$23*Data!$AG135)+O192,(Duplicate!$P$24*Data!$AG135)+O192),IF(Data!$AF135&gt;0,(Duplicate!$P$23*Data!$AF135)+O192,(Duplicate!$P$24*Data!$AF135)+O192)),0)</f>
        <v>2055159</v>
      </c>
      <c r="Q192" s="143">
        <f>ROUND(IF($E$31="Yes",IF(Data!$AG135&gt;0,(Duplicate!$Q$23*Data!$AG135)+P192,(Duplicate!$Q$24*Data!$AG135)+P192),IF(Data!$AF135&gt;0,(Duplicate!$Q$23*Data!$AF135)+P192,(Duplicate!$Q$24*Data!$AF135)+P192)),0)</f>
        <v>1942881</v>
      </c>
      <c r="R192" s="143">
        <f>ROUND(IF($E$31="Yes",IF(Data!$AG135&gt;0,(Duplicate!$R$23*Data!$AG135)+Q192,(Duplicate!$R$24*Data!$AG135)+Q192),IF(Data!$AF135&gt;0,(Duplicate!$R$23*Data!$AF135)+Q192,(Duplicate!$R$24*Data!$AF135)+Q192)),0)</f>
        <v>1830603</v>
      </c>
      <c r="S192" s="143">
        <f>ROUND(IF($E$31="Yes",IF(Data!$AG135&gt;0,(Duplicate!$S$23*Data!$AG135)+R192,(Duplicate!$S$24*Data!$AG135)+R192),IF(Data!$AF135&gt;0,(Duplicate!$S$23*Data!$AF135)+R192,(Duplicate!$S$24*Data!$AF135)+R192)),0)</f>
        <v>1718325</v>
      </c>
      <c r="T192" s="143">
        <v>2626251</v>
      </c>
      <c r="U192" s="143">
        <v>2523675</v>
      </c>
      <c r="V192" s="143">
        <v>2421099</v>
      </c>
      <c r="W192" s="143">
        <v>2318523</v>
      </c>
      <c r="X192" s="143">
        <v>2215947</v>
      </c>
      <c r="Y192" s="143">
        <v>2113371</v>
      </c>
      <c r="Z192" s="143">
        <v>2010795</v>
      </c>
      <c r="AA192" s="143">
        <v>1908219</v>
      </c>
      <c r="AB192" s="143">
        <v>1805643</v>
      </c>
      <c r="AC192" s="129">
        <f t="shared" si="61"/>
        <v>-9702</v>
      </c>
      <c r="AD192" s="129">
        <f t="shared" si="62"/>
        <v>-19404</v>
      </c>
      <c r="AE192" s="129">
        <f t="shared" si="63"/>
        <v>-29106</v>
      </c>
      <c r="AF192" s="129">
        <f t="shared" si="64"/>
        <v>-38808</v>
      </c>
      <c r="AG192" s="129">
        <f t="shared" si="65"/>
        <v>-48510</v>
      </c>
      <c r="AH192" s="129">
        <f t="shared" si="66"/>
        <v>-58212</v>
      </c>
      <c r="AI192" s="129">
        <f t="shared" si="67"/>
        <v>-67914</v>
      </c>
      <c r="AJ192" s="129">
        <f t="shared" si="68"/>
        <v>-77616</v>
      </c>
      <c r="AK192" s="129">
        <f t="shared" si="69"/>
        <v>-87318</v>
      </c>
      <c r="AL192" s="127">
        <f t="shared" si="70"/>
        <v>-3.6942394310368609E-3</v>
      </c>
      <c r="AM192" s="127">
        <f t="shared" si="71"/>
        <v>-7.6887871853547063E-3</v>
      </c>
      <c r="AN192" s="127">
        <f t="shared" si="72"/>
        <v>-1.20218132344031E-2</v>
      </c>
      <c r="AO192" s="127">
        <f t="shared" si="73"/>
        <v>-1.6738242406911685E-2</v>
      </c>
      <c r="AP192" s="127">
        <f t="shared" si="74"/>
        <v>-2.189131779776321E-2</v>
      </c>
      <c r="AQ192" s="127">
        <f t="shared" si="75"/>
        <v>-2.7544619472870568E-2</v>
      </c>
      <c r="AR192" s="127">
        <f t="shared" si="76"/>
        <v>-3.3774701051076828E-2</v>
      </c>
      <c r="AS192" s="127">
        <f t="shared" si="77"/>
        <v>-4.0674576660226114E-2</v>
      </c>
      <c r="AT192" s="127">
        <f t="shared" si="78"/>
        <v>-4.8358396427200745E-2</v>
      </c>
    </row>
    <row r="193" spans="1:46" s="18" customFormat="1" ht="13" x14ac:dyDescent="0.15">
      <c r="A193" s="29" t="s">
        <v>134</v>
      </c>
      <c r="B193" s="30">
        <f>IF(Data!D136=1, MAX(Data!AA136, $E$26) + INDEX(Duplicate!$E$39:$E$43, MATCH( Data!AD136, Duplicate!$B$39:$B$43, 0), 0), MAX(Data!AA136, $E$27) +  INDEX(Duplicate!$E$39:$E$43, MATCH( Data!AD136, Duplicate!$B$39:$B$43, 0), 0))</f>
        <v>0.01</v>
      </c>
      <c r="C193" s="128">
        <f>ROUND(Data!R136/13*100, 2)</f>
        <v>30.77</v>
      </c>
      <c r="D193" s="141">
        <f>ROUND(Data!Q136*C193, 0)</f>
        <v>1815</v>
      </c>
      <c r="E193" s="142">
        <f>ROUND($E$22*Data!W136*B193, 0)</f>
        <v>43298</v>
      </c>
      <c r="F193" s="143">
        <f>IF(E193=0, 0,IF($E$31="Yes", IF(Data!D136=1, MAX(Duplicate!D193+Duplicate!E193, Data!AE136), Duplicate!D193+Duplicate!E193), Duplicate!D193+Duplicate!E193))</f>
        <v>45113</v>
      </c>
      <c r="G193" s="143">
        <v>45436</v>
      </c>
      <c r="H193" s="129">
        <f>F193-Data!AL136</f>
        <v>25583</v>
      </c>
      <c r="I193" s="127">
        <f>((F193)/(Data!AL136)) - 1</f>
        <v>1.3099334357398873</v>
      </c>
      <c r="J193" s="127">
        <f t="shared" si="42"/>
        <v>-7.1089004313760196E-3</v>
      </c>
      <c r="K193" s="143">
        <f>ROUND(IF($E$31="Yes",IF(Data!AG136&gt;0,(Duplicate!$K$23*Data!AG136)+Data!AI136,(Duplicate!$K$24*Data!AG136)+Data!AI136),IF(Data!AF136&gt;0,(Duplicate!$K$23*Data!AF136)+Data!AI136,(Duplicate!$K$24*Data!AF136)+Data!AI136)),0)</f>
        <v>18245</v>
      </c>
      <c r="L193" s="143">
        <f>ROUND(IF($E$31="Yes",IF(Data!$AG136&gt;0,(Duplicate!$L$23*Data!$AG136)+K193,(Duplicate!$L$24*Data!$AG136)+K193),IF(Data!$AF136&gt;0,(Duplicate!$L$23*Data!$AF136)+K193,(Duplicate!$L$24*Data!$AF136)+K193)),0)</f>
        <v>24217</v>
      </c>
      <c r="M193" s="143">
        <f>ROUND(IF($E$31="Yes",IF(Data!$AG136&gt;0,(Duplicate!$M$23*Data!$AG136)+L193,(Duplicate!$M$24*Data!$AG136)+L193),IF(Data!$AF136&gt;0,(Duplicate!$M$23*Data!$AF136)+L193,(Duplicate!$M$24*Data!$AF136)+L193)),0)</f>
        <v>30189</v>
      </c>
      <c r="N193" s="143">
        <f>ROUND(IF($E$31="Yes",IF(Data!$AG136&gt;0,(Duplicate!$N$23*Data!$AG136)+M193,(Duplicate!$N$24*Data!$AG136)+M193),IF(Data!$AF136&gt;0,(Duplicate!$N$23*Data!$AF136)+M193,(Duplicate!$N$24*Data!$AF136)+M193)),0)</f>
        <v>36161</v>
      </c>
      <c r="O193" s="143">
        <f>ROUND(IF($E$31="Yes",IF(Data!$AG136&gt;0,(Duplicate!$O$23*Data!$AG136)+N193,(Duplicate!$O$24*Data!$AG136)+N193),IF(Data!$AF136&gt;0,(Duplicate!$O$23*Data!$AF136)+N193,(Duplicate!$O$24*Data!$AF136)+N193)),0)</f>
        <v>42133</v>
      </c>
      <c r="P193" s="143">
        <f>ROUND(IF($E$31="Yes",IF(Data!$AG136&gt;0,(Duplicate!$P$23*Data!$AG136)+O193,(Duplicate!$P$24*Data!$AG136)+O193),IF(Data!$AF136&gt;0,(Duplicate!$P$23*Data!$AF136)+O193,(Duplicate!$P$24*Data!$AF136)+O193)),0)</f>
        <v>48105</v>
      </c>
      <c r="Q193" s="143">
        <f>ROUND(IF($E$31="Yes",IF(Data!$AG136&gt;0,(Duplicate!$Q$23*Data!$AG136)+P193,(Duplicate!$Q$24*Data!$AG136)+P193),IF(Data!$AF136&gt;0,(Duplicate!$Q$23*Data!$AF136)+P193,(Duplicate!$Q$24*Data!$AF136)+P193)),0)</f>
        <v>54077</v>
      </c>
      <c r="R193" s="143">
        <f>ROUND(IF($E$31="Yes",IF(Data!$AG136&gt;0,(Duplicate!$R$23*Data!$AG136)+Q193,(Duplicate!$R$24*Data!$AG136)+Q193),IF(Data!$AF136&gt;0,(Duplicate!$R$23*Data!$AF136)+Q193,(Duplicate!$R$24*Data!$AF136)+Q193)),0)</f>
        <v>60049</v>
      </c>
      <c r="S193" s="143">
        <f>ROUND(IF($E$31="Yes",IF(Data!$AG136&gt;0,(Duplicate!$S$23*Data!$AG136)+R193,(Duplicate!$S$24*Data!$AG136)+R193),IF(Data!$AF136&gt;0,(Duplicate!$S$23*Data!$AF136)+R193,(Duplicate!$S$24*Data!$AF136)+R193)),0)</f>
        <v>66021</v>
      </c>
      <c r="T193" s="143">
        <v>15957</v>
      </c>
      <c r="U193" s="143">
        <v>19642</v>
      </c>
      <c r="V193" s="143">
        <v>23327</v>
      </c>
      <c r="W193" s="143">
        <v>27012</v>
      </c>
      <c r="X193" s="143">
        <v>30697</v>
      </c>
      <c r="Y193" s="143">
        <v>34382</v>
      </c>
      <c r="Z193" s="143">
        <v>38067</v>
      </c>
      <c r="AA193" s="143">
        <v>41752</v>
      </c>
      <c r="AB193" s="143">
        <v>45437</v>
      </c>
      <c r="AC193" s="129">
        <f t="shared" si="61"/>
        <v>2288</v>
      </c>
      <c r="AD193" s="129">
        <f t="shared" si="62"/>
        <v>4575</v>
      </c>
      <c r="AE193" s="129">
        <f t="shared" si="63"/>
        <v>6862</v>
      </c>
      <c r="AF193" s="129">
        <f t="shared" si="64"/>
        <v>9149</v>
      </c>
      <c r="AG193" s="129">
        <f t="shared" si="65"/>
        <v>11436</v>
      </c>
      <c r="AH193" s="129">
        <f t="shared" si="66"/>
        <v>13723</v>
      </c>
      <c r="AI193" s="129">
        <f t="shared" si="67"/>
        <v>16010</v>
      </c>
      <c r="AJ193" s="129">
        <f t="shared" si="68"/>
        <v>18297</v>
      </c>
      <c r="AK193" s="129">
        <f t="shared" si="69"/>
        <v>20584</v>
      </c>
      <c r="AL193" s="127">
        <f t="shared" si="70"/>
        <v>0.14338534812308068</v>
      </c>
      <c r="AM193" s="127">
        <f t="shared" si="71"/>
        <v>0.23291925465838514</v>
      </c>
      <c r="AN193" s="127">
        <f t="shared" si="72"/>
        <v>0.29416555922321774</v>
      </c>
      <c r="AO193" s="127">
        <f t="shared" si="73"/>
        <v>0.3387013179327707</v>
      </c>
      <c r="AP193" s="127">
        <f t="shared" si="74"/>
        <v>0.37254454832719808</v>
      </c>
      <c r="AQ193" s="127">
        <f t="shared" si="75"/>
        <v>0.39913326740736421</v>
      </c>
      <c r="AR193" s="127">
        <f t="shared" si="76"/>
        <v>0.42057425066330412</v>
      </c>
      <c r="AS193" s="127">
        <f t="shared" si="77"/>
        <v>0.43823050392795548</v>
      </c>
      <c r="AT193" s="127">
        <f t="shared" si="78"/>
        <v>0.45302286682659498</v>
      </c>
    </row>
    <row r="194" spans="1:46" s="18" customFormat="1" ht="13" x14ac:dyDescent="0.15">
      <c r="A194" s="29" t="s">
        <v>135</v>
      </c>
      <c r="B194" s="30">
        <f>IF(Data!D137=1, MAX(Data!AA137, $E$26) + INDEX(Duplicate!$E$39:$E$43, MATCH( Data!AD137, Duplicate!$B$39:$B$43, 0), 0), MAX(Data!AA137, $E$27) +  INDEX(Duplicate!$E$39:$E$43, MATCH( Data!AD137, Duplicate!$B$39:$B$43, 0), 0))</f>
        <v>0.41278500000000001</v>
      </c>
      <c r="C194" s="128">
        <f>ROUND(Data!R137/13*100, 2)</f>
        <v>46.15</v>
      </c>
      <c r="D194" s="141">
        <f>ROUND(Data!Q137*C194, 0)</f>
        <v>3738</v>
      </c>
      <c r="E194" s="142">
        <f>ROUND($E$22*Data!W137*B194, 0)</f>
        <v>886436</v>
      </c>
      <c r="F194" s="143">
        <f>IF(E194=0, 0,IF($E$31="Yes", IF(Data!D137=1, MAX(Duplicate!D194+Duplicate!E194, Data!AE137), Duplicate!D194+Duplicate!E194), Duplicate!D194+Duplicate!E194))</f>
        <v>890174</v>
      </c>
      <c r="G194" s="143">
        <v>1078577</v>
      </c>
      <c r="H194" s="129">
        <f>F194-Data!AL137</f>
        <v>-384497</v>
      </c>
      <c r="I194" s="127">
        <f>((F194)/(Data!AL137)) - 1</f>
        <v>-0.3016441105194988</v>
      </c>
      <c r="J194" s="127">
        <f t="shared" si="42"/>
        <v>-0.17467737583872078</v>
      </c>
      <c r="K194" s="143">
        <f>ROUND(IF($E$31="Yes",IF(Data!AG137&gt;0,(Duplicate!$K$23*Data!AG137)+Data!AI137,(Duplicate!$K$24*Data!AG137)+Data!AI137),IF(Data!AF137&gt;0,(Duplicate!$K$23*Data!AF137)+Data!AI137,(Duplicate!$K$24*Data!AF137)+Data!AI137)),0)</f>
        <v>1299701</v>
      </c>
      <c r="L194" s="143">
        <f>ROUND(IF($E$31="Yes",IF(Data!$AG137&gt;0,(Duplicate!$L$23*Data!$AG137)+K194,(Duplicate!$L$24*Data!$AG137)+K194),IF(Data!$AF137&gt;0,(Duplicate!$L$23*Data!$AF137)+K194,(Duplicate!$L$24*Data!$AF137)+K194)),0)</f>
        <v>1259054</v>
      </c>
      <c r="M194" s="143">
        <f>ROUND(IF($E$31="Yes",IF(Data!$AG137&gt;0,(Duplicate!$M$23*Data!$AG137)+L194,(Duplicate!$M$24*Data!$AG137)+L194),IF(Data!$AF137&gt;0,(Duplicate!$M$23*Data!$AF137)+L194,(Duplicate!$M$24*Data!$AF137)+L194)),0)</f>
        <v>1218407</v>
      </c>
      <c r="N194" s="143">
        <f>ROUND(IF($E$31="Yes",IF(Data!$AG137&gt;0,(Duplicate!$N$23*Data!$AG137)+M194,(Duplicate!$N$24*Data!$AG137)+M194),IF(Data!$AF137&gt;0,(Duplicate!$N$23*Data!$AF137)+M194,(Duplicate!$N$24*Data!$AF137)+M194)),0)</f>
        <v>1177760</v>
      </c>
      <c r="O194" s="143">
        <f>ROUND(IF($E$31="Yes",IF(Data!$AG137&gt;0,(Duplicate!$O$23*Data!$AG137)+N194,(Duplicate!$O$24*Data!$AG137)+N194),IF(Data!$AF137&gt;0,(Duplicate!$O$23*Data!$AF137)+N194,(Duplicate!$O$24*Data!$AF137)+N194)),0)</f>
        <v>1137113</v>
      </c>
      <c r="P194" s="143">
        <f>ROUND(IF($E$31="Yes",IF(Data!$AG137&gt;0,(Duplicate!$P$23*Data!$AG137)+O194,(Duplicate!$P$24*Data!$AG137)+O194),IF(Data!$AF137&gt;0,(Duplicate!$P$23*Data!$AF137)+O194,(Duplicate!$P$24*Data!$AF137)+O194)),0)</f>
        <v>1096466</v>
      </c>
      <c r="Q194" s="143">
        <f>ROUND(IF($E$31="Yes",IF(Data!$AG137&gt;0,(Duplicate!$Q$23*Data!$AG137)+P194,(Duplicate!$Q$24*Data!$AG137)+P194),IF(Data!$AF137&gt;0,(Duplicate!$Q$23*Data!$AF137)+P194,(Duplicate!$Q$24*Data!$AF137)+P194)),0)</f>
        <v>1055819</v>
      </c>
      <c r="R194" s="143">
        <f>ROUND(IF($E$31="Yes",IF(Data!$AG137&gt;0,(Duplicate!$R$23*Data!$AG137)+Q194,(Duplicate!$R$24*Data!$AG137)+Q194),IF(Data!$AF137&gt;0,(Duplicate!$R$23*Data!$AF137)+Q194,(Duplicate!$R$24*Data!$AF137)+Q194)),0)</f>
        <v>1015172</v>
      </c>
      <c r="S194" s="143">
        <f>ROUND(IF($E$31="Yes",IF(Data!$AG137&gt;0,(Duplicate!$S$23*Data!$AG137)+R194,(Duplicate!$S$24*Data!$AG137)+R194),IF(Data!$AF137&gt;0,(Duplicate!$S$23*Data!$AF137)+R194,(Duplicate!$S$24*Data!$AF137)+R194)),0)</f>
        <v>974525</v>
      </c>
      <c r="T194" s="143">
        <v>1311658</v>
      </c>
      <c r="U194" s="143">
        <v>1282967</v>
      </c>
      <c r="V194" s="143">
        <v>1254276</v>
      </c>
      <c r="W194" s="143">
        <v>1225585</v>
      </c>
      <c r="X194" s="143">
        <v>1196894</v>
      </c>
      <c r="Y194" s="143">
        <v>1168203</v>
      </c>
      <c r="Z194" s="143">
        <v>1139512</v>
      </c>
      <c r="AA194" s="143">
        <v>1110821</v>
      </c>
      <c r="AB194" s="143">
        <v>1082130</v>
      </c>
      <c r="AC194" s="129">
        <f t="shared" si="61"/>
        <v>-11957</v>
      </c>
      <c r="AD194" s="129">
        <f t="shared" si="62"/>
        <v>-23913</v>
      </c>
      <c r="AE194" s="129">
        <f t="shared" si="63"/>
        <v>-35869</v>
      </c>
      <c r="AF194" s="129">
        <f t="shared" si="64"/>
        <v>-47825</v>
      </c>
      <c r="AG194" s="129">
        <f t="shared" si="65"/>
        <v>-59781</v>
      </c>
      <c r="AH194" s="129">
        <f t="shared" si="66"/>
        <v>-71737</v>
      </c>
      <c r="AI194" s="129">
        <f t="shared" si="67"/>
        <v>-83693</v>
      </c>
      <c r="AJ194" s="129">
        <f t="shared" si="68"/>
        <v>-95649</v>
      </c>
      <c r="AK194" s="129">
        <f t="shared" si="69"/>
        <v>-107605</v>
      </c>
      <c r="AL194" s="127">
        <f t="shared" si="70"/>
        <v>-9.1159433327895334E-3</v>
      </c>
      <c r="AM194" s="127">
        <f t="shared" si="71"/>
        <v>-1.8638827031404515E-2</v>
      </c>
      <c r="AN194" s="127">
        <f t="shared" si="72"/>
        <v>-2.8597374102669604E-2</v>
      </c>
      <c r="AO194" s="127">
        <f t="shared" si="73"/>
        <v>-3.9022181244058984E-2</v>
      </c>
      <c r="AP194" s="127">
        <f t="shared" si="74"/>
        <v>-4.9946778912752454E-2</v>
      </c>
      <c r="AQ194" s="127">
        <f t="shared" si="75"/>
        <v>-6.1407991590502697E-2</v>
      </c>
      <c r="AR194" s="127">
        <f t="shared" si="76"/>
        <v>-7.3446352473690468E-2</v>
      </c>
      <c r="AS194" s="127">
        <f t="shared" si="77"/>
        <v>-8.6106582428672085E-2</v>
      </c>
      <c r="AT194" s="127">
        <f t="shared" si="78"/>
        <v>-9.9438145139678191E-2</v>
      </c>
    </row>
    <row r="195" spans="1:46" s="18" customFormat="1" ht="13" x14ac:dyDescent="0.15">
      <c r="A195" s="29" t="s">
        <v>136</v>
      </c>
      <c r="B195" s="30">
        <f>IF(Data!D138=1, MAX(Data!AA138, $E$26) + INDEX(Duplicate!$E$39:$E$43, MATCH( Data!AD138, Duplicate!$B$39:$B$43, 0), 0), MAX(Data!AA138, $E$27) +  INDEX(Duplicate!$E$39:$E$43, MATCH( Data!AD138, Duplicate!$B$39:$B$43, 0), 0))</f>
        <v>0.42349300000000001</v>
      </c>
      <c r="C195" s="128">
        <f>ROUND(Data!R138/13*100, 2)</f>
        <v>0</v>
      </c>
      <c r="D195" s="141">
        <f>ROUND(Data!Q138*C195, 0)</f>
        <v>0</v>
      </c>
      <c r="E195" s="142">
        <f>ROUND($E$22*Data!W138*B195, 0)</f>
        <v>12047026</v>
      </c>
      <c r="F195" s="143">
        <f>IF(E195=0, 0,IF($E$31="Yes", IF(Data!D138=1, MAX(Duplicate!D195+Duplicate!E195, Data!AE138), Duplicate!D195+Duplicate!E195), Duplicate!D195+Duplicate!E195))</f>
        <v>12047026</v>
      </c>
      <c r="G195" s="143">
        <v>11278548</v>
      </c>
      <c r="H195" s="129">
        <f>F195-Data!AL138</f>
        <v>1623940</v>
      </c>
      <c r="I195" s="127">
        <f>((F195)/(Data!AL138)) - 1</f>
        <v>0.15580222594344906</v>
      </c>
      <c r="J195" s="127">
        <f t="shared" si="42"/>
        <v>6.813625299994297E-2</v>
      </c>
      <c r="K195" s="143">
        <f>ROUND(IF($E$31="Yes",IF(Data!AG138&gt;0,(Duplicate!$K$23*Data!AG138)+Data!AI138,(Duplicate!$K$24*Data!AG138)+Data!AI138),IF(Data!AF138&gt;0,(Duplicate!$K$23*Data!AF138)+Data!AI138,(Duplicate!$K$24*Data!AF138)+Data!AI138)),0)</f>
        <v>10300779</v>
      </c>
      <c r="L195" s="143">
        <f>ROUND(IF($E$31="Yes",IF(Data!$AG138&gt;0,(Duplicate!$L$23*Data!$AG138)+K195,(Duplicate!$L$24*Data!$AG138)+K195),IF(Data!$AF138&gt;0,(Duplicate!$L$23*Data!$AF138)+K195,(Duplicate!$L$24*Data!$AF138)+K195)),0)</f>
        <v>10514623</v>
      </c>
      <c r="M195" s="143">
        <f>ROUND(IF($E$31="Yes",IF(Data!$AG138&gt;0,(Duplicate!$M$23*Data!$AG138)+L195,(Duplicate!$M$24*Data!$AG138)+L195),IF(Data!$AF138&gt;0,(Duplicate!$M$23*Data!$AF138)+L195,(Duplicate!$M$24*Data!$AF138)+L195)),0)</f>
        <v>10728467</v>
      </c>
      <c r="N195" s="143">
        <f>ROUND(IF($E$31="Yes",IF(Data!$AG138&gt;0,(Duplicate!$N$23*Data!$AG138)+M195,(Duplicate!$N$24*Data!$AG138)+M195),IF(Data!$AF138&gt;0,(Duplicate!$N$23*Data!$AF138)+M195,(Duplicate!$N$24*Data!$AF138)+M195)),0)</f>
        <v>10942311</v>
      </c>
      <c r="O195" s="143">
        <f>ROUND(IF($E$31="Yes",IF(Data!$AG138&gt;0,(Duplicate!$O$23*Data!$AG138)+N195,(Duplicate!$O$24*Data!$AG138)+N195),IF(Data!$AF138&gt;0,(Duplicate!$O$23*Data!$AF138)+N195,(Duplicate!$O$24*Data!$AF138)+N195)),0)</f>
        <v>11156155</v>
      </c>
      <c r="P195" s="143">
        <f>ROUND(IF($E$31="Yes",IF(Data!$AG138&gt;0,(Duplicate!$P$23*Data!$AG138)+O195,(Duplicate!$P$24*Data!$AG138)+O195),IF(Data!$AF138&gt;0,(Duplicate!$P$23*Data!$AF138)+O195,(Duplicate!$P$24*Data!$AF138)+O195)),0)</f>
        <v>11369999</v>
      </c>
      <c r="Q195" s="143">
        <f>ROUND(IF($E$31="Yes",IF(Data!$AG138&gt;0,(Duplicate!$Q$23*Data!$AG138)+P195,(Duplicate!$Q$24*Data!$AG138)+P195),IF(Data!$AF138&gt;0,(Duplicate!$Q$23*Data!$AF138)+P195,(Duplicate!$Q$24*Data!$AF138)+P195)),0)</f>
        <v>11583843</v>
      </c>
      <c r="R195" s="143">
        <f>ROUND(IF($E$31="Yes",IF(Data!$AG138&gt;0,(Duplicate!$R$23*Data!$AG138)+Q195,(Duplicate!$R$24*Data!$AG138)+Q195),IF(Data!$AF138&gt;0,(Duplicate!$R$23*Data!$AF138)+Q195,(Duplicate!$R$24*Data!$AF138)+Q195)),0)</f>
        <v>11797687</v>
      </c>
      <c r="S195" s="143">
        <f>ROUND(IF($E$31="Yes",IF(Data!$AG138&gt;0,(Duplicate!$S$23*Data!$AG138)+R195,(Duplicate!$S$24*Data!$AG138)+R195),IF(Data!$AF138&gt;0,(Duplicate!$S$23*Data!$AF138)+R195,(Duplicate!$S$24*Data!$AF138)+R195)),0)</f>
        <v>12011531</v>
      </c>
      <c r="T195" s="143">
        <v>10218859</v>
      </c>
      <c r="U195" s="143">
        <v>10350783</v>
      </c>
      <c r="V195" s="143">
        <v>10482707</v>
      </c>
      <c r="W195" s="143">
        <v>10614631</v>
      </c>
      <c r="X195" s="143">
        <v>10746555</v>
      </c>
      <c r="Y195" s="143">
        <v>10878479</v>
      </c>
      <c r="Z195" s="143">
        <v>11010403</v>
      </c>
      <c r="AA195" s="143">
        <v>11142327</v>
      </c>
      <c r="AB195" s="143">
        <v>11274251</v>
      </c>
      <c r="AC195" s="129">
        <f t="shared" si="61"/>
        <v>81920</v>
      </c>
      <c r="AD195" s="129">
        <f t="shared" si="62"/>
        <v>163840</v>
      </c>
      <c r="AE195" s="129">
        <f t="shared" si="63"/>
        <v>245760</v>
      </c>
      <c r="AF195" s="129">
        <f t="shared" si="64"/>
        <v>327680</v>
      </c>
      <c r="AG195" s="129">
        <f t="shared" si="65"/>
        <v>409600</v>
      </c>
      <c r="AH195" s="129">
        <f t="shared" si="66"/>
        <v>491520</v>
      </c>
      <c r="AI195" s="129">
        <f t="shared" si="67"/>
        <v>573440</v>
      </c>
      <c r="AJ195" s="129">
        <f t="shared" si="68"/>
        <v>655360</v>
      </c>
      <c r="AK195" s="129">
        <f t="shared" si="69"/>
        <v>737280</v>
      </c>
      <c r="AL195" s="127">
        <f t="shared" si="70"/>
        <v>8.0165505757541222E-3</v>
      </c>
      <c r="AM195" s="127">
        <f t="shared" si="71"/>
        <v>1.5828754211154816E-2</v>
      </c>
      <c r="AN195" s="127">
        <f t="shared" si="72"/>
        <v>2.3444325974197211E-2</v>
      </c>
      <c r="AO195" s="127">
        <f t="shared" si="73"/>
        <v>3.0870597385815879E-2</v>
      </c>
      <c r="AP195" s="127">
        <f t="shared" si="74"/>
        <v>3.8114539961876082E-2</v>
      </c>
      <c r="AQ195" s="127">
        <f t="shared" si="75"/>
        <v>4.5182787042195915E-2</v>
      </c>
      <c r="AR195" s="127">
        <f t="shared" si="76"/>
        <v>5.2081654050265103E-2</v>
      </c>
      <c r="AS195" s="127">
        <f t="shared" si="77"/>
        <v>5.8817157313728163E-2</v>
      </c>
      <c r="AT195" s="127">
        <f t="shared" si="78"/>
        <v>6.5395031563515893E-2</v>
      </c>
    </row>
    <row r="196" spans="1:46" s="18" customFormat="1" ht="13" x14ac:dyDescent="0.15">
      <c r="A196" s="29" t="s">
        <v>137</v>
      </c>
      <c r="B196" s="30">
        <f>IF(Data!D139=1, MAX(Data!AA139, $E$26) + INDEX(Duplicate!$E$39:$E$43, MATCH( Data!AD139, Duplicate!$B$39:$B$43, 0), 0), MAX(Data!AA139, $E$27) +  INDEX(Duplicate!$E$39:$E$43, MATCH( Data!AD139, Duplicate!$B$39:$B$43, 0), 0))</f>
        <v>0.01</v>
      </c>
      <c r="C196" s="128">
        <f>ROUND(Data!R139/13*100, 2)</f>
        <v>30.77</v>
      </c>
      <c r="D196" s="141">
        <f>ROUND(Data!Q139*C196, 0)</f>
        <v>1323</v>
      </c>
      <c r="E196" s="142">
        <f>ROUND($E$22*Data!W139*B196, 0)</f>
        <v>18869</v>
      </c>
      <c r="F196" s="143">
        <f>IF(E196=0, 0,IF($E$31="Yes", IF(Data!D139=1, MAX(Duplicate!D196+Duplicate!E196, Data!AE139), Duplicate!D196+Duplicate!E196), Duplicate!D196+Duplicate!E196))</f>
        <v>20192</v>
      </c>
      <c r="G196" s="143">
        <v>24556</v>
      </c>
      <c r="H196" s="129">
        <f>F196-Data!AL139</f>
        <v>6755</v>
      </c>
      <c r="I196" s="127">
        <f>((F196)/(Data!AL139)) - 1</f>
        <v>0.50271638014437747</v>
      </c>
      <c r="J196" s="127">
        <f t="shared" si="42"/>
        <v>-0.17771624043003742</v>
      </c>
      <c r="K196" s="143">
        <f>ROUND(IF($E$31="Yes",IF(Data!AG139&gt;0,(Duplicate!$K$23*Data!AG139)+Data!AI139,(Duplicate!$K$24*Data!AG139)+Data!AI139),IF(Data!AF139&gt;0,(Duplicate!$K$23*Data!AF139)+Data!AI139,(Duplicate!$K$24*Data!AF139)+Data!AI139)),0)</f>
        <v>13427</v>
      </c>
      <c r="L196" s="143">
        <f>ROUND(IF($E$31="Yes",IF(Data!$AG139&gt;0,(Duplicate!$L$23*Data!$AG139)+K196,(Duplicate!$L$24*Data!$AG139)+K196),IF(Data!$AF139&gt;0,(Duplicate!$L$23*Data!$AF139)+K196,(Duplicate!$L$24*Data!$AF139)+K196)),0)</f>
        <v>16210</v>
      </c>
      <c r="M196" s="143">
        <f>ROUND(IF($E$31="Yes",IF(Data!$AG139&gt;0,(Duplicate!$M$23*Data!$AG139)+L196,(Duplicate!$M$24*Data!$AG139)+L196),IF(Data!$AF139&gt;0,(Duplicate!$M$23*Data!$AF139)+L196,(Duplicate!$M$24*Data!$AF139)+L196)),0)</f>
        <v>18993</v>
      </c>
      <c r="N196" s="143">
        <f>ROUND(IF($E$31="Yes",IF(Data!$AG139&gt;0,(Duplicate!$N$23*Data!$AG139)+M196,(Duplicate!$N$24*Data!$AG139)+M196),IF(Data!$AF139&gt;0,(Duplicate!$N$23*Data!$AF139)+M196,(Duplicate!$N$24*Data!$AF139)+M196)),0)</f>
        <v>21776</v>
      </c>
      <c r="O196" s="143">
        <f>ROUND(IF($E$31="Yes",IF(Data!$AG139&gt;0,(Duplicate!$O$23*Data!$AG139)+N196,(Duplicate!$O$24*Data!$AG139)+N196),IF(Data!$AF139&gt;0,(Duplicate!$O$23*Data!$AF139)+N196,(Duplicate!$O$24*Data!$AF139)+N196)),0)</f>
        <v>24559</v>
      </c>
      <c r="P196" s="143">
        <f>ROUND(IF($E$31="Yes",IF(Data!$AG139&gt;0,(Duplicate!$P$23*Data!$AG139)+O196,(Duplicate!$P$24*Data!$AG139)+O196),IF(Data!$AF139&gt;0,(Duplicate!$P$23*Data!$AF139)+O196,(Duplicate!$P$24*Data!$AF139)+O196)),0)</f>
        <v>27342</v>
      </c>
      <c r="Q196" s="143">
        <f>ROUND(IF($E$31="Yes",IF(Data!$AG139&gt;0,(Duplicate!$Q$23*Data!$AG139)+P196,(Duplicate!$Q$24*Data!$AG139)+P196),IF(Data!$AF139&gt;0,(Duplicate!$Q$23*Data!$AF139)+P196,(Duplicate!$Q$24*Data!$AF139)+P196)),0)</f>
        <v>30125</v>
      </c>
      <c r="R196" s="143">
        <f>ROUND(IF($E$31="Yes",IF(Data!$AG139&gt;0,(Duplicate!$R$23*Data!$AG139)+Q196,(Duplicate!$R$24*Data!$AG139)+Q196),IF(Data!$AF139&gt;0,(Duplicate!$R$23*Data!$AF139)+Q196,(Duplicate!$R$24*Data!$AF139)+Q196)),0)</f>
        <v>32908</v>
      </c>
      <c r="S196" s="143">
        <f>ROUND(IF($E$31="Yes",IF(Data!$AG139&gt;0,(Duplicate!$S$23*Data!$AG139)+R196,(Duplicate!$S$24*Data!$AG139)+R196),IF(Data!$AF139&gt;0,(Duplicate!$S$23*Data!$AF139)+R196,(Duplicate!$S$24*Data!$AF139)+R196)),0)</f>
        <v>35691</v>
      </c>
      <c r="T196" s="143">
        <v>12199</v>
      </c>
      <c r="U196" s="143">
        <v>13755</v>
      </c>
      <c r="V196" s="143">
        <v>15311</v>
      </c>
      <c r="W196" s="143">
        <v>16867</v>
      </c>
      <c r="X196" s="143">
        <v>18423</v>
      </c>
      <c r="Y196" s="143">
        <v>19979</v>
      </c>
      <c r="Z196" s="143">
        <v>21535</v>
      </c>
      <c r="AA196" s="143">
        <v>23091</v>
      </c>
      <c r="AB196" s="143">
        <v>24647</v>
      </c>
      <c r="AC196" s="129">
        <f t="shared" si="61"/>
        <v>1228</v>
      </c>
      <c r="AD196" s="129">
        <f t="shared" si="62"/>
        <v>2455</v>
      </c>
      <c r="AE196" s="129">
        <f t="shared" si="63"/>
        <v>3682</v>
      </c>
      <c r="AF196" s="129">
        <f t="shared" si="64"/>
        <v>4909</v>
      </c>
      <c r="AG196" s="129">
        <f t="shared" si="65"/>
        <v>6136</v>
      </c>
      <c r="AH196" s="129">
        <f t="shared" si="66"/>
        <v>7363</v>
      </c>
      <c r="AI196" s="129">
        <f t="shared" si="67"/>
        <v>8590</v>
      </c>
      <c r="AJ196" s="129">
        <f t="shared" si="68"/>
        <v>9817</v>
      </c>
      <c r="AK196" s="129">
        <f t="shared" si="69"/>
        <v>11044</v>
      </c>
      <c r="AL196" s="127">
        <f t="shared" si="70"/>
        <v>0.10066398885154526</v>
      </c>
      <c r="AM196" s="127">
        <f t="shared" si="71"/>
        <v>0.17848055252635397</v>
      </c>
      <c r="AN196" s="127">
        <f t="shared" si="72"/>
        <v>0.24048070015021872</v>
      </c>
      <c r="AO196" s="127">
        <f t="shared" si="73"/>
        <v>0.29104167901820133</v>
      </c>
      <c r="AP196" s="127">
        <f t="shared" si="74"/>
        <v>0.33306193345274937</v>
      </c>
      <c r="AQ196" s="127">
        <f t="shared" si="75"/>
        <v>0.36853696381200263</v>
      </c>
      <c r="AR196" s="127">
        <f t="shared" si="76"/>
        <v>0.39888553517529601</v>
      </c>
      <c r="AS196" s="127">
        <f t="shared" si="77"/>
        <v>0.42514399549608073</v>
      </c>
      <c r="AT196" s="127">
        <f t="shared" si="78"/>
        <v>0.44808698827443494</v>
      </c>
    </row>
    <row r="197" spans="1:46" s="18" customFormat="1" ht="13" x14ac:dyDescent="0.15">
      <c r="A197" s="29" t="s">
        <v>138</v>
      </c>
      <c r="B197" s="30">
        <f>IF(Data!D140=1, MAX(Data!AA140, $E$26) + INDEX(Duplicate!$E$39:$E$43, MATCH( Data!AD140, Duplicate!$B$39:$B$43, 0), 0), MAX(Data!AA140, $E$27) +  INDEX(Duplicate!$E$39:$E$43, MATCH( Data!AD140, Duplicate!$B$39:$B$43, 0), 0))</f>
        <v>0.134468</v>
      </c>
      <c r="C197" s="128">
        <f>ROUND(Data!R140/13*100, 2)</f>
        <v>0</v>
      </c>
      <c r="D197" s="141">
        <f>ROUND(Data!Q140*C197, 0)</f>
        <v>0</v>
      </c>
      <c r="E197" s="142">
        <f>ROUND($E$22*Data!W140*B197, 0)</f>
        <v>7859417</v>
      </c>
      <c r="F197" s="143">
        <f>IF(E197=0, 0,IF($E$31="Yes", IF(Data!D140=1, MAX(Duplicate!D197+Duplicate!E197, Data!AE140), Duplicate!D197+Duplicate!E197), Duplicate!D197+Duplicate!E197))</f>
        <v>7859417</v>
      </c>
      <c r="G197" s="143">
        <v>9211069</v>
      </c>
      <c r="H197" s="129">
        <f>F197-Data!AL140</f>
        <v>1217585</v>
      </c>
      <c r="I197" s="127">
        <f>((F197)/(Data!AL140)) - 1</f>
        <v>0.18332065610813397</v>
      </c>
      <c r="J197" s="127">
        <f t="shared" si="42"/>
        <v>-0.14674214252439099</v>
      </c>
      <c r="K197" s="143">
        <f>ROUND(IF($E$31="Yes",IF(Data!AG140&gt;0,(Duplicate!$K$23*Data!AG140)+Data!AI140,(Duplicate!$K$24*Data!AG140)+Data!AI140),IF(Data!AF140&gt;0,(Duplicate!$K$23*Data!AF140)+Data!AI140,(Duplicate!$K$24*Data!AF140)+Data!AI140)),0)</f>
        <v>6196861</v>
      </c>
      <c r="L197" s="143">
        <f>ROUND(IF($E$31="Yes",IF(Data!$AG140&gt;0,(Duplicate!$L$23*Data!$AG140)+K197,(Duplicate!$L$24*Data!$AG140)+K197),IF(Data!$AF140&gt;0,(Duplicate!$L$23*Data!$AF140)+K197,(Duplicate!$L$24*Data!$AF140)+K197)),0)</f>
        <v>6406399</v>
      </c>
      <c r="M197" s="143">
        <f>ROUND(IF($E$31="Yes",IF(Data!$AG140&gt;0,(Duplicate!$M$23*Data!$AG140)+L197,(Duplicate!$M$24*Data!$AG140)+L197),IF(Data!$AF140&gt;0,(Duplicate!$M$23*Data!$AF140)+L197,(Duplicate!$M$24*Data!$AF140)+L197)),0)</f>
        <v>6615937</v>
      </c>
      <c r="N197" s="143">
        <f>ROUND(IF($E$31="Yes",IF(Data!$AG140&gt;0,(Duplicate!$N$23*Data!$AG140)+M197,(Duplicate!$N$24*Data!$AG140)+M197),IF(Data!$AF140&gt;0,(Duplicate!$N$23*Data!$AF140)+M197,(Duplicate!$N$24*Data!$AF140)+M197)),0)</f>
        <v>6825475</v>
      </c>
      <c r="O197" s="143">
        <f>ROUND(IF($E$31="Yes",IF(Data!$AG140&gt;0,(Duplicate!$O$23*Data!$AG140)+N197,(Duplicate!$O$24*Data!$AG140)+N197),IF(Data!$AF140&gt;0,(Duplicate!$O$23*Data!$AF140)+N197,(Duplicate!$O$24*Data!$AF140)+N197)),0)</f>
        <v>7035013</v>
      </c>
      <c r="P197" s="143">
        <f>ROUND(IF($E$31="Yes",IF(Data!$AG140&gt;0,(Duplicate!$P$23*Data!$AG140)+O197,(Duplicate!$P$24*Data!$AG140)+O197),IF(Data!$AF140&gt;0,(Duplicate!$P$23*Data!$AF140)+O197,(Duplicate!$P$24*Data!$AF140)+O197)),0)</f>
        <v>7244551</v>
      </c>
      <c r="Q197" s="143">
        <f>ROUND(IF($E$31="Yes",IF(Data!$AG140&gt;0,(Duplicate!$Q$23*Data!$AG140)+P197,(Duplicate!$Q$24*Data!$AG140)+P197),IF(Data!$AF140&gt;0,(Duplicate!$Q$23*Data!$AF140)+P197,(Duplicate!$Q$24*Data!$AF140)+P197)),0)</f>
        <v>7454089</v>
      </c>
      <c r="R197" s="143">
        <f>ROUND(IF($E$31="Yes",IF(Data!$AG140&gt;0,(Duplicate!$R$23*Data!$AG140)+Q197,(Duplicate!$R$24*Data!$AG140)+Q197),IF(Data!$AF140&gt;0,(Duplicate!$R$23*Data!$AF140)+Q197,(Duplicate!$R$24*Data!$AF140)+Q197)),0)</f>
        <v>7663627</v>
      </c>
      <c r="S197" s="143">
        <f>ROUND(IF($E$31="Yes",IF(Data!$AG140&gt;0,(Duplicate!$S$23*Data!$AG140)+R197,(Duplicate!$S$24*Data!$AG140)+R197),IF(Data!$AF140&gt;0,(Duplicate!$S$23*Data!$AF140)+R197,(Duplicate!$S$24*Data!$AF140)+R197)),0)</f>
        <v>7873165</v>
      </c>
      <c r="T197" s="143">
        <v>6340947</v>
      </c>
      <c r="U197" s="143">
        <v>6694571</v>
      </c>
      <c r="V197" s="143">
        <v>7048195</v>
      </c>
      <c r="W197" s="143">
        <v>7401819</v>
      </c>
      <c r="X197" s="143">
        <v>7755443</v>
      </c>
      <c r="Y197" s="143">
        <v>8109067</v>
      </c>
      <c r="Z197" s="143">
        <v>8462691</v>
      </c>
      <c r="AA197" s="143">
        <v>8816315</v>
      </c>
      <c r="AB197" s="143">
        <v>9169939</v>
      </c>
      <c r="AC197" s="129">
        <f t="shared" si="61"/>
        <v>-144086</v>
      </c>
      <c r="AD197" s="129">
        <f t="shared" si="62"/>
        <v>-288172</v>
      </c>
      <c r="AE197" s="129">
        <f t="shared" si="63"/>
        <v>-432258</v>
      </c>
      <c r="AF197" s="129">
        <f t="shared" si="64"/>
        <v>-576344</v>
      </c>
      <c r="AG197" s="129">
        <f t="shared" si="65"/>
        <v>-720430</v>
      </c>
      <c r="AH197" s="129">
        <f t="shared" si="66"/>
        <v>-864516</v>
      </c>
      <c r="AI197" s="129">
        <f t="shared" si="67"/>
        <v>-1008602</v>
      </c>
      <c r="AJ197" s="129">
        <f t="shared" si="68"/>
        <v>-1152688</v>
      </c>
      <c r="AK197" s="129">
        <f t="shared" si="69"/>
        <v>-1296774</v>
      </c>
      <c r="AL197" s="127">
        <f t="shared" si="70"/>
        <v>-2.2723104293412288E-2</v>
      </c>
      <c r="AM197" s="127">
        <f t="shared" si="71"/>
        <v>-4.3045626075218224E-2</v>
      </c>
      <c r="AN197" s="127">
        <f t="shared" si="72"/>
        <v>-6.1328893425905529E-2</v>
      </c>
      <c r="AO197" s="127">
        <f t="shared" si="73"/>
        <v>-7.7865184220257233E-2</v>
      </c>
      <c r="AP197" s="127">
        <f t="shared" si="74"/>
        <v>-9.2893468496899501E-2</v>
      </c>
      <c r="AQ197" s="127">
        <f t="shared" si="75"/>
        <v>-0.10661103182400644</v>
      </c>
      <c r="AR197" s="127">
        <f t="shared" si="76"/>
        <v>-0.11918218448481699</v>
      </c>
      <c r="AS197" s="127">
        <f t="shared" si="77"/>
        <v>-0.13074487470105145</v>
      </c>
      <c r="AT197" s="127">
        <f t="shared" si="78"/>
        <v>-0.14141577168615849</v>
      </c>
    </row>
    <row r="198" spans="1:46" s="18" customFormat="1" ht="13" x14ac:dyDescent="0.15">
      <c r="A198" s="29" t="s">
        <v>139</v>
      </c>
      <c r="B198" s="30">
        <f>IF(Data!D141=1, MAX(Data!AA141, $E$26) + INDEX(Duplicate!$E$39:$E$43, MATCH( Data!AD141, Duplicate!$B$39:$B$43, 0), 0), MAX(Data!AA141, $E$27) +  INDEX(Duplicate!$E$39:$E$43, MATCH( Data!AD141, Duplicate!$B$39:$B$43, 0), 0))</f>
        <v>0.01</v>
      </c>
      <c r="C198" s="128">
        <f>ROUND(Data!R141/13*100, 2)</f>
        <v>0</v>
      </c>
      <c r="D198" s="141">
        <f>ROUND(Data!Q141*C198, 0)</f>
        <v>0</v>
      </c>
      <c r="E198" s="142">
        <f>ROUND($E$22*Data!W141*B198, 0)</f>
        <v>43254</v>
      </c>
      <c r="F198" s="143">
        <f>IF(E198=0, 0,IF($E$31="Yes", IF(Data!D141=1, MAX(Duplicate!D198+Duplicate!E198, Data!AE141), Duplicate!D198+Duplicate!E198), Duplicate!D198+Duplicate!E198))</f>
        <v>43254</v>
      </c>
      <c r="G198" s="143">
        <v>48495</v>
      </c>
      <c r="H198" s="129">
        <f>F198-Data!AL141</f>
        <v>-3741</v>
      </c>
      <c r="I198" s="127">
        <f>((F198)/(Data!AL141)) - 1</f>
        <v>-7.9604213214171771E-2</v>
      </c>
      <c r="J198" s="127">
        <f t="shared" si="42"/>
        <v>-0.10807299721620789</v>
      </c>
      <c r="K198" s="143">
        <f>ROUND(IF($E$31="Yes",IF(Data!AG141&gt;0,(Duplicate!$K$23*Data!AG141)+Data!AI141,(Duplicate!$K$24*Data!AG141)+Data!AI141),IF(Data!AF141&gt;0,(Duplicate!$K$23*Data!AF141)+Data!AI141,(Duplicate!$K$24*Data!AF141)+Data!AI141)),0)</f>
        <v>46560</v>
      </c>
      <c r="L198" s="143">
        <f>ROUND(IF($E$31="Yes",IF(Data!$AG141&gt;0,(Duplicate!$L$23*Data!$AG141)+K198,(Duplicate!$L$24*Data!$AG141)+K198),IF(Data!$AF141&gt;0,(Duplicate!$L$23*Data!$AF141)+K198,(Duplicate!$L$24*Data!$AF141)+K198)),0)</f>
        <v>46280</v>
      </c>
      <c r="M198" s="143">
        <f>ROUND(IF($E$31="Yes",IF(Data!$AG141&gt;0,(Duplicate!$M$23*Data!$AG141)+L198,(Duplicate!$M$24*Data!$AG141)+L198),IF(Data!$AF141&gt;0,(Duplicate!$M$23*Data!$AF141)+L198,(Duplicate!$M$24*Data!$AF141)+L198)),0)</f>
        <v>46000</v>
      </c>
      <c r="N198" s="143">
        <f>ROUND(IF($E$31="Yes",IF(Data!$AG141&gt;0,(Duplicate!$N$23*Data!$AG141)+M198,(Duplicate!$N$24*Data!$AG141)+M198),IF(Data!$AF141&gt;0,(Duplicate!$N$23*Data!$AF141)+M198,(Duplicate!$N$24*Data!$AF141)+M198)),0)</f>
        <v>45720</v>
      </c>
      <c r="O198" s="143">
        <f>ROUND(IF($E$31="Yes",IF(Data!$AG141&gt;0,(Duplicate!$O$23*Data!$AG141)+N198,(Duplicate!$O$24*Data!$AG141)+N198),IF(Data!$AF141&gt;0,(Duplicate!$O$23*Data!$AF141)+N198,(Duplicate!$O$24*Data!$AF141)+N198)),0)</f>
        <v>45440</v>
      </c>
      <c r="P198" s="143">
        <f>ROUND(IF($E$31="Yes",IF(Data!$AG141&gt;0,(Duplicate!$P$23*Data!$AG141)+O198,(Duplicate!$P$24*Data!$AG141)+O198),IF(Data!$AF141&gt;0,(Duplicate!$P$23*Data!$AF141)+O198,(Duplicate!$P$24*Data!$AF141)+O198)),0)</f>
        <v>45160</v>
      </c>
      <c r="Q198" s="143">
        <f>ROUND(IF($E$31="Yes",IF(Data!$AG141&gt;0,(Duplicate!$Q$23*Data!$AG141)+P198,(Duplicate!$Q$24*Data!$AG141)+P198),IF(Data!$AF141&gt;0,(Duplicate!$Q$23*Data!$AF141)+P198,(Duplicate!$Q$24*Data!$AF141)+P198)),0)</f>
        <v>44880</v>
      </c>
      <c r="R198" s="143">
        <f>ROUND(IF($E$31="Yes",IF(Data!$AG141&gt;0,(Duplicate!$R$23*Data!$AG141)+Q198,(Duplicate!$R$24*Data!$AG141)+Q198),IF(Data!$AF141&gt;0,(Duplicate!$R$23*Data!$AF141)+Q198,(Duplicate!$R$24*Data!$AF141)+Q198)),0)</f>
        <v>44600</v>
      </c>
      <c r="S198" s="143">
        <f>ROUND(IF($E$31="Yes",IF(Data!$AG141&gt;0,(Duplicate!$S$23*Data!$AG141)+R198,(Duplicate!$S$24*Data!$AG141)+R198),IF(Data!$AF141&gt;0,(Duplicate!$S$23*Data!$AF141)+R198,(Duplicate!$S$24*Data!$AF141)+R198)),0)</f>
        <v>44320</v>
      </c>
      <c r="T198" s="143">
        <v>47041</v>
      </c>
      <c r="U198" s="143">
        <v>47242</v>
      </c>
      <c r="V198" s="143">
        <v>47443</v>
      </c>
      <c r="W198" s="143">
        <v>47644</v>
      </c>
      <c r="X198" s="143">
        <v>47845</v>
      </c>
      <c r="Y198" s="143">
        <v>48046</v>
      </c>
      <c r="Z198" s="143">
        <v>48247</v>
      </c>
      <c r="AA198" s="143">
        <v>48448</v>
      </c>
      <c r="AB198" s="143">
        <v>48649</v>
      </c>
      <c r="AC198" s="129">
        <f t="shared" si="61"/>
        <v>-481</v>
      </c>
      <c r="AD198" s="129">
        <f t="shared" si="62"/>
        <v>-962</v>
      </c>
      <c r="AE198" s="129">
        <f t="shared" si="63"/>
        <v>-1443</v>
      </c>
      <c r="AF198" s="129">
        <f t="shared" si="64"/>
        <v>-1924</v>
      </c>
      <c r="AG198" s="129">
        <f t="shared" si="65"/>
        <v>-2405</v>
      </c>
      <c r="AH198" s="129">
        <f t="shared" si="66"/>
        <v>-2886</v>
      </c>
      <c r="AI198" s="129">
        <f t="shared" si="67"/>
        <v>-3367</v>
      </c>
      <c r="AJ198" s="129">
        <f t="shared" si="68"/>
        <v>-3848</v>
      </c>
      <c r="AK198" s="129">
        <f t="shared" si="69"/>
        <v>-4329</v>
      </c>
      <c r="AL198" s="127">
        <f t="shared" si="70"/>
        <v>-1.0225122765247341E-2</v>
      </c>
      <c r="AM198" s="127">
        <f t="shared" si="71"/>
        <v>-2.0363236103467242E-2</v>
      </c>
      <c r="AN198" s="127">
        <f t="shared" si="72"/>
        <v>-3.0415445903505312E-2</v>
      </c>
      <c r="AO198" s="127">
        <f t="shared" si="73"/>
        <v>-4.0382839392158476E-2</v>
      </c>
      <c r="AP198" s="127">
        <f t="shared" si="74"/>
        <v>-5.0266485526178295E-2</v>
      </c>
      <c r="AQ198" s="127">
        <f t="shared" si="75"/>
        <v>-6.006743537443282E-2</v>
      </c>
      <c r="AR198" s="127">
        <f t="shared" si="76"/>
        <v>-6.9786722490517539E-2</v>
      </c>
      <c r="AS198" s="127">
        <f t="shared" si="77"/>
        <v>-7.9425363276089844E-2</v>
      </c>
      <c r="AT198" s="127">
        <f t="shared" si="78"/>
        <v>-8.8984357335197051E-2</v>
      </c>
    </row>
    <row r="199" spans="1:46" s="18" customFormat="1" ht="13" x14ac:dyDescent="0.15">
      <c r="A199" s="29" t="s">
        <v>140</v>
      </c>
      <c r="B199" s="30">
        <f>IF(Data!D142=1, MAX(Data!AA142, $E$26) + INDEX(Duplicate!$E$39:$E$43, MATCH( Data!AD142, Duplicate!$B$39:$B$43, 0), 0), MAX(Data!AA142, $E$27) +  INDEX(Duplicate!$E$39:$E$43, MATCH( Data!AD142, Duplicate!$B$39:$B$43, 0), 0))</f>
        <v>0.167292</v>
      </c>
      <c r="C199" s="128">
        <f>ROUND(Data!R142/13*100, 2)</f>
        <v>0</v>
      </c>
      <c r="D199" s="141">
        <f>ROUND(Data!Q142*C199, 0)</f>
        <v>0</v>
      </c>
      <c r="E199" s="142">
        <f>ROUND($E$22*Data!W142*B199, 0)</f>
        <v>8087686</v>
      </c>
      <c r="F199" s="143">
        <f>IF(E199=0, 0,IF($E$31="Yes", IF(Data!D142=1, MAX(Duplicate!D199+Duplicate!E199, Data!AE142), Duplicate!D199+Duplicate!E199), Duplicate!D199+Duplicate!E199))</f>
        <v>8087686</v>
      </c>
      <c r="G199" s="143">
        <v>6935366</v>
      </c>
      <c r="H199" s="129">
        <f>F199-Data!AL142</f>
        <v>1770676</v>
      </c>
      <c r="I199" s="127">
        <f>((F199)/(Data!AL142)) - 1</f>
        <v>0.28030286480470989</v>
      </c>
      <c r="J199" s="127">
        <f t="shared" si="42"/>
        <v>0.16615128891539399</v>
      </c>
      <c r="K199" s="143">
        <f>ROUND(IF($E$31="Yes",IF(Data!AG142&gt;0,(Duplicate!$K$23*Data!AG142)+Data!AI142,(Duplicate!$K$24*Data!AG142)+Data!AI142),IF(Data!AF142&gt;0,(Duplicate!$K$23*Data!AF142)+Data!AI142,(Duplicate!$K$24*Data!AF142)+Data!AI142)),0)</f>
        <v>6252704</v>
      </c>
      <c r="L199" s="143">
        <f>ROUND(IF($E$31="Yes",IF(Data!$AG142&gt;0,(Duplicate!$L$23*Data!$AG142)+K199,(Duplicate!$L$24*Data!$AG142)+K199),IF(Data!$AF142&gt;0,(Duplicate!$L$23*Data!$AF142)+K199,(Duplicate!$L$24*Data!$AF142)+K199)),0)</f>
        <v>6465892</v>
      </c>
      <c r="M199" s="143">
        <f>ROUND(IF($E$31="Yes",IF(Data!$AG142&gt;0,(Duplicate!$M$23*Data!$AG142)+L199,(Duplicate!$M$24*Data!$AG142)+L199),IF(Data!$AF142&gt;0,(Duplicate!$M$23*Data!$AF142)+L199,(Duplicate!$M$24*Data!$AF142)+L199)),0)</f>
        <v>6679080</v>
      </c>
      <c r="N199" s="143">
        <f>ROUND(IF($E$31="Yes",IF(Data!$AG142&gt;0,(Duplicate!$N$23*Data!$AG142)+M199,(Duplicate!$N$24*Data!$AG142)+M199),IF(Data!$AF142&gt;0,(Duplicate!$N$23*Data!$AF142)+M199,(Duplicate!$N$24*Data!$AF142)+M199)),0)</f>
        <v>6892268</v>
      </c>
      <c r="O199" s="143">
        <f>ROUND(IF($E$31="Yes",IF(Data!$AG142&gt;0,(Duplicate!$O$23*Data!$AG142)+N199,(Duplicate!$O$24*Data!$AG142)+N199),IF(Data!$AF142&gt;0,(Duplicate!$O$23*Data!$AF142)+N199,(Duplicate!$O$24*Data!$AF142)+N199)),0)</f>
        <v>7105456</v>
      </c>
      <c r="P199" s="143">
        <f>ROUND(IF($E$31="Yes",IF(Data!$AG142&gt;0,(Duplicate!$P$23*Data!$AG142)+O199,(Duplicate!$P$24*Data!$AG142)+O199),IF(Data!$AF142&gt;0,(Duplicate!$P$23*Data!$AF142)+O199,(Duplicate!$P$24*Data!$AF142)+O199)),0)</f>
        <v>7318644</v>
      </c>
      <c r="Q199" s="143">
        <f>ROUND(IF($E$31="Yes",IF(Data!$AG142&gt;0,(Duplicate!$Q$23*Data!$AG142)+P199,(Duplicate!$Q$24*Data!$AG142)+P199),IF(Data!$AF142&gt;0,(Duplicate!$Q$23*Data!$AF142)+P199,(Duplicate!$Q$24*Data!$AF142)+P199)),0)</f>
        <v>7531832</v>
      </c>
      <c r="R199" s="143">
        <f>ROUND(IF($E$31="Yes",IF(Data!$AG142&gt;0,(Duplicate!$R$23*Data!$AG142)+Q199,(Duplicate!$R$24*Data!$AG142)+Q199),IF(Data!$AF142&gt;0,(Duplicate!$R$23*Data!$AF142)+Q199,(Duplicate!$R$24*Data!$AF142)+Q199)),0)</f>
        <v>7745020</v>
      </c>
      <c r="S199" s="143">
        <f>ROUND(IF($E$31="Yes",IF(Data!$AG142&gt;0,(Duplicate!$S$23*Data!$AG142)+R199,(Duplicate!$S$24*Data!$AG142)+R199),IF(Data!$AF142&gt;0,(Duplicate!$S$23*Data!$AF142)+R199,(Duplicate!$S$24*Data!$AF142)+R199)),0)</f>
        <v>7958208</v>
      </c>
      <c r="T199" s="143">
        <v>6129867</v>
      </c>
      <c r="U199" s="143">
        <v>6220218</v>
      </c>
      <c r="V199" s="143">
        <v>6310569</v>
      </c>
      <c r="W199" s="143">
        <v>6400920</v>
      </c>
      <c r="X199" s="143">
        <v>6491271</v>
      </c>
      <c r="Y199" s="143">
        <v>6581622</v>
      </c>
      <c r="Z199" s="143">
        <v>6671973</v>
      </c>
      <c r="AA199" s="143">
        <v>6762324</v>
      </c>
      <c r="AB199" s="143">
        <v>6852675</v>
      </c>
      <c r="AC199" s="129">
        <f t="shared" si="61"/>
        <v>122837</v>
      </c>
      <c r="AD199" s="129">
        <f t="shared" si="62"/>
        <v>245674</v>
      </c>
      <c r="AE199" s="129">
        <f t="shared" si="63"/>
        <v>368511</v>
      </c>
      <c r="AF199" s="129">
        <f t="shared" si="64"/>
        <v>491348</v>
      </c>
      <c r="AG199" s="129">
        <f t="shared" si="65"/>
        <v>614185</v>
      </c>
      <c r="AH199" s="129">
        <f t="shared" si="66"/>
        <v>737022</v>
      </c>
      <c r="AI199" s="129">
        <f t="shared" si="67"/>
        <v>859859</v>
      </c>
      <c r="AJ199" s="129">
        <f t="shared" si="68"/>
        <v>982696</v>
      </c>
      <c r="AK199" s="129">
        <f t="shared" si="69"/>
        <v>1105533</v>
      </c>
      <c r="AL199" s="127">
        <f t="shared" si="70"/>
        <v>2.003909709623386E-2</v>
      </c>
      <c r="AM199" s="127">
        <f t="shared" si="71"/>
        <v>3.9496043386260782E-2</v>
      </c>
      <c r="AN199" s="127">
        <f t="shared" si="72"/>
        <v>5.8395843544377657E-2</v>
      </c>
      <c r="AO199" s="127">
        <f t="shared" si="73"/>
        <v>7.6762090449497888E-2</v>
      </c>
      <c r="AP199" s="127">
        <f t="shared" si="74"/>
        <v>9.4617063437961502E-2</v>
      </c>
      <c r="AQ199" s="127">
        <f t="shared" si="75"/>
        <v>0.11198181846359456</v>
      </c>
      <c r="AR199" s="127">
        <f t="shared" si="76"/>
        <v>0.12887627093215159</v>
      </c>
      <c r="AS199" s="127">
        <f t="shared" si="77"/>
        <v>0.14531927189528338</v>
      </c>
      <c r="AT199" s="127">
        <f t="shared" si="78"/>
        <v>0.16132867821690078</v>
      </c>
    </row>
    <row r="200" spans="1:46" s="18" customFormat="1" ht="13" x14ac:dyDescent="0.15">
      <c r="A200" s="29" t="s">
        <v>141</v>
      </c>
      <c r="B200" s="30">
        <f>IF(Data!D143=1, MAX(Data!AA143, $E$26) + INDEX(Duplicate!$E$39:$E$43, MATCH( Data!AD143, Duplicate!$B$39:$B$43, 0), 0), MAX(Data!AA143, $E$27) +  INDEX(Duplicate!$E$39:$E$43, MATCH( Data!AD143, Duplicate!$B$39:$B$43, 0), 0))</f>
        <v>0.31257200000000002</v>
      </c>
      <c r="C200" s="128">
        <f>ROUND(Data!R143/13*100, 2)</f>
        <v>0</v>
      </c>
      <c r="D200" s="141">
        <f>ROUND(Data!Q143*C200, 0)</f>
        <v>0</v>
      </c>
      <c r="E200" s="142">
        <f>ROUND($E$22*Data!W143*B200, 0)</f>
        <v>4786427</v>
      </c>
      <c r="F200" s="143">
        <f>IF(E200=0, 0,IF($E$31="Yes", IF(Data!D143=1, MAX(Duplicate!D200+Duplicate!E200, Data!AE143), Duplicate!D200+Duplicate!E200), Duplicate!D200+Duplicate!E200))</f>
        <v>4786427</v>
      </c>
      <c r="G200" s="143">
        <v>5207961</v>
      </c>
      <c r="H200" s="129">
        <f>F200-Data!AL143</f>
        <v>-906203</v>
      </c>
      <c r="I200" s="127">
        <f>((F200)/(Data!AL143)) - 1</f>
        <v>-0.15918881079571301</v>
      </c>
      <c r="J200" s="127">
        <f t="shared" ref="J200:J240" si="79">IFERROR(F200/G200-1, 0)</f>
        <v>-8.0940314261185864E-2</v>
      </c>
      <c r="K200" s="143">
        <f>ROUND(IF($E$31="Yes",IF(Data!AG143&gt;0,(Duplicate!$K$23*Data!AG143)+Data!AI143,(Duplicate!$K$24*Data!AG143)+Data!AI143),IF(Data!AF143&gt;0,(Duplicate!$K$23*Data!AF143)+Data!AI143,(Duplicate!$K$24*Data!AF143)+Data!AI143)),0)</f>
        <v>5744399</v>
      </c>
      <c r="L200" s="143">
        <f>ROUND(IF($E$31="Yes",IF(Data!$AG143&gt;0,(Duplicate!$L$23*Data!$AG143)+K200,(Duplicate!$L$24*Data!$AG143)+K200),IF(Data!$AF143&gt;0,(Duplicate!$L$23*Data!$AF143)+K200,(Duplicate!$L$24*Data!$AF143)+K200)),0)</f>
        <v>5649185</v>
      </c>
      <c r="M200" s="143">
        <f>ROUND(IF($E$31="Yes",IF(Data!$AG143&gt;0,(Duplicate!$M$23*Data!$AG143)+L200,(Duplicate!$M$24*Data!$AG143)+L200),IF(Data!$AF143&gt;0,(Duplicate!$M$23*Data!$AF143)+L200,(Duplicate!$M$24*Data!$AF143)+L200)),0)</f>
        <v>5553971</v>
      </c>
      <c r="N200" s="143">
        <f>ROUND(IF($E$31="Yes",IF(Data!$AG143&gt;0,(Duplicate!$N$23*Data!$AG143)+M200,(Duplicate!$N$24*Data!$AG143)+M200),IF(Data!$AF143&gt;0,(Duplicate!$N$23*Data!$AF143)+M200,(Duplicate!$N$24*Data!$AF143)+M200)),0)</f>
        <v>5458757</v>
      </c>
      <c r="O200" s="143">
        <f>ROUND(IF($E$31="Yes",IF(Data!$AG143&gt;0,(Duplicate!$O$23*Data!$AG143)+N200,(Duplicate!$O$24*Data!$AG143)+N200),IF(Data!$AF143&gt;0,(Duplicate!$O$23*Data!$AF143)+N200,(Duplicate!$O$24*Data!$AF143)+N200)),0)</f>
        <v>5363543</v>
      </c>
      <c r="P200" s="143">
        <f>ROUND(IF($E$31="Yes",IF(Data!$AG143&gt;0,(Duplicate!$P$23*Data!$AG143)+O200,(Duplicate!$P$24*Data!$AG143)+O200),IF(Data!$AF143&gt;0,(Duplicate!$P$23*Data!$AF143)+O200,(Duplicate!$P$24*Data!$AF143)+O200)),0)</f>
        <v>5268329</v>
      </c>
      <c r="Q200" s="143">
        <f>ROUND(IF($E$31="Yes",IF(Data!$AG143&gt;0,(Duplicate!$Q$23*Data!$AG143)+P200,(Duplicate!$Q$24*Data!$AG143)+P200),IF(Data!$AF143&gt;0,(Duplicate!$Q$23*Data!$AF143)+P200,(Duplicate!$Q$24*Data!$AF143)+P200)),0)</f>
        <v>5173115</v>
      </c>
      <c r="R200" s="143">
        <f>ROUND(IF($E$31="Yes",IF(Data!$AG143&gt;0,(Duplicate!$R$23*Data!$AG143)+Q200,(Duplicate!$R$24*Data!$AG143)+Q200),IF(Data!$AF143&gt;0,(Duplicate!$R$23*Data!$AF143)+Q200,(Duplicate!$R$24*Data!$AF143)+Q200)),0)</f>
        <v>5077901</v>
      </c>
      <c r="S200" s="143">
        <f>ROUND(IF($E$31="Yes",IF(Data!$AG143&gt;0,(Duplicate!$S$23*Data!$AG143)+R200,(Duplicate!$S$24*Data!$AG143)+R200),IF(Data!$AF143&gt;0,(Duplicate!$S$23*Data!$AF143)+R200,(Duplicate!$S$24*Data!$AF143)+R200)),0)</f>
        <v>4982687</v>
      </c>
      <c r="T200" s="143">
        <v>5779513</v>
      </c>
      <c r="U200" s="143">
        <v>5719413</v>
      </c>
      <c r="V200" s="143">
        <v>5659313</v>
      </c>
      <c r="W200" s="143">
        <v>5599213</v>
      </c>
      <c r="X200" s="143">
        <v>5539113</v>
      </c>
      <c r="Y200" s="143">
        <v>5479013</v>
      </c>
      <c r="Z200" s="143">
        <v>5418913</v>
      </c>
      <c r="AA200" s="143">
        <v>5358813</v>
      </c>
      <c r="AB200" s="143">
        <v>5298713</v>
      </c>
      <c r="AC200" s="129">
        <f t="shared" ref="AC200:AC222" si="80">K200-T200</f>
        <v>-35114</v>
      </c>
      <c r="AD200" s="129">
        <f t="shared" ref="AD200:AD222" si="81">L200-U200</f>
        <v>-70228</v>
      </c>
      <c r="AE200" s="129">
        <f t="shared" ref="AE200:AE222" si="82">M200-V200</f>
        <v>-105342</v>
      </c>
      <c r="AF200" s="129">
        <f t="shared" ref="AF200:AF222" si="83">N200-W200</f>
        <v>-140456</v>
      </c>
      <c r="AG200" s="129">
        <f t="shared" ref="AG200:AG222" si="84">O200-X200</f>
        <v>-175570</v>
      </c>
      <c r="AH200" s="129">
        <f t="shared" ref="AH200:AH222" si="85">P200-Y200</f>
        <v>-210684</v>
      </c>
      <c r="AI200" s="129">
        <f t="shared" ref="AI200:AI222" si="86">Q200-Z200</f>
        <v>-245798</v>
      </c>
      <c r="AJ200" s="129">
        <f t="shared" ref="AJ200:AJ222" si="87">R200-AA200</f>
        <v>-280912</v>
      </c>
      <c r="AK200" s="129">
        <f t="shared" ref="AK200:AK222" si="88">S200-AB200</f>
        <v>-316026</v>
      </c>
      <c r="AL200" s="127">
        <f t="shared" ref="AL200:AL222" si="89">IFERROR(K200/T200-1, 0)</f>
        <v>-6.0755984111463546E-3</v>
      </c>
      <c r="AM200" s="127">
        <f t="shared" ref="AM200:AM222" si="90">IFERROR(L200/U200-1, 0)</f>
        <v>-1.2278882465735608E-2</v>
      </c>
      <c r="AN200" s="127">
        <f t="shared" ref="AN200:AN222" si="91">IFERROR(M200/V200-1, 0)</f>
        <v>-1.8613920099489145E-2</v>
      </c>
      <c r="AO200" s="127">
        <f t="shared" ref="AO200:AO222" si="92">IFERROR(N200/W200-1, 0)</f>
        <v>-2.5084953903343199E-2</v>
      </c>
      <c r="AP200" s="127">
        <f t="shared" ref="AP200:AP222" si="93">IFERROR(O200/X200-1, 0)</f>
        <v>-3.1696410598592184E-2</v>
      </c>
      <c r="AQ200" s="127">
        <f t="shared" ref="AQ200:AQ222" si="94">IFERROR(P200/Y200-1, 0)</f>
        <v>-3.845291113563698E-2</v>
      </c>
      <c r="AR200" s="127">
        <f t="shared" ref="AR200:AR222" si="95">IFERROR(Q200/Z200-1, 0)</f>
        <v>-4.5359281464751322E-2</v>
      </c>
      <c r="AS200" s="127">
        <f t="shared" ref="AS200:AS222" si="96">IFERROR(R200/AA200-1, 0)</f>
        <v>-5.2420564031624206E-2</v>
      </c>
      <c r="AT200" s="127">
        <f t="shared" ref="AT200:AT222" si="97">IFERROR(S200/AB200-1, 0)</f>
        <v>-5.9642030055222839E-2</v>
      </c>
    </row>
    <row r="201" spans="1:46" s="18" customFormat="1" ht="13" x14ac:dyDescent="0.15">
      <c r="A201" s="29" t="s">
        <v>142</v>
      </c>
      <c r="B201" s="30">
        <f>IF(Data!D144=1, MAX(Data!AA144, $E$26) + INDEX(Duplicate!$E$39:$E$43, MATCH( Data!AD144, Duplicate!$B$39:$B$43, 0), 0), MAX(Data!AA144, $E$27) +  INDEX(Duplicate!$E$39:$E$43, MATCH( Data!AD144, Duplicate!$B$39:$B$43, 0), 0))</f>
        <v>0.18273400000000001</v>
      </c>
      <c r="C201" s="128">
        <f>ROUND(Data!R144/13*100, 2)</f>
        <v>100</v>
      </c>
      <c r="D201" s="141">
        <f>ROUND(Data!Q144*C201, 0)</f>
        <v>235900</v>
      </c>
      <c r="E201" s="142">
        <f>ROUND($E$22*Data!W144*B201, 0)</f>
        <v>5131587</v>
      </c>
      <c r="F201" s="143">
        <f>IF(E201=0, 0,IF($E$31="Yes", IF(Data!D144=1, MAX(Duplicate!D201+Duplicate!E201, Data!AE144), Duplicate!D201+Duplicate!E201), Duplicate!D201+Duplicate!E201))</f>
        <v>5367487</v>
      </c>
      <c r="G201" s="143">
        <v>4649828</v>
      </c>
      <c r="H201" s="129">
        <f>F201-Data!AL144</f>
        <v>1581846</v>
      </c>
      <c r="I201" s="127">
        <f>((F201)/(Data!AL144)) - 1</f>
        <v>0.41785420223417913</v>
      </c>
      <c r="J201" s="127">
        <f t="shared" si="79"/>
        <v>0.15434097777380162</v>
      </c>
      <c r="K201" s="143">
        <f>ROUND(IF($E$31="Yes",IF(Data!AG144&gt;0,(Duplicate!$K$23*Data!AG144)+Data!AI144,(Duplicate!$K$24*Data!AG144)+Data!AI144),IF(Data!AF144&gt;0,(Duplicate!$K$23*Data!AF144)+Data!AI144,(Duplicate!$K$24*Data!AF144)+Data!AI144)),0)</f>
        <v>4006748</v>
      </c>
      <c r="L201" s="143">
        <f>ROUND(IF($E$31="Yes",IF(Data!$AG144&gt;0,(Duplicate!$L$23*Data!$AG144)+K201,(Duplicate!$L$24*Data!$AG144)+K201),IF(Data!$AF144&gt;0,(Duplicate!$L$23*Data!$AF144)+K201,(Duplicate!$L$24*Data!$AF144)+K201)),0)</f>
        <v>4512034</v>
      </c>
      <c r="M201" s="143">
        <f>ROUND(IF($E$31="Yes",IF(Data!$AG144&gt;0,(Duplicate!$M$23*Data!$AG144)+L201,(Duplicate!$M$24*Data!$AG144)+L201),IF(Data!$AF144&gt;0,(Duplicate!$M$23*Data!$AF144)+L201,(Duplicate!$M$24*Data!$AF144)+L201)),0)</f>
        <v>5017320</v>
      </c>
      <c r="N201" s="143">
        <f>ROUND(IF($E$31="Yes",IF(Data!$AG144&gt;0,(Duplicate!$N$23*Data!$AG144)+M201,(Duplicate!$N$24*Data!$AG144)+M201),IF(Data!$AF144&gt;0,(Duplicate!$N$23*Data!$AF144)+M201,(Duplicate!$N$24*Data!$AF144)+M201)),0)</f>
        <v>5522606</v>
      </c>
      <c r="O201" s="143">
        <f>ROUND(IF($E$31="Yes",IF(Data!$AG144&gt;0,(Duplicate!$O$23*Data!$AG144)+N201,(Duplicate!$O$24*Data!$AG144)+N201),IF(Data!$AF144&gt;0,(Duplicate!$O$23*Data!$AF144)+N201,(Duplicate!$O$24*Data!$AF144)+N201)),0)</f>
        <v>6027892</v>
      </c>
      <c r="P201" s="143">
        <f>ROUND(IF($E$31="Yes",IF(Data!$AG144&gt;0,(Duplicate!$P$23*Data!$AG144)+O201,(Duplicate!$P$24*Data!$AG144)+O201),IF(Data!$AF144&gt;0,(Duplicate!$P$23*Data!$AF144)+O201,(Duplicate!$P$24*Data!$AF144)+O201)),0)</f>
        <v>6533178</v>
      </c>
      <c r="Q201" s="143">
        <f>ROUND(IF($E$31="Yes",IF(Data!$AG144&gt;0,(Duplicate!$Q$23*Data!$AG144)+P201,(Duplicate!$Q$24*Data!$AG144)+P201),IF(Data!$AF144&gt;0,(Duplicate!$Q$23*Data!$AF144)+P201,(Duplicate!$Q$24*Data!$AF144)+P201)),0)</f>
        <v>7038464</v>
      </c>
      <c r="R201" s="143">
        <f>ROUND(IF($E$31="Yes",IF(Data!$AG144&gt;0,(Duplicate!$R$23*Data!$AG144)+Q201,(Duplicate!$R$24*Data!$AG144)+Q201),IF(Data!$AF144&gt;0,(Duplicate!$R$23*Data!$AF144)+Q201,(Duplicate!$R$24*Data!$AF144)+Q201)),0)</f>
        <v>7543750</v>
      </c>
      <c r="S201" s="143">
        <f>ROUND(IF($E$31="Yes",IF(Data!$AG144&gt;0,(Duplicate!$S$23*Data!$AG144)+R201,(Duplicate!$S$24*Data!$AG144)+R201),IF(Data!$AF144&gt;0,(Duplicate!$S$23*Data!$AF144)+R201,(Duplicate!$S$24*Data!$AF144)+R201)),0)</f>
        <v>8049036</v>
      </c>
      <c r="T201" s="143">
        <v>3628482</v>
      </c>
      <c r="U201" s="143">
        <v>3755503</v>
      </c>
      <c r="V201" s="143">
        <v>3882524</v>
      </c>
      <c r="W201" s="143">
        <v>4009545</v>
      </c>
      <c r="X201" s="143">
        <v>4136566</v>
      </c>
      <c r="Y201" s="143">
        <v>4263587</v>
      </c>
      <c r="Z201" s="143">
        <v>4390608</v>
      </c>
      <c r="AA201" s="143">
        <v>4517629</v>
      </c>
      <c r="AB201" s="143">
        <v>4644650</v>
      </c>
      <c r="AC201" s="129">
        <f t="shared" si="80"/>
        <v>378266</v>
      </c>
      <c r="AD201" s="129">
        <f t="shared" si="81"/>
        <v>756531</v>
      </c>
      <c r="AE201" s="129">
        <f t="shared" si="82"/>
        <v>1134796</v>
      </c>
      <c r="AF201" s="129">
        <f t="shared" si="83"/>
        <v>1513061</v>
      </c>
      <c r="AG201" s="129">
        <f t="shared" si="84"/>
        <v>1891326</v>
      </c>
      <c r="AH201" s="129">
        <f t="shared" si="85"/>
        <v>2269591</v>
      </c>
      <c r="AI201" s="129">
        <f t="shared" si="86"/>
        <v>2647856</v>
      </c>
      <c r="AJ201" s="129">
        <f t="shared" si="87"/>
        <v>3026121</v>
      </c>
      <c r="AK201" s="129">
        <f t="shared" si="88"/>
        <v>3404386</v>
      </c>
      <c r="AL201" s="127">
        <f t="shared" si="89"/>
        <v>0.10424910472202975</v>
      </c>
      <c r="AM201" s="127">
        <f t="shared" si="90"/>
        <v>0.2014459847322716</v>
      </c>
      <c r="AN201" s="127">
        <f t="shared" si="91"/>
        <v>0.2922830612251206</v>
      </c>
      <c r="AO201" s="127">
        <f t="shared" si="92"/>
        <v>0.37736476333349556</v>
      </c>
      <c r="AP201" s="127">
        <f t="shared" si="93"/>
        <v>0.45722127967981163</v>
      </c>
      <c r="AQ201" s="127">
        <f t="shared" si="94"/>
        <v>0.53231961726124033</v>
      </c>
      <c r="AR201" s="127">
        <f t="shared" si="95"/>
        <v>0.60307274072292483</v>
      </c>
      <c r="AS201" s="127">
        <f t="shared" si="96"/>
        <v>0.6698471698317856</v>
      </c>
      <c r="AT201" s="127">
        <f t="shared" si="97"/>
        <v>0.7329693303047593</v>
      </c>
    </row>
    <row r="202" spans="1:46" s="18" customFormat="1" ht="13" x14ac:dyDescent="0.15">
      <c r="A202" s="29" t="s">
        <v>143</v>
      </c>
      <c r="B202" s="30">
        <f>IF(Data!D145=1, MAX(Data!AA145, $E$26) + INDEX(Duplicate!$E$39:$E$43, MATCH( Data!AD145, Duplicate!$B$39:$B$43, 0), 0), MAX(Data!AA145, $E$27) +  INDEX(Duplicate!$E$39:$E$43, MATCH( Data!AD145, Duplicate!$B$39:$B$43, 0), 0))</f>
        <v>0.26642500000000002</v>
      </c>
      <c r="C202" s="128">
        <f>ROUND(Data!R145/13*100, 2)</f>
        <v>0</v>
      </c>
      <c r="D202" s="141">
        <f>ROUND(Data!Q145*C202, 0)</f>
        <v>0</v>
      </c>
      <c r="E202" s="142">
        <f>ROUND($E$22*Data!W145*B202, 0)</f>
        <v>20215322</v>
      </c>
      <c r="F202" s="143">
        <f>IF(E202=0, 0,IF($E$31="Yes", IF(Data!D145=1, MAX(Duplicate!D202+Duplicate!E202, Data!AE145), Duplicate!D202+Duplicate!E202), Duplicate!D202+Duplicate!E202))</f>
        <v>20215322</v>
      </c>
      <c r="G202" s="143">
        <v>21035586</v>
      </c>
      <c r="H202" s="129">
        <f>F202-Data!AL145</f>
        <v>-251095</v>
      </c>
      <c r="I202" s="127">
        <f>((F202)/(Data!AL145)) - 1</f>
        <v>-1.2268635003381378E-2</v>
      </c>
      <c r="J202" s="127">
        <f t="shared" si="79"/>
        <v>-3.8994112167828332E-2</v>
      </c>
      <c r="K202" s="143">
        <f>ROUND(IF($E$31="Yes",IF(Data!AG145&gt;0,(Duplicate!$K$23*Data!AG145)+Data!AI145,(Duplicate!$K$24*Data!AG145)+Data!AI145),IF(Data!AF145&gt;0,(Duplicate!$K$23*Data!AF145)+Data!AI145,(Duplicate!$K$24*Data!AF145)+Data!AI145)),0)</f>
        <v>20344032</v>
      </c>
      <c r="L202" s="143">
        <f>ROUND(IF($E$31="Yes",IF(Data!$AG145&gt;0,(Duplicate!$L$23*Data!$AG145)+K202,(Duplicate!$L$24*Data!$AG145)+K202),IF(Data!$AF145&gt;0,(Duplicate!$L$23*Data!$AF145)+K202,(Duplicate!$L$24*Data!$AF145)+K202)),0)</f>
        <v>20339639</v>
      </c>
      <c r="M202" s="143">
        <f>ROUND(IF($E$31="Yes",IF(Data!$AG145&gt;0,(Duplicate!$M$23*Data!$AG145)+L202,(Duplicate!$M$24*Data!$AG145)+L202),IF(Data!$AF145&gt;0,(Duplicate!$M$23*Data!$AF145)+L202,(Duplicate!$M$24*Data!$AF145)+L202)),0)</f>
        <v>20335246</v>
      </c>
      <c r="N202" s="143">
        <f>ROUND(IF($E$31="Yes",IF(Data!$AG145&gt;0,(Duplicate!$N$23*Data!$AG145)+M202,(Duplicate!$N$24*Data!$AG145)+M202),IF(Data!$AF145&gt;0,(Duplicate!$N$23*Data!$AF145)+M202,(Duplicate!$N$24*Data!$AF145)+M202)),0)</f>
        <v>20330853</v>
      </c>
      <c r="O202" s="143">
        <f>ROUND(IF($E$31="Yes",IF(Data!$AG145&gt;0,(Duplicate!$O$23*Data!$AG145)+N202,(Duplicate!$O$24*Data!$AG145)+N202),IF(Data!$AF145&gt;0,(Duplicate!$O$23*Data!$AF145)+N202,(Duplicate!$O$24*Data!$AF145)+N202)),0)</f>
        <v>20326460</v>
      </c>
      <c r="P202" s="143">
        <f>ROUND(IF($E$31="Yes",IF(Data!$AG145&gt;0,(Duplicate!$P$23*Data!$AG145)+O202,(Duplicate!$P$24*Data!$AG145)+O202),IF(Data!$AF145&gt;0,(Duplicate!$P$23*Data!$AF145)+O202,(Duplicate!$P$24*Data!$AF145)+O202)),0)</f>
        <v>20322067</v>
      </c>
      <c r="Q202" s="143">
        <f>ROUND(IF($E$31="Yes",IF(Data!$AG145&gt;0,(Duplicate!$Q$23*Data!$AG145)+P202,(Duplicate!$Q$24*Data!$AG145)+P202),IF(Data!$AF145&gt;0,(Duplicate!$Q$23*Data!$AF145)+P202,(Duplicate!$Q$24*Data!$AF145)+P202)),0)</f>
        <v>20317674</v>
      </c>
      <c r="R202" s="143">
        <f>ROUND(IF($E$31="Yes",IF(Data!$AG145&gt;0,(Duplicate!$R$23*Data!$AG145)+Q202,(Duplicate!$R$24*Data!$AG145)+Q202),IF(Data!$AF145&gt;0,(Duplicate!$R$23*Data!$AF145)+Q202,(Duplicate!$R$24*Data!$AF145)+Q202)),0)</f>
        <v>20313281</v>
      </c>
      <c r="S202" s="143">
        <f>ROUND(IF($E$31="Yes",IF(Data!$AG145&gt;0,(Duplicate!$S$23*Data!$AG145)+R202,(Duplicate!$S$24*Data!$AG145)+R202),IF(Data!$AF145&gt;0,(Duplicate!$S$23*Data!$AF145)+R202,(Duplicate!$S$24*Data!$AF145)+R202)),0)</f>
        <v>20308888</v>
      </c>
      <c r="T202" s="143">
        <v>20430243</v>
      </c>
      <c r="U202" s="143">
        <v>20512061</v>
      </c>
      <c r="V202" s="143">
        <v>20593879</v>
      </c>
      <c r="W202" s="143">
        <v>20675697</v>
      </c>
      <c r="X202" s="143">
        <v>20757515</v>
      </c>
      <c r="Y202" s="143">
        <v>20839333</v>
      </c>
      <c r="Z202" s="143">
        <v>20921151</v>
      </c>
      <c r="AA202" s="143">
        <v>21002969</v>
      </c>
      <c r="AB202" s="143">
        <v>21084787</v>
      </c>
      <c r="AC202" s="129">
        <f t="shared" si="80"/>
        <v>-86211</v>
      </c>
      <c r="AD202" s="129">
        <f t="shared" si="81"/>
        <v>-172422</v>
      </c>
      <c r="AE202" s="129">
        <f t="shared" si="82"/>
        <v>-258633</v>
      </c>
      <c r="AF202" s="129">
        <f t="shared" si="83"/>
        <v>-344844</v>
      </c>
      <c r="AG202" s="129">
        <f t="shared" si="84"/>
        <v>-431055</v>
      </c>
      <c r="AH202" s="129">
        <f t="shared" si="85"/>
        <v>-517266</v>
      </c>
      <c r="AI202" s="129">
        <f t="shared" si="86"/>
        <v>-603477</v>
      </c>
      <c r="AJ202" s="129">
        <f t="shared" si="87"/>
        <v>-689688</v>
      </c>
      <c r="AK202" s="129">
        <f t="shared" si="88"/>
        <v>-775899</v>
      </c>
      <c r="AL202" s="127">
        <f t="shared" si="89"/>
        <v>-4.2197735974065509E-3</v>
      </c>
      <c r="AM202" s="127">
        <f t="shared" si="90"/>
        <v>-8.4058837383527152E-3</v>
      </c>
      <c r="AN202" s="127">
        <f t="shared" si="91"/>
        <v>-1.2558731650312183E-2</v>
      </c>
      <c r="AO202" s="127">
        <f t="shared" si="92"/>
        <v>-1.6678712209798774E-2</v>
      </c>
      <c r="AP202" s="127">
        <f t="shared" si="93"/>
        <v>-2.0766214067531652E-2</v>
      </c>
      <c r="AQ202" s="127">
        <f t="shared" si="94"/>
        <v>-2.4821619770652004E-2</v>
      </c>
      <c r="AR202" s="127">
        <f t="shared" si="95"/>
        <v>-2.8845305882071237E-2</v>
      </c>
      <c r="AS202" s="127">
        <f t="shared" si="96"/>
        <v>-3.2837643097030744E-2</v>
      </c>
      <c r="AT202" s="127">
        <f t="shared" si="97"/>
        <v>-3.6798996356946834E-2</v>
      </c>
    </row>
    <row r="203" spans="1:46" s="18" customFormat="1" ht="13" x14ac:dyDescent="0.15">
      <c r="A203" s="29" t="s">
        <v>144</v>
      </c>
      <c r="B203" s="30">
        <f>IF(Data!D146=1, MAX(Data!AA146, $E$26) + INDEX(Duplicate!$E$39:$E$43, MATCH( Data!AD146, Duplicate!$B$39:$B$43, 0), 0), MAX(Data!AA146, $E$27) +  INDEX(Duplicate!$E$39:$E$43, MATCH( Data!AD146, Duplicate!$B$39:$B$43, 0), 0))</f>
        <v>0.16506999999999999</v>
      </c>
      <c r="C203" s="128">
        <f>ROUND(Data!R146/13*100, 2)</f>
        <v>0</v>
      </c>
      <c r="D203" s="141">
        <f>ROUND(Data!Q146*C203, 0)</f>
        <v>0</v>
      </c>
      <c r="E203" s="142">
        <f>ROUND($E$22*Data!W146*B203, 0)</f>
        <v>9489025</v>
      </c>
      <c r="F203" s="143">
        <f>IF(E203=0, 0,IF($E$31="Yes", IF(Data!D146=1, MAX(Duplicate!D203+Duplicate!E203, Data!AE146), Duplicate!D203+Duplicate!E203), Duplicate!D203+Duplicate!E203))</f>
        <v>9489025</v>
      </c>
      <c r="G203" s="143">
        <v>9481879</v>
      </c>
      <c r="H203" s="129">
        <f>F203-Data!AL146</f>
        <v>-1919053</v>
      </c>
      <c r="I203" s="127">
        <f>((F203)/(Data!AL146)) - 1</f>
        <v>-0.16821878321659445</v>
      </c>
      <c r="J203" s="127">
        <f t="shared" si="79"/>
        <v>7.536480902150533E-4</v>
      </c>
      <c r="K203" s="143">
        <f>ROUND(IF($E$31="Yes",IF(Data!AG146&gt;0,(Duplicate!$K$23*Data!AG146)+Data!AI146,(Duplicate!$K$24*Data!AG146)+Data!AI146),IF(Data!AF146&gt;0,(Duplicate!$K$23*Data!AF146)+Data!AI146,(Duplicate!$K$24*Data!AF146)+Data!AI146)),0)</f>
        <v>11698408</v>
      </c>
      <c r="L203" s="143">
        <f>ROUND(IF($E$31="Yes",IF(Data!$AG146&gt;0,(Duplicate!$L$23*Data!$AG146)+K203,(Duplicate!$L$24*Data!$AG146)+K203),IF(Data!$AF146&gt;0,(Duplicate!$L$23*Data!$AF146)+K203,(Duplicate!$L$24*Data!$AF146)+K203)),0)</f>
        <v>11420399</v>
      </c>
      <c r="M203" s="143">
        <f>ROUND(IF($E$31="Yes",IF(Data!$AG146&gt;0,(Duplicate!$M$23*Data!$AG146)+L203,(Duplicate!$M$24*Data!$AG146)+L203),IF(Data!$AF146&gt;0,(Duplicate!$M$23*Data!$AF146)+L203,(Duplicate!$M$24*Data!$AF146)+L203)),0)</f>
        <v>11142390</v>
      </c>
      <c r="N203" s="143">
        <f>ROUND(IF($E$31="Yes",IF(Data!$AG146&gt;0,(Duplicate!$N$23*Data!$AG146)+M203,(Duplicate!$N$24*Data!$AG146)+M203),IF(Data!$AF146&gt;0,(Duplicate!$N$23*Data!$AF146)+M203,(Duplicate!$N$24*Data!$AF146)+M203)),0)</f>
        <v>10864381</v>
      </c>
      <c r="O203" s="143">
        <f>ROUND(IF($E$31="Yes",IF(Data!$AG146&gt;0,(Duplicate!$O$23*Data!$AG146)+N203,(Duplicate!$O$24*Data!$AG146)+N203),IF(Data!$AF146&gt;0,(Duplicate!$O$23*Data!$AF146)+N203,(Duplicate!$O$24*Data!$AF146)+N203)),0)</f>
        <v>10586372</v>
      </c>
      <c r="P203" s="143">
        <f>ROUND(IF($E$31="Yes",IF(Data!$AG146&gt;0,(Duplicate!$P$23*Data!$AG146)+O203,(Duplicate!$P$24*Data!$AG146)+O203),IF(Data!$AF146&gt;0,(Duplicate!$P$23*Data!$AF146)+O203,(Duplicate!$P$24*Data!$AF146)+O203)),0)</f>
        <v>10308363</v>
      </c>
      <c r="Q203" s="143">
        <f>ROUND(IF($E$31="Yes",IF(Data!$AG146&gt;0,(Duplicate!$Q$23*Data!$AG146)+P203,(Duplicate!$Q$24*Data!$AG146)+P203),IF(Data!$AF146&gt;0,(Duplicate!$Q$23*Data!$AF146)+P203,(Duplicate!$Q$24*Data!$AF146)+P203)),0)</f>
        <v>10030354</v>
      </c>
      <c r="R203" s="143">
        <f>ROUND(IF($E$31="Yes",IF(Data!$AG146&gt;0,(Duplicate!$R$23*Data!$AG146)+Q203,(Duplicate!$R$24*Data!$AG146)+Q203),IF(Data!$AF146&gt;0,(Duplicate!$R$23*Data!$AF146)+Q203,(Duplicate!$R$24*Data!$AF146)+Q203)),0)</f>
        <v>9752345</v>
      </c>
      <c r="S203" s="143">
        <f>ROUND(IF($E$31="Yes",IF(Data!$AG146&gt;0,(Duplicate!$S$23*Data!$AG146)+R203,(Duplicate!$S$24*Data!$AG146)+R203),IF(Data!$AF146&gt;0,(Duplicate!$S$23*Data!$AF146)+R203,(Duplicate!$S$24*Data!$AF146)+R203)),0)</f>
        <v>9474336</v>
      </c>
      <c r="T203" s="143">
        <v>11697813</v>
      </c>
      <c r="U203" s="143">
        <v>11419209</v>
      </c>
      <c r="V203" s="143">
        <v>11140605</v>
      </c>
      <c r="W203" s="143">
        <v>10862001</v>
      </c>
      <c r="X203" s="143">
        <v>10583397</v>
      </c>
      <c r="Y203" s="143">
        <v>10304793</v>
      </c>
      <c r="Z203" s="143">
        <v>10026189</v>
      </c>
      <c r="AA203" s="143">
        <v>9747585</v>
      </c>
      <c r="AB203" s="143">
        <v>9468981</v>
      </c>
      <c r="AC203" s="129">
        <f t="shared" si="80"/>
        <v>595</v>
      </c>
      <c r="AD203" s="129">
        <f t="shared" si="81"/>
        <v>1190</v>
      </c>
      <c r="AE203" s="129">
        <f t="shared" si="82"/>
        <v>1785</v>
      </c>
      <c r="AF203" s="129">
        <f t="shared" si="83"/>
        <v>2380</v>
      </c>
      <c r="AG203" s="129">
        <f t="shared" si="84"/>
        <v>2975</v>
      </c>
      <c r="AH203" s="129">
        <f t="shared" si="85"/>
        <v>3570</v>
      </c>
      <c r="AI203" s="129">
        <f t="shared" si="86"/>
        <v>4165</v>
      </c>
      <c r="AJ203" s="129">
        <f t="shared" si="87"/>
        <v>4760</v>
      </c>
      <c r="AK203" s="129">
        <f t="shared" si="88"/>
        <v>5355</v>
      </c>
      <c r="AL203" s="127">
        <f t="shared" si="89"/>
        <v>5.0864208549050716E-5</v>
      </c>
      <c r="AM203" s="127">
        <f t="shared" si="90"/>
        <v>1.0421037043806258E-4</v>
      </c>
      <c r="AN203" s="127">
        <f t="shared" si="91"/>
        <v>1.6022469156751207E-4</v>
      </c>
      <c r="AO203" s="127">
        <f t="shared" si="92"/>
        <v>2.191124821291357E-4</v>
      </c>
      <c r="AP203" s="127">
        <f t="shared" si="93"/>
        <v>2.8110067117381732E-4</v>
      </c>
      <c r="AQ203" s="127">
        <f t="shared" si="94"/>
        <v>3.4644072908607271E-4</v>
      </c>
      <c r="AR203" s="127">
        <f t="shared" si="95"/>
        <v>4.1541207731077279E-4</v>
      </c>
      <c r="AS203" s="127">
        <f t="shared" si="96"/>
        <v>4.8832608281945689E-4</v>
      </c>
      <c r="AT203" s="127">
        <f t="shared" si="97"/>
        <v>5.6553075774479211E-4</v>
      </c>
    </row>
    <row r="204" spans="1:46" s="18" customFormat="1" ht="13" x14ac:dyDescent="0.15">
      <c r="A204" s="29" t="s">
        <v>145</v>
      </c>
      <c r="B204" s="30">
        <f>IF(Data!D147=1, MAX(Data!AA147, $E$26) + INDEX(Duplicate!$E$39:$E$43, MATCH( Data!AD147, Duplicate!$B$39:$B$43, 0), 0), MAX(Data!AA147, $E$27) +  INDEX(Duplicate!$E$39:$E$43, MATCH( Data!AD147, Duplicate!$B$39:$B$43, 0), 0))</f>
        <v>0.55651200000000001</v>
      </c>
      <c r="C204" s="128">
        <f>ROUND(Data!R147/13*100, 2)</f>
        <v>0</v>
      </c>
      <c r="D204" s="141">
        <f>ROUND(Data!Q147*C204, 0)</f>
        <v>0</v>
      </c>
      <c r="E204" s="142">
        <f>ROUND($E$22*Data!W147*B204, 0)</f>
        <v>2647938</v>
      </c>
      <c r="F204" s="143">
        <f>IF(E204=0, 0,IF($E$31="Yes", IF(Data!D147=1, MAX(Duplicate!D204+Duplicate!E204, Data!AE147), Duplicate!D204+Duplicate!E204), Duplicate!D204+Duplicate!E204))</f>
        <v>2647938</v>
      </c>
      <c r="G204" s="143">
        <v>3074415</v>
      </c>
      <c r="H204" s="129">
        <f>F204-Data!AL147</f>
        <v>-20156</v>
      </c>
      <c r="I204" s="127">
        <f>((F204)/(Data!AL147)) - 1</f>
        <v>-7.554456477170568E-3</v>
      </c>
      <c r="J204" s="127">
        <f t="shared" si="79"/>
        <v>-0.13871809758929743</v>
      </c>
      <c r="K204" s="143">
        <f>ROUND(IF($E$31="Yes",IF(Data!AG147&gt;0,(Duplicate!$K$23*Data!AG147)+Data!AI147,(Duplicate!$K$24*Data!AG147)+Data!AI147),IF(Data!AF147&gt;0,(Duplicate!$K$23*Data!AF147)+Data!AI147,(Duplicate!$K$24*Data!AF147)+Data!AI147)),0)</f>
        <v>2647985</v>
      </c>
      <c r="L204" s="143">
        <f>ROUND(IF($E$31="Yes",IF(Data!$AG147&gt;0,(Duplicate!$L$23*Data!$AG147)+K204,(Duplicate!$L$24*Data!$AG147)+K204),IF(Data!$AF147&gt;0,(Duplicate!$L$23*Data!$AF147)+K204,(Duplicate!$L$24*Data!$AF147)+K204)),0)</f>
        <v>2655155</v>
      </c>
      <c r="M204" s="143">
        <f>ROUND(IF($E$31="Yes",IF(Data!$AG147&gt;0,(Duplicate!$M$23*Data!$AG147)+L204,(Duplicate!$M$24*Data!$AG147)+L204),IF(Data!$AF147&gt;0,(Duplicate!$M$23*Data!$AF147)+L204,(Duplicate!$M$24*Data!$AF147)+L204)),0)</f>
        <v>2662325</v>
      </c>
      <c r="N204" s="143">
        <f>ROUND(IF($E$31="Yes",IF(Data!$AG147&gt;0,(Duplicate!$N$23*Data!$AG147)+M204,(Duplicate!$N$24*Data!$AG147)+M204),IF(Data!$AF147&gt;0,(Duplicate!$N$23*Data!$AF147)+M204,(Duplicate!$N$24*Data!$AF147)+M204)),0)</f>
        <v>2669495</v>
      </c>
      <c r="O204" s="143">
        <f>ROUND(IF($E$31="Yes",IF(Data!$AG147&gt;0,(Duplicate!$O$23*Data!$AG147)+N204,(Duplicate!$O$24*Data!$AG147)+N204),IF(Data!$AF147&gt;0,(Duplicate!$O$23*Data!$AF147)+N204,(Duplicate!$O$24*Data!$AF147)+N204)),0)</f>
        <v>2676665</v>
      </c>
      <c r="P204" s="143">
        <f>ROUND(IF($E$31="Yes",IF(Data!$AG147&gt;0,(Duplicate!$P$23*Data!$AG147)+O204,(Duplicate!$P$24*Data!$AG147)+O204),IF(Data!$AF147&gt;0,(Duplicate!$P$23*Data!$AF147)+O204,(Duplicate!$P$24*Data!$AF147)+O204)),0)</f>
        <v>2683835</v>
      </c>
      <c r="Q204" s="143">
        <f>ROUND(IF($E$31="Yes",IF(Data!$AG147&gt;0,(Duplicate!$Q$23*Data!$AG147)+P204,(Duplicate!$Q$24*Data!$AG147)+P204),IF(Data!$AF147&gt;0,(Duplicate!$Q$23*Data!$AF147)+P204,(Duplicate!$Q$24*Data!$AF147)+P204)),0)</f>
        <v>2691005</v>
      </c>
      <c r="R204" s="143">
        <f>ROUND(IF($E$31="Yes",IF(Data!$AG147&gt;0,(Duplicate!$R$23*Data!$AG147)+Q204,(Duplicate!$R$24*Data!$AG147)+Q204),IF(Data!$AF147&gt;0,(Duplicate!$R$23*Data!$AF147)+Q204,(Duplicate!$R$24*Data!$AF147)+Q204)),0)</f>
        <v>2698175</v>
      </c>
      <c r="S204" s="143">
        <f>ROUND(IF($E$31="Yes",IF(Data!$AG147&gt;0,(Duplicate!$S$23*Data!$AG147)+R204,(Duplicate!$S$24*Data!$AG147)+R204),IF(Data!$AF147&gt;0,(Duplicate!$S$23*Data!$AF147)+R204,(Duplicate!$S$24*Data!$AF147)+R204)),0)</f>
        <v>2705345</v>
      </c>
      <c r="T204" s="143">
        <v>2690079</v>
      </c>
      <c r="U204" s="143">
        <v>2739343</v>
      </c>
      <c r="V204" s="143">
        <v>2788607</v>
      </c>
      <c r="W204" s="143">
        <v>2837871</v>
      </c>
      <c r="X204" s="143">
        <v>2887135</v>
      </c>
      <c r="Y204" s="143">
        <v>2936399</v>
      </c>
      <c r="Z204" s="143">
        <v>2985663</v>
      </c>
      <c r="AA204" s="143">
        <v>3034927</v>
      </c>
      <c r="AB204" s="143">
        <v>3084191</v>
      </c>
      <c r="AC204" s="129">
        <f t="shared" si="80"/>
        <v>-42094</v>
      </c>
      <c r="AD204" s="129">
        <f t="shared" si="81"/>
        <v>-84188</v>
      </c>
      <c r="AE204" s="129">
        <f t="shared" si="82"/>
        <v>-126282</v>
      </c>
      <c r="AF204" s="129">
        <f t="shared" si="83"/>
        <v>-168376</v>
      </c>
      <c r="AG204" s="129">
        <f t="shared" si="84"/>
        <v>-210470</v>
      </c>
      <c r="AH204" s="129">
        <f t="shared" si="85"/>
        <v>-252564</v>
      </c>
      <c r="AI204" s="129">
        <f t="shared" si="86"/>
        <v>-294658</v>
      </c>
      <c r="AJ204" s="129">
        <f t="shared" si="87"/>
        <v>-336752</v>
      </c>
      <c r="AK204" s="129">
        <f t="shared" si="88"/>
        <v>-378846</v>
      </c>
      <c r="AL204" s="127">
        <f t="shared" si="89"/>
        <v>-1.5647867590505737E-2</v>
      </c>
      <c r="AM204" s="127">
        <f t="shared" si="90"/>
        <v>-3.0732916615407446E-2</v>
      </c>
      <c r="AN204" s="127">
        <f t="shared" si="91"/>
        <v>-4.5284975616858181E-2</v>
      </c>
      <c r="AO204" s="127">
        <f t="shared" si="92"/>
        <v>-5.9331801903610093E-2</v>
      </c>
      <c r="AP204" s="127">
        <f t="shared" si="93"/>
        <v>-7.2899258261217459E-2</v>
      </c>
      <c r="AQ204" s="127">
        <f t="shared" si="94"/>
        <v>-8.6011471874224199E-2</v>
      </c>
      <c r="AR204" s="127">
        <f t="shared" si="95"/>
        <v>-9.8690977514876876E-2</v>
      </c>
      <c r="AS204" s="127">
        <f t="shared" si="96"/>
        <v>-0.11095884678610057</v>
      </c>
      <c r="AT204" s="127">
        <f t="shared" si="97"/>
        <v>-0.12283480497803156</v>
      </c>
    </row>
    <row r="205" spans="1:46" s="18" customFormat="1" ht="13" x14ac:dyDescent="0.15">
      <c r="A205" s="29" t="s">
        <v>146</v>
      </c>
      <c r="B205" s="30">
        <f>IF(Data!D148=1, MAX(Data!AA148, $E$26) + INDEX(Duplicate!$E$39:$E$43, MATCH( Data!AD148, Duplicate!$B$39:$B$43, 0), 0), MAX(Data!AA148, $E$27) +  INDEX(Duplicate!$E$39:$E$43, MATCH( Data!AD148, Duplicate!$B$39:$B$43, 0), 0))</f>
        <v>0.46239400000000003</v>
      </c>
      <c r="C205" s="128">
        <f>ROUND(Data!R148/13*100, 2)</f>
        <v>0</v>
      </c>
      <c r="D205" s="141">
        <f>ROUND(Data!Q148*C205, 0)</f>
        <v>0</v>
      </c>
      <c r="E205" s="142">
        <f>ROUND($E$22*Data!W148*B205, 0)</f>
        <v>8185537</v>
      </c>
      <c r="F205" s="143">
        <f>IF(E205=0, 0,IF($E$31="Yes", IF(Data!D148=1, MAX(Duplicate!D205+Duplicate!E205, Data!AE148), Duplicate!D205+Duplicate!E205), Duplicate!D205+Duplicate!E205))</f>
        <v>8185537</v>
      </c>
      <c r="G205" s="143">
        <v>9209677</v>
      </c>
      <c r="H205" s="129">
        <f>F205-Data!AL148</f>
        <v>-1365950</v>
      </c>
      <c r="I205" s="127">
        <f>((F205)/(Data!AL148)) - 1</f>
        <v>-0.14300914611515458</v>
      </c>
      <c r="J205" s="127">
        <f t="shared" si="79"/>
        <v>-0.11120259700747381</v>
      </c>
      <c r="K205" s="143">
        <f>ROUND(IF($E$31="Yes",IF(Data!AG148&gt;0,(Duplicate!$K$23*Data!AG148)+Data!AI148,(Duplicate!$K$24*Data!AG148)+Data!AI148),IF(Data!AF148&gt;0,(Duplicate!$K$23*Data!AF148)+Data!AI148,(Duplicate!$K$24*Data!AF148)+Data!AI148)),0)</f>
        <v>9541978</v>
      </c>
      <c r="L205" s="143">
        <f>ROUND(IF($E$31="Yes",IF(Data!$AG148&gt;0,(Duplicate!$L$23*Data!$AG148)+K205,(Duplicate!$L$24*Data!$AG148)+K205),IF(Data!$AF148&gt;0,(Duplicate!$L$23*Data!$AF148)+K205,(Duplicate!$L$24*Data!$AF148)+K205)),0)</f>
        <v>9408285</v>
      </c>
      <c r="M205" s="143">
        <f>ROUND(IF($E$31="Yes",IF(Data!$AG148&gt;0,(Duplicate!$M$23*Data!$AG148)+L205,(Duplicate!$M$24*Data!$AG148)+L205),IF(Data!$AF148&gt;0,(Duplicate!$M$23*Data!$AF148)+L205,(Duplicate!$M$24*Data!$AF148)+L205)),0)</f>
        <v>9274592</v>
      </c>
      <c r="N205" s="143">
        <f>ROUND(IF($E$31="Yes",IF(Data!$AG148&gt;0,(Duplicate!$N$23*Data!$AG148)+M205,(Duplicate!$N$24*Data!$AG148)+M205),IF(Data!$AF148&gt;0,(Duplicate!$N$23*Data!$AF148)+M205,(Duplicate!$N$24*Data!$AF148)+M205)),0)</f>
        <v>9140899</v>
      </c>
      <c r="O205" s="143">
        <f>ROUND(IF($E$31="Yes",IF(Data!$AG148&gt;0,(Duplicate!$O$23*Data!$AG148)+N205,(Duplicate!$O$24*Data!$AG148)+N205),IF(Data!$AF148&gt;0,(Duplicate!$O$23*Data!$AF148)+N205,(Duplicate!$O$24*Data!$AF148)+N205)),0)</f>
        <v>9007206</v>
      </c>
      <c r="P205" s="143">
        <f>ROUND(IF($E$31="Yes",IF(Data!$AG148&gt;0,(Duplicate!$P$23*Data!$AG148)+O205,(Duplicate!$P$24*Data!$AG148)+O205),IF(Data!$AF148&gt;0,(Duplicate!$P$23*Data!$AF148)+O205,(Duplicate!$P$24*Data!$AF148)+O205)),0)</f>
        <v>8873513</v>
      </c>
      <c r="Q205" s="143">
        <f>ROUND(IF($E$31="Yes",IF(Data!$AG148&gt;0,(Duplicate!$Q$23*Data!$AG148)+P205,(Duplicate!$Q$24*Data!$AG148)+P205),IF(Data!$AF148&gt;0,(Duplicate!$Q$23*Data!$AF148)+P205,(Duplicate!$Q$24*Data!$AF148)+P205)),0)</f>
        <v>8739820</v>
      </c>
      <c r="R205" s="143">
        <f>ROUND(IF($E$31="Yes",IF(Data!$AG148&gt;0,(Duplicate!$R$23*Data!$AG148)+Q205,(Duplicate!$R$24*Data!$AG148)+Q205),IF(Data!$AF148&gt;0,(Duplicate!$R$23*Data!$AF148)+Q205,(Duplicate!$R$24*Data!$AF148)+Q205)),0)</f>
        <v>8606127</v>
      </c>
      <c r="S205" s="143">
        <f>ROUND(IF($E$31="Yes",IF(Data!$AG148&gt;0,(Duplicate!$S$23*Data!$AG148)+R205,(Duplicate!$S$24*Data!$AG148)+R205),IF(Data!$AF148&gt;0,(Duplicate!$S$23*Data!$AF148)+R205,(Duplicate!$S$24*Data!$AF148)+R205)),0)</f>
        <v>8472434</v>
      </c>
      <c r="T205" s="143">
        <v>9627289</v>
      </c>
      <c r="U205" s="143">
        <v>9578907</v>
      </c>
      <c r="V205" s="143">
        <v>9530525</v>
      </c>
      <c r="W205" s="143">
        <v>9482143</v>
      </c>
      <c r="X205" s="143">
        <v>9433761</v>
      </c>
      <c r="Y205" s="143">
        <v>9385379</v>
      </c>
      <c r="Z205" s="143">
        <v>9336997</v>
      </c>
      <c r="AA205" s="143">
        <v>9288615</v>
      </c>
      <c r="AB205" s="143">
        <v>9240233</v>
      </c>
      <c r="AC205" s="129">
        <f t="shared" si="80"/>
        <v>-85311</v>
      </c>
      <c r="AD205" s="129">
        <f t="shared" si="81"/>
        <v>-170622</v>
      </c>
      <c r="AE205" s="129">
        <f t="shared" si="82"/>
        <v>-255933</v>
      </c>
      <c r="AF205" s="129">
        <f t="shared" si="83"/>
        <v>-341244</v>
      </c>
      <c r="AG205" s="129">
        <f t="shared" si="84"/>
        <v>-426555</v>
      </c>
      <c r="AH205" s="129">
        <f t="shared" si="85"/>
        <v>-511866</v>
      </c>
      <c r="AI205" s="129">
        <f t="shared" si="86"/>
        <v>-597177</v>
      </c>
      <c r="AJ205" s="129">
        <f t="shared" si="87"/>
        <v>-682488</v>
      </c>
      <c r="AK205" s="129">
        <f t="shared" si="88"/>
        <v>-767799</v>
      </c>
      <c r="AL205" s="127">
        <f t="shared" si="89"/>
        <v>-8.8613731238358362E-3</v>
      </c>
      <c r="AM205" s="127">
        <f t="shared" si="90"/>
        <v>-1.7812261879147639E-2</v>
      </c>
      <c r="AN205" s="127">
        <f t="shared" si="91"/>
        <v>-2.6854029552411895E-2</v>
      </c>
      <c r="AO205" s="127">
        <f t="shared" si="92"/>
        <v>-3.5988067254417055E-2</v>
      </c>
      <c r="AP205" s="127">
        <f t="shared" si="93"/>
        <v>-4.5215794633762685E-2</v>
      </c>
      <c r="AQ205" s="127">
        <f t="shared" si="94"/>
        <v>-5.453866061242707E-2</v>
      </c>
      <c r="AR205" s="127">
        <f t="shared" si="95"/>
        <v>-6.3958144144203977E-2</v>
      </c>
      <c r="AS205" s="127">
        <f t="shared" si="96"/>
        <v>-7.347575499684289E-2</v>
      </c>
      <c r="AT205" s="127">
        <f t="shared" si="97"/>
        <v>-8.3093034558760603E-2</v>
      </c>
    </row>
    <row r="206" spans="1:46" s="18" customFormat="1" ht="13" x14ac:dyDescent="0.15">
      <c r="A206" s="29" t="s">
        <v>147</v>
      </c>
      <c r="B206" s="30">
        <f>IF(Data!D149=1, MAX(Data!AA149, $E$26) + INDEX(Duplicate!$E$39:$E$43, MATCH( Data!AD149, Duplicate!$B$39:$B$43, 0), 0), MAX(Data!AA149, $E$27) +  INDEX(Duplicate!$E$39:$E$43, MATCH( Data!AD149, Duplicate!$B$39:$B$43, 0), 0))</f>
        <v>0.1</v>
      </c>
      <c r="C206" s="128">
        <f>ROUND(Data!R149/13*100, 2)</f>
        <v>0</v>
      </c>
      <c r="D206" s="141">
        <f>ROUND(Data!Q149*C206, 0)</f>
        <v>0</v>
      </c>
      <c r="E206" s="142">
        <f>ROUND($E$22*Data!W149*B206, 0)</f>
        <v>21962282</v>
      </c>
      <c r="F206" s="143">
        <f>IF(E206=0, 0,IF($E$31="Yes", IF(Data!D149=1, MAX(Duplicate!D206+Duplicate!E206, Data!AE149), Duplicate!D206+Duplicate!E206), Duplicate!D206+Duplicate!E206))</f>
        <v>21962282</v>
      </c>
      <c r="G206" s="143">
        <v>21447207</v>
      </c>
      <c r="H206" s="129">
        <f>F206-Data!AL149</f>
        <v>8371697</v>
      </c>
      <c r="I206" s="127">
        <f>((F206)/(Data!AL149)) - 1</f>
        <v>0.61599239473503165</v>
      </c>
      <c r="J206" s="127">
        <f t="shared" si="79"/>
        <v>2.4015947624322465E-2</v>
      </c>
      <c r="K206" s="143">
        <f>ROUND(IF($E$31="Yes",IF(Data!AG149&gt;0,(Duplicate!$K$23*Data!AG149)+Data!AI149,(Duplicate!$K$24*Data!AG149)+Data!AI149),IF(Data!AF149&gt;0,(Duplicate!$K$23*Data!AF149)+Data!AI149,(Duplicate!$K$24*Data!AF149)+Data!AI149)),0)</f>
        <v>12417823</v>
      </c>
      <c r="L206" s="143">
        <f>ROUND(IF($E$31="Yes",IF(Data!$AG149&gt;0,(Duplicate!$L$23*Data!$AG149)+K206,(Duplicate!$L$24*Data!$AG149)+K206),IF(Data!$AF149&gt;0,(Duplicate!$L$23*Data!$AF149)+K206,(Duplicate!$L$24*Data!$AF149)+K206)),0)</f>
        <v>13607322</v>
      </c>
      <c r="M206" s="143">
        <f>ROUND(IF($E$31="Yes",IF(Data!$AG149&gt;0,(Duplicate!$M$23*Data!$AG149)+L206,(Duplicate!$M$24*Data!$AG149)+L206),IF(Data!$AF149&gt;0,(Duplicate!$M$23*Data!$AF149)+L206,(Duplicate!$M$24*Data!$AF149)+L206)),0)</f>
        <v>14796821</v>
      </c>
      <c r="N206" s="143">
        <f>ROUND(IF($E$31="Yes",IF(Data!$AG149&gt;0,(Duplicate!$N$23*Data!$AG149)+M206,(Duplicate!$N$24*Data!$AG149)+M206),IF(Data!$AF149&gt;0,(Duplicate!$N$23*Data!$AF149)+M206,(Duplicate!$N$24*Data!$AF149)+M206)),0)</f>
        <v>15986320</v>
      </c>
      <c r="O206" s="143">
        <f>ROUND(IF($E$31="Yes",IF(Data!$AG149&gt;0,(Duplicate!$O$23*Data!$AG149)+N206,(Duplicate!$O$24*Data!$AG149)+N206),IF(Data!$AF149&gt;0,(Duplicate!$O$23*Data!$AF149)+N206,(Duplicate!$O$24*Data!$AF149)+N206)),0)</f>
        <v>17175819</v>
      </c>
      <c r="P206" s="143">
        <f>ROUND(IF($E$31="Yes",IF(Data!$AG149&gt;0,(Duplicate!$P$23*Data!$AG149)+O206,(Duplicate!$P$24*Data!$AG149)+O206),IF(Data!$AF149&gt;0,(Duplicate!$P$23*Data!$AF149)+O206,(Duplicate!$P$24*Data!$AF149)+O206)),0)</f>
        <v>18365318</v>
      </c>
      <c r="Q206" s="143">
        <f>ROUND(IF($E$31="Yes",IF(Data!$AG149&gt;0,(Duplicate!$Q$23*Data!$AG149)+P206,(Duplicate!$Q$24*Data!$AG149)+P206),IF(Data!$AF149&gt;0,(Duplicate!$Q$23*Data!$AF149)+P206,(Duplicate!$Q$24*Data!$AF149)+P206)),0)</f>
        <v>19554817</v>
      </c>
      <c r="R206" s="143">
        <f>ROUND(IF($E$31="Yes",IF(Data!$AG149&gt;0,(Duplicate!$R$23*Data!$AG149)+Q206,(Duplicate!$R$24*Data!$AG149)+Q206),IF(Data!$AF149&gt;0,(Duplicate!$R$23*Data!$AF149)+Q206,(Duplicate!$R$24*Data!$AF149)+Q206)),0)</f>
        <v>20744316</v>
      </c>
      <c r="S206" s="143">
        <f>ROUND(IF($E$31="Yes",IF(Data!$AG149&gt;0,(Duplicate!$S$23*Data!$AG149)+R206,(Duplicate!$S$24*Data!$AG149)+R206),IF(Data!$AF149&gt;0,(Duplicate!$S$23*Data!$AF149)+R206,(Duplicate!$S$24*Data!$AF149)+R206)),0)</f>
        <v>21933815</v>
      </c>
      <c r="T206" s="143">
        <v>12362916</v>
      </c>
      <c r="U206" s="143">
        <v>13497508</v>
      </c>
      <c r="V206" s="143">
        <v>14632100</v>
      </c>
      <c r="W206" s="143">
        <v>15766692</v>
      </c>
      <c r="X206" s="143">
        <v>16901284</v>
      </c>
      <c r="Y206" s="143">
        <v>18035876</v>
      </c>
      <c r="Z206" s="143">
        <v>19170468</v>
      </c>
      <c r="AA206" s="143">
        <v>20305060</v>
      </c>
      <c r="AB206" s="143">
        <v>21439652</v>
      </c>
      <c r="AC206" s="129">
        <f t="shared" si="80"/>
        <v>54907</v>
      </c>
      <c r="AD206" s="129">
        <f t="shared" si="81"/>
        <v>109814</v>
      </c>
      <c r="AE206" s="129">
        <f t="shared" si="82"/>
        <v>164721</v>
      </c>
      <c r="AF206" s="129">
        <f t="shared" si="83"/>
        <v>219628</v>
      </c>
      <c r="AG206" s="129">
        <f t="shared" si="84"/>
        <v>274535</v>
      </c>
      <c r="AH206" s="129">
        <f t="shared" si="85"/>
        <v>329442</v>
      </c>
      <c r="AI206" s="129">
        <f t="shared" si="86"/>
        <v>384349</v>
      </c>
      <c r="AJ206" s="129">
        <f t="shared" si="87"/>
        <v>439256</v>
      </c>
      <c r="AK206" s="129">
        <f t="shared" si="88"/>
        <v>494163</v>
      </c>
      <c r="AL206" s="127">
        <f t="shared" si="89"/>
        <v>4.4412661220054606E-3</v>
      </c>
      <c r="AM206" s="127">
        <f t="shared" si="90"/>
        <v>8.1358721921112043E-3</v>
      </c>
      <c r="AN206" s="127">
        <f t="shared" si="91"/>
        <v>1.1257509175032876E-2</v>
      </c>
      <c r="AO206" s="127">
        <f t="shared" si="92"/>
        <v>1.3929871909719616E-2</v>
      </c>
      <c r="AP206" s="127">
        <f t="shared" si="93"/>
        <v>1.6243440439199786E-2</v>
      </c>
      <c r="AQ206" s="127">
        <f t="shared" si="94"/>
        <v>1.8265927310655794E-2</v>
      </c>
      <c r="AR206" s="127">
        <f t="shared" si="95"/>
        <v>2.0049014974490964E-2</v>
      </c>
      <c r="AS206" s="127">
        <f t="shared" si="96"/>
        <v>2.1632834377243837E-2</v>
      </c>
      <c r="AT206" s="127">
        <f t="shared" si="97"/>
        <v>2.3049021504640166E-2</v>
      </c>
    </row>
    <row r="207" spans="1:46" s="18" customFormat="1" ht="13" x14ac:dyDescent="0.15">
      <c r="A207" s="29" t="s">
        <v>148</v>
      </c>
      <c r="B207" s="30">
        <f>IF(Data!D150=1, MAX(Data!AA150, $E$26) + INDEX(Duplicate!$E$39:$E$43, MATCH( Data!AD150, Duplicate!$B$39:$B$43, 0), 0), MAX(Data!AA150, $E$27) +  INDEX(Duplicate!$E$39:$E$43, MATCH( Data!AD150, Duplicate!$B$39:$B$43, 0), 0))</f>
        <v>0.46188699999999999</v>
      </c>
      <c r="C207" s="128">
        <f>ROUND(Data!R150/13*100, 2)</f>
        <v>0</v>
      </c>
      <c r="D207" s="141">
        <f>ROUND(Data!Q150*C207, 0)</f>
        <v>0</v>
      </c>
      <c r="E207" s="142">
        <f>ROUND($E$22*Data!W150*B207, 0)</f>
        <v>2516512</v>
      </c>
      <c r="F207" s="143">
        <f>IF(E207=0, 0,IF($E$31="Yes", IF(Data!D150=1, MAX(Duplicate!D207+Duplicate!E207, Data!AE150), Duplicate!D207+Duplicate!E207), Duplicate!D207+Duplicate!E207))</f>
        <v>2516512</v>
      </c>
      <c r="G207" s="143">
        <v>3267184</v>
      </c>
      <c r="H207" s="129">
        <f>F207-Data!AL150</f>
        <v>-658073</v>
      </c>
      <c r="I207" s="127">
        <f>((F207)/(Data!AL150)) - 1</f>
        <v>-0.20729418175919057</v>
      </c>
      <c r="J207" s="127">
        <f t="shared" si="79"/>
        <v>-0.22976116435437977</v>
      </c>
      <c r="K207" s="143">
        <f>ROUND(IF($E$31="Yes",IF(Data!AG150&gt;0,(Duplicate!$K$23*Data!AG150)+Data!AI150,(Duplicate!$K$24*Data!AG150)+Data!AI150),IF(Data!AF150&gt;0,(Duplicate!$K$23*Data!AF150)+Data!AI150,(Duplicate!$K$24*Data!AF150)+Data!AI150)),0)</f>
        <v>3143854</v>
      </c>
      <c r="L207" s="143">
        <f>ROUND(IF($E$31="Yes",IF(Data!$AG150&gt;0,(Duplicate!$L$23*Data!$AG150)+K207,(Duplicate!$L$24*Data!$AG150)+K207),IF(Data!$AF150&gt;0,(Duplicate!$L$23*Data!$AF150)+K207,(Duplicate!$L$24*Data!$AF150)+K207)),0)</f>
        <v>3087235</v>
      </c>
      <c r="M207" s="143">
        <f>ROUND(IF($E$31="Yes",IF(Data!$AG150&gt;0,(Duplicate!$M$23*Data!$AG150)+L207,(Duplicate!$M$24*Data!$AG150)+L207),IF(Data!$AF150&gt;0,(Duplicate!$M$23*Data!$AF150)+L207,(Duplicate!$M$24*Data!$AF150)+L207)),0)</f>
        <v>3030616</v>
      </c>
      <c r="N207" s="143">
        <f>ROUND(IF($E$31="Yes",IF(Data!$AG150&gt;0,(Duplicate!$N$23*Data!$AG150)+M207,(Duplicate!$N$24*Data!$AG150)+M207),IF(Data!$AF150&gt;0,(Duplicate!$N$23*Data!$AF150)+M207,(Duplicate!$N$24*Data!$AF150)+M207)),0)</f>
        <v>2973997</v>
      </c>
      <c r="O207" s="143">
        <f>ROUND(IF($E$31="Yes",IF(Data!$AG150&gt;0,(Duplicate!$O$23*Data!$AG150)+N207,(Duplicate!$O$24*Data!$AG150)+N207),IF(Data!$AF150&gt;0,(Duplicate!$O$23*Data!$AF150)+N207,(Duplicate!$O$24*Data!$AF150)+N207)),0)</f>
        <v>2917378</v>
      </c>
      <c r="P207" s="143">
        <f>ROUND(IF($E$31="Yes",IF(Data!$AG150&gt;0,(Duplicate!$P$23*Data!$AG150)+O207,(Duplicate!$P$24*Data!$AG150)+O207),IF(Data!$AF150&gt;0,(Duplicate!$P$23*Data!$AF150)+O207,(Duplicate!$P$24*Data!$AF150)+O207)),0)</f>
        <v>2860759</v>
      </c>
      <c r="Q207" s="143">
        <f>ROUND(IF($E$31="Yes",IF(Data!$AG150&gt;0,(Duplicate!$Q$23*Data!$AG150)+P207,(Duplicate!$Q$24*Data!$AG150)+P207),IF(Data!$AF150&gt;0,(Duplicate!$Q$23*Data!$AF150)+P207,(Duplicate!$Q$24*Data!$AF150)+P207)),0)</f>
        <v>2804140</v>
      </c>
      <c r="R207" s="143">
        <f>ROUND(IF($E$31="Yes",IF(Data!$AG150&gt;0,(Duplicate!$R$23*Data!$AG150)+Q207,(Duplicate!$R$24*Data!$AG150)+Q207),IF(Data!$AF150&gt;0,(Duplicate!$R$23*Data!$AF150)+Q207,(Duplicate!$R$24*Data!$AF150)+Q207)),0)</f>
        <v>2747521</v>
      </c>
      <c r="S207" s="143">
        <f>ROUND(IF($E$31="Yes",IF(Data!$AG150&gt;0,(Duplicate!$S$23*Data!$AG150)+R207,(Duplicate!$S$24*Data!$AG150)+R207),IF(Data!$AF150&gt;0,(Duplicate!$S$23*Data!$AF150)+R207,(Duplicate!$S$24*Data!$AF150)+R207)),0)</f>
        <v>2690902</v>
      </c>
      <c r="T207" s="143">
        <v>3208039</v>
      </c>
      <c r="U207" s="143">
        <v>3215604</v>
      </c>
      <c r="V207" s="143">
        <v>3223169</v>
      </c>
      <c r="W207" s="143">
        <v>3230734</v>
      </c>
      <c r="X207" s="143">
        <v>3238299</v>
      </c>
      <c r="Y207" s="143">
        <v>3245864</v>
      </c>
      <c r="Z207" s="143">
        <v>3253429</v>
      </c>
      <c r="AA207" s="143">
        <v>3260994</v>
      </c>
      <c r="AB207" s="143">
        <v>3268559</v>
      </c>
      <c r="AC207" s="129">
        <f t="shared" si="80"/>
        <v>-64185</v>
      </c>
      <c r="AD207" s="129">
        <f t="shared" si="81"/>
        <v>-128369</v>
      </c>
      <c r="AE207" s="129">
        <f t="shared" si="82"/>
        <v>-192553</v>
      </c>
      <c r="AF207" s="129">
        <f t="shared" si="83"/>
        <v>-256737</v>
      </c>
      <c r="AG207" s="129">
        <f t="shared" si="84"/>
        <v>-320921</v>
      </c>
      <c r="AH207" s="129">
        <f t="shared" si="85"/>
        <v>-385105</v>
      </c>
      <c r="AI207" s="129">
        <f t="shared" si="86"/>
        <v>-449289</v>
      </c>
      <c r="AJ207" s="129">
        <f t="shared" si="87"/>
        <v>-513473</v>
      </c>
      <c r="AK207" s="129">
        <f t="shared" si="88"/>
        <v>-577657</v>
      </c>
      <c r="AL207" s="127">
        <f t="shared" si="89"/>
        <v>-2.0007549783528145E-2</v>
      </c>
      <c r="AM207" s="127">
        <f t="shared" si="90"/>
        <v>-3.9920649433201394E-2</v>
      </c>
      <c r="AN207" s="127">
        <f t="shared" si="91"/>
        <v>-5.9740274245626002E-2</v>
      </c>
      <c r="AO207" s="127">
        <f t="shared" si="92"/>
        <v>-7.946708085531029E-2</v>
      </c>
      <c r="AP207" s="127">
        <f t="shared" si="93"/>
        <v>-9.910171976089921E-2</v>
      </c>
      <c r="AQ207" s="127">
        <f t="shared" si="94"/>
        <v>-0.11864483539667714</v>
      </c>
      <c r="AR207" s="127">
        <f t="shared" si="95"/>
        <v>-0.13809706620307372</v>
      </c>
      <c r="AS207" s="127">
        <f t="shared" si="96"/>
        <v>-0.15745904469618777</v>
      </c>
      <c r="AT207" s="127">
        <f t="shared" si="97"/>
        <v>-0.17673139753634548</v>
      </c>
    </row>
    <row r="208" spans="1:46" s="18" customFormat="1" ht="13" x14ac:dyDescent="0.15">
      <c r="A208" s="29" t="s">
        <v>149</v>
      </c>
      <c r="B208" s="30">
        <f>IF(Data!D151=1, MAX(Data!AA151, $E$26) + INDEX(Duplicate!$E$39:$E$43, MATCH( Data!AD151, Duplicate!$B$39:$B$43, 0), 0), MAX(Data!AA151, $E$27) +  INDEX(Duplicate!$E$39:$E$43, MATCH( Data!AD151, Duplicate!$B$39:$B$43, 0), 0))</f>
        <v>0.01</v>
      </c>
      <c r="C208" s="128">
        <f>ROUND(Data!R151/13*100, 2)</f>
        <v>0</v>
      </c>
      <c r="D208" s="141">
        <f>ROUND(Data!Q151*C208, 0)</f>
        <v>0</v>
      </c>
      <c r="E208" s="142">
        <f>ROUND($E$22*Data!W151*B208, 0)</f>
        <v>244505</v>
      </c>
      <c r="F208" s="143">
        <f>IF(E208=0, 0,IF($E$31="Yes", IF(Data!D151=1, MAX(Duplicate!D208+Duplicate!E208, Data!AE151), Duplicate!D208+Duplicate!E208), Duplicate!D208+Duplicate!E208))</f>
        <v>244505</v>
      </c>
      <c r="G208" s="143">
        <v>265769</v>
      </c>
      <c r="H208" s="129">
        <f>F208-Data!AL151</f>
        <v>-828506</v>
      </c>
      <c r="I208" s="127">
        <f>((F208)/(Data!AL151)) - 1</f>
        <v>-0.772131879356316</v>
      </c>
      <c r="J208" s="127">
        <f t="shared" si="79"/>
        <v>-8.000933141186517E-2</v>
      </c>
      <c r="K208" s="143">
        <f>ROUND(IF($E$31="Yes",IF(Data!AG151&gt;0,(Duplicate!$K$23*Data!AG151)+Data!AI151,(Duplicate!$K$24*Data!AG151)+Data!AI151),IF(Data!AF151&gt;0,(Duplicate!$K$23*Data!AF151)+Data!AI151,(Duplicate!$K$24*Data!AF151)+Data!AI151)),0)</f>
        <v>1187045</v>
      </c>
      <c r="L208" s="143">
        <f>ROUND(IF($E$31="Yes",IF(Data!$AG151&gt;0,(Duplicate!$L$23*Data!$AG151)+K208,(Duplicate!$L$24*Data!$AG151)+K208),IF(Data!$AF151&gt;0,(Duplicate!$L$23*Data!$AF151)+K208,(Duplicate!$L$24*Data!$AF151)+K208)),0)</f>
        <v>1070037</v>
      </c>
      <c r="M208" s="143">
        <f>ROUND(IF($E$31="Yes",IF(Data!$AG151&gt;0,(Duplicate!$M$23*Data!$AG151)+L208,(Duplicate!$M$24*Data!$AG151)+L208),IF(Data!$AF151&gt;0,(Duplicate!$M$23*Data!$AF151)+L208,(Duplicate!$M$24*Data!$AF151)+L208)),0)</f>
        <v>953029</v>
      </c>
      <c r="N208" s="143">
        <f>ROUND(IF($E$31="Yes",IF(Data!$AG151&gt;0,(Duplicate!$N$23*Data!$AG151)+M208,(Duplicate!$N$24*Data!$AG151)+M208),IF(Data!$AF151&gt;0,(Duplicate!$N$23*Data!$AF151)+M208,(Duplicate!$N$24*Data!$AF151)+M208)),0)</f>
        <v>836021</v>
      </c>
      <c r="O208" s="143">
        <f>ROUND(IF($E$31="Yes",IF(Data!$AG151&gt;0,(Duplicate!$O$23*Data!$AG151)+N208,(Duplicate!$O$24*Data!$AG151)+N208),IF(Data!$AF151&gt;0,(Duplicate!$O$23*Data!$AF151)+N208,(Duplicate!$O$24*Data!$AF151)+N208)),0)</f>
        <v>719013</v>
      </c>
      <c r="P208" s="143">
        <f>ROUND(IF($E$31="Yes",IF(Data!$AG151&gt;0,(Duplicate!$P$23*Data!$AG151)+O208,(Duplicate!$P$24*Data!$AG151)+O208),IF(Data!$AF151&gt;0,(Duplicate!$P$23*Data!$AF151)+O208,(Duplicate!$P$24*Data!$AF151)+O208)),0)</f>
        <v>602005</v>
      </c>
      <c r="Q208" s="143">
        <f>ROUND(IF($E$31="Yes",IF(Data!$AG151&gt;0,(Duplicate!$Q$23*Data!$AG151)+P208,(Duplicate!$Q$24*Data!$AG151)+P208),IF(Data!$AF151&gt;0,(Duplicate!$Q$23*Data!$AF151)+P208,(Duplicate!$Q$24*Data!$AF151)+P208)),0)</f>
        <v>484997</v>
      </c>
      <c r="R208" s="143">
        <f>ROUND(IF($E$31="Yes",IF(Data!$AG151&gt;0,(Duplicate!$R$23*Data!$AG151)+Q208,(Duplicate!$R$24*Data!$AG151)+Q208),IF(Data!$AF151&gt;0,(Duplicate!$R$23*Data!$AF151)+Q208,(Duplicate!$R$24*Data!$AF151)+Q208)),0)</f>
        <v>367989</v>
      </c>
      <c r="S208" s="143">
        <f>ROUND(IF($E$31="Yes",IF(Data!$AG151&gt;0,(Duplicate!$S$23*Data!$AG151)+R208,(Duplicate!$S$24*Data!$AG151)+R208),IF(Data!$AF151&gt;0,(Duplicate!$S$23*Data!$AF151)+R208,(Duplicate!$S$24*Data!$AF151)+R208)),0)</f>
        <v>250981</v>
      </c>
      <c r="T208" s="143">
        <v>1188816</v>
      </c>
      <c r="U208" s="143">
        <v>1073580</v>
      </c>
      <c r="V208" s="143">
        <v>958344</v>
      </c>
      <c r="W208" s="143">
        <v>843108</v>
      </c>
      <c r="X208" s="143">
        <v>727872</v>
      </c>
      <c r="Y208" s="143">
        <v>612636</v>
      </c>
      <c r="Z208" s="143">
        <v>497400</v>
      </c>
      <c r="AA208" s="143">
        <v>382164</v>
      </c>
      <c r="AB208" s="143">
        <v>266928</v>
      </c>
      <c r="AC208" s="129">
        <f t="shared" si="80"/>
        <v>-1771</v>
      </c>
      <c r="AD208" s="129">
        <f t="shared" si="81"/>
        <v>-3543</v>
      </c>
      <c r="AE208" s="129">
        <f t="shared" si="82"/>
        <v>-5315</v>
      </c>
      <c r="AF208" s="129">
        <f t="shared" si="83"/>
        <v>-7087</v>
      </c>
      <c r="AG208" s="129">
        <f t="shared" si="84"/>
        <v>-8859</v>
      </c>
      <c r="AH208" s="129">
        <f t="shared" si="85"/>
        <v>-10631</v>
      </c>
      <c r="AI208" s="129">
        <f t="shared" si="86"/>
        <v>-12403</v>
      </c>
      <c r="AJ208" s="129">
        <f t="shared" si="87"/>
        <v>-14175</v>
      </c>
      <c r="AK208" s="129">
        <f t="shared" si="88"/>
        <v>-15947</v>
      </c>
      <c r="AL208" s="127">
        <f t="shared" si="89"/>
        <v>-1.4897175004373597E-3</v>
      </c>
      <c r="AM208" s="127">
        <f t="shared" si="90"/>
        <v>-3.3001732521097393E-3</v>
      </c>
      <c r="AN208" s="127">
        <f t="shared" si="91"/>
        <v>-5.5460252268496602E-3</v>
      </c>
      <c r="AO208" s="127">
        <f t="shared" si="92"/>
        <v>-8.4058032897327273E-3</v>
      </c>
      <c r="AP208" s="127">
        <f t="shared" si="93"/>
        <v>-1.2171096016882044E-2</v>
      </c>
      <c r="AQ208" s="127">
        <f t="shared" si="94"/>
        <v>-1.7352881645871232E-2</v>
      </c>
      <c r="AR208" s="127">
        <f t="shared" si="95"/>
        <v>-2.4935665460394052E-2</v>
      </c>
      <c r="AS208" s="127">
        <f t="shared" si="96"/>
        <v>-3.7091405783904241E-2</v>
      </c>
      <c r="AT208" s="127">
        <f t="shared" si="97"/>
        <v>-5.9742702151891147E-2</v>
      </c>
    </row>
    <row r="209" spans="1:46" s="18" customFormat="1" ht="13" x14ac:dyDescent="0.15">
      <c r="A209" s="29" t="s">
        <v>150</v>
      </c>
      <c r="B209" s="30">
        <f>IF(Data!D152=1, MAX(Data!AA152, $E$26) + INDEX(Duplicate!$E$39:$E$43, MATCH( Data!AD152, Duplicate!$B$39:$B$43, 0), 0), MAX(Data!AA152, $E$27) +  INDEX(Duplicate!$E$39:$E$43, MATCH( Data!AD152, Duplicate!$B$39:$B$43, 0), 0))</f>
        <v>0.33648600000000001</v>
      </c>
      <c r="C209" s="128">
        <f>ROUND(Data!R152/13*100, 2)</f>
        <v>0</v>
      </c>
      <c r="D209" s="141">
        <f>ROUND(Data!Q152*C209, 0)</f>
        <v>0</v>
      </c>
      <c r="E209" s="142">
        <f>ROUND($E$22*Data!W152*B209, 0)</f>
        <v>31139341</v>
      </c>
      <c r="F209" s="143">
        <f>IF(E209=0, 0,IF($E$31="Yes", IF(Data!D152=1, MAX(Duplicate!D209+Duplicate!E209, Data!AE152), Duplicate!D209+Duplicate!E209), Duplicate!D209+Duplicate!E209))</f>
        <v>31139341</v>
      </c>
      <c r="G209" s="143">
        <v>32129348</v>
      </c>
      <c r="H209" s="129">
        <f>F209-Data!AL152</f>
        <v>7023004</v>
      </c>
      <c r="I209" s="127">
        <f>((F209)/(Data!AL152)) - 1</f>
        <v>0.29121354540699951</v>
      </c>
      <c r="J209" s="127">
        <f t="shared" si="79"/>
        <v>-3.0813168073002939E-2</v>
      </c>
      <c r="K209" s="143">
        <f>ROUND(IF($E$31="Yes",IF(Data!AG152&gt;0,(Duplicate!$K$23*Data!AG152)+Data!AI152,(Duplicate!$K$24*Data!AG152)+Data!AI152),IF(Data!AF152&gt;0,(Duplicate!$K$23*Data!AF152)+Data!AI152,(Duplicate!$K$24*Data!AF152)+Data!AI152)),0)</f>
        <v>22918898</v>
      </c>
      <c r="L209" s="143">
        <f>ROUND(IF($E$31="Yes",IF(Data!$AG152&gt;0,(Duplicate!$L$23*Data!$AG152)+K209,(Duplicate!$L$24*Data!$AG152)+K209),IF(Data!$AF152&gt;0,(Duplicate!$L$23*Data!$AF152)+K209,(Duplicate!$L$24*Data!$AF152)+K209)),0)</f>
        <v>23950526</v>
      </c>
      <c r="M209" s="143">
        <f>ROUND(IF($E$31="Yes",IF(Data!$AG152&gt;0,(Duplicate!$M$23*Data!$AG152)+L209,(Duplicate!$M$24*Data!$AG152)+L209),IF(Data!$AF152&gt;0,(Duplicate!$M$23*Data!$AF152)+L209,(Duplicate!$M$24*Data!$AF152)+L209)),0)</f>
        <v>24982154</v>
      </c>
      <c r="N209" s="143">
        <f>ROUND(IF($E$31="Yes",IF(Data!$AG152&gt;0,(Duplicate!$N$23*Data!$AG152)+M209,(Duplicate!$N$24*Data!$AG152)+M209),IF(Data!$AF152&gt;0,(Duplicate!$N$23*Data!$AF152)+M209,(Duplicate!$N$24*Data!$AF152)+M209)),0)</f>
        <v>26013782</v>
      </c>
      <c r="O209" s="143">
        <f>ROUND(IF($E$31="Yes",IF(Data!$AG152&gt;0,(Duplicate!$O$23*Data!$AG152)+N209,(Duplicate!$O$24*Data!$AG152)+N209),IF(Data!$AF152&gt;0,(Duplicate!$O$23*Data!$AF152)+N209,(Duplicate!$O$24*Data!$AF152)+N209)),0)</f>
        <v>27045410</v>
      </c>
      <c r="P209" s="143">
        <f>ROUND(IF($E$31="Yes",IF(Data!$AG152&gt;0,(Duplicate!$P$23*Data!$AG152)+O209,(Duplicate!$P$24*Data!$AG152)+O209),IF(Data!$AF152&gt;0,(Duplicate!$P$23*Data!$AF152)+O209,(Duplicate!$P$24*Data!$AF152)+O209)),0)</f>
        <v>28077038</v>
      </c>
      <c r="Q209" s="143">
        <f>ROUND(IF($E$31="Yes",IF(Data!$AG152&gt;0,(Duplicate!$Q$23*Data!$AG152)+P209,(Duplicate!$Q$24*Data!$AG152)+P209),IF(Data!$AF152&gt;0,(Duplicate!$Q$23*Data!$AF152)+P209,(Duplicate!$Q$24*Data!$AF152)+P209)),0)</f>
        <v>29108666</v>
      </c>
      <c r="R209" s="143">
        <f>ROUND(IF($E$31="Yes",IF(Data!$AG152&gt;0,(Duplicate!$R$23*Data!$AG152)+Q209,(Duplicate!$R$24*Data!$AG152)+Q209),IF(Data!$AF152&gt;0,(Duplicate!$R$23*Data!$AF152)+Q209,(Duplicate!$R$24*Data!$AF152)+Q209)),0)</f>
        <v>30140294</v>
      </c>
      <c r="S209" s="143">
        <f>ROUND(IF($E$31="Yes",IF(Data!$AG152&gt;0,(Duplicate!$S$23*Data!$AG152)+R209,(Duplicate!$S$24*Data!$AG152)+R209),IF(Data!$AF152&gt;0,(Duplicate!$S$23*Data!$AF152)+R209,(Duplicate!$S$24*Data!$AF152)+R209)),0)</f>
        <v>31171922</v>
      </c>
      <c r="T209" s="143">
        <v>23024433</v>
      </c>
      <c r="U209" s="143">
        <v>24161596</v>
      </c>
      <c r="V209" s="143">
        <v>25298759</v>
      </c>
      <c r="W209" s="143">
        <v>26435922</v>
      </c>
      <c r="X209" s="143">
        <v>27573085</v>
      </c>
      <c r="Y209" s="143">
        <v>28710248</v>
      </c>
      <c r="Z209" s="143">
        <v>29847411</v>
      </c>
      <c r="AA209" s="143">
        <v>30984574</v>
      </c>
      <c r="AB209" s="143">
        <v>32121737</v>
      </c>
      <c r="AC209" s="129">
        <f t="shared" si="80"/>
        <v>-105535</v>
      </c>
      <c r="AD209" s="129">
        <f t="shared" si="81"/>
        <v>-211070</v>
      </c>
      <c r="AE209" s="129">
        <f t="shared" si="82"/>
        <v>-316605</v>
      </c>
      <c r="AF209" s="129">
        <f t="shared" si="83"/>
        <v>-422140</v>
      </c>
      <c r="AG209" s="129">
        <f t="shared" si="84"/>
        <v>-527675</v>
      </c>
      <c r="AH209" s="129">
        <f t="shared" si="85"/>
        <v>-633210</v>
      </c>
      <c r="AI209" s="129">
        <f t="shared" si="86"/>
        <v>-738745</v>
      </c>
      <c r="AJ209" s="129">
        <f t="shared" si="87"/>
        <v>-844280</v>
      </c>
      <c r="AK209" s="129">
        <f t="shared" si="88"/>
        <v>-949815</v>
      </c>
      <c r="AL209" s="127">
        <f t="shared" si="89"/>
        <v>-4.5836090730225765E-3</v>
      </c>
      <c r="AM209" s="127">
        <f t="shared" si="90"/>
        <v>-8.7357639785053953E-3</v>
      </c>
      <c r="AN209" s="127">
        <f t="shared" si="91"/>
        <v>-1.2514645481226938E-2</v>
      </c>
      <c r="AO209" s="127">
        <f t="shared" si="92"/>
        <v>-1.5968423571532719E-2</v>
      </c>
      <c r="AP209" s="127">
        <f t="shared" si="93"/>
        <v>-1.9137321775927529E-2</v>
      </c>
      <c r="AQ209" s="127">
        <f t="shared" si="94"/>
        <v>-2.2055190885150178E-2</v>
      </c>
      <c r="AR209" s="127">
        <f t="shared" si="95"/>
        <v>-2.4750722935399705E-2</v>
      </c>
      <c r="AS209" s="127">
        <f t="shared" si="96"/>
        <v>-2.7248397864046758E-2</v>
      </c>
      <c r="AT209" s="127">
        <f t="shared" si="97"/>
        <v>-2.9569229086210402E-2</v>
      </c>
    </row>
    <row r="210" spans="1:46" s="18" customFormat="1" ht="13" x14ac:dyDescent="0.15">
      <c r="A210" s="29" t="s">
        <v>151</v>
      </c>
      <c r="B210" s="30">
        <f>IF(Data!D153=1, MAX(Data!AA153, $E$26) + INDEX(Duplicate!$E$39:$E$43, MATCH( Data!AD153, Duplicate!$B$39:$B$43, 0), 0), MAX(Data!AA153, $E$27) +  INDEX(Duplicate!$E$39:$E$43, MATCH( Data!AD153, Duplicate!$B$39:$B$43, 0), 0))</f>
        <v>0.23827000000000001</v>
      </c>
      <c r="C210" s="128">
        <f>ROUND(Data!R153/13*100, 2)</f>
        <v>0</v>
      </c>
      <c r="D210" s="141">
        <f>ROUND(Data!Q153*C210, 0)</f>
        <v>0</v>
      </c>
      <c r="E210" s="142">
        <f>ROUND($E$22*Data!W153*B210, 0)</f>
        <v>5752285</v>
      </c>
      <c r="F210" s="143">
        <f>IF(E210=0, 0,IF($E$31="Yes", IF(Data!D153=1, MAX(Duplicate!D210+Duplicate!E210, Data!AE153), Duplicate!D210+Duplicate!E210), Duplicate!D210+Duplicate!E210))</f>
        <v>5752285</v>
      </c>
      <c r="G210" s="143">
        <v>6046235</v>
      </c>
      <c r="H210" s="129">
        <f>F210-Data!AL153</f>
        <v>-395866</v>
      </c>
      <c r="I210" s="127">
        <f>((F210)/(Data!AL153)) - 1</f>
        <v>-6.4387813506857627E-2</v>
      </c>
      <c r="J210" s="127">
        <f t="shared" si="79"/>
        <v>-4.8617031921518117E-2</v>
      </c>
      <c r="K210" s="143">
        <f>ROUND(IF($E$31="Yes",IF(Data!AG153&gt;0,(Duplicate!$K$23*Data!AG153)+Data!AI153,(Duplicate!$K$24*Data!AG153)+Data!AI153),IF(Data!AF153&gt;0,(Duplicate!$K$23*Data!AF153)+Data!AI153,(Duplicate!$K$24*Data!AF153)+Data!AI153)),0)</f>
        <v>6157132</v>
      </c>
      <c r="L210" s="143">
        <f>ROUND(IF($E$31="Yes",IF(Data!$AG153&gt;0,(Duplicate!$L$23*Data!$AG153)+K210,(Duplicate!$L$24*Data!$AG153)+K210),IF(Data!$AF153&gt;0,(Duplicate!$L$23*Data!$AF153)+K210,(Duplicate!$L$24*Data!$AF153)+K210)),0)</f>
        <v>6118076</v>
      </c>
      <c r="M210" s="143">
        <f>ROUND(IF($E$31="Yes",IF(Data!$AG153&gt;0,(Duplicate!$M$23*Data!$AG153)+L210,(Duplicate!$M$24*Data!$AG153)+L210),IF(Data!$AF153&gt;0,(Duplicate!$M$23*Data!$AF153)+L210,(Duplicate!$M$24*Data!$AF153)+L210)),0)</f>
        <v>6079020</v>
      </c>
      <c r="N210" s="143">
        <f>ROUND(IF($E$31="Yes",IF(Data!$AG153&gt;0,(Duplicate!$N$23*Data!$AG153)+M210,(Duplicate!$N$24*Data!$AG153)+M210),IF(Data!$AF153&gt;0,(Duplicate!$N$23*Data!$AF153)+M210,(Duplicate!$N$24*Data!$AF153)+M210)),0)</f>
        <v>6039964</v>
      </c>
      <c r="O210" s="143">
        <f>ROUND(IF($E$31="Yes",IF(Data!$AG153&gt;0,(Duplicate!$O$23*Data!$AG153)+N210,(Duplicate!$O$24*Data!$AG153)+N210),IF(Data!$AF153&gt;0,(Duplicate!$O$23*Data!$AF153)+N210,(Duplicate!$O$24*Data!$AF153)+N210)),0)</f>
        <v>6000908</v>
      </c>
      <c r="P210" s="143">
        <f>ROUND(IF($E$31="Yes",IF(Data!$AG153&gt;0,(Duplicate!$P$23*Data!$AG153)+O210,(Duplicate!$P$24*Data!$AG153)+O210),IF(Data!$AF153&gt;0,(Duplicate!$P$23*Data!$AF153)+O210,(Duplicate!$P$24*Data!$AF153)+O210)),0)</f>
        <v>5961852</v>
      </c>
      <c r="Q210" s="143">
        <f>ROUND(IF($E$31="Yes",IF(Data!$AG153&gt;0,(Duplicate!$Q$23*Data!$AG153)+P210,(Duplicate!$Q$24*Data!$AG153)+P210),IF(Data!$AF153&gt;0,(Duplicate!$Q$23*Data!$AF153)+P210,(Duplicate!$Q$24*Data!$AF153)+P210)),0)</f>
        <v>5922796</v>
      </c>
      <c r="R210" s="143">
        <f>ROUND(IF($E$31="Yes",IF(Data!$AG153&gt;0,(Duplicate!$R$23*Data!$AG153)+Q210,(Duplicate!$R$24*Data!$AG153)+Q210),IF(Data!$AF153&gt;0,(Duplicate!$R$23*Data!$AF153)+Q210,(Duplicate!$R$24*Data!$AF153)+Q210)),0)</f>
        <v>5883740</v>
      </c>
      <c r="S210" s="143">
        <f>ROUND(IF($E$31="Yes",IF(Data!$AG153&gt;0,(Duplicate!$S$23*Data!$AG153)+R210,(Duplicate!$S$24*Data!$AG153)+R210),IF(Data!$AF153&gt;0,(Duplicate!$S$23*Data!$AF153)+R210,(Duplicate!$S$24*Data!$AF153)+R210)),0)</f>
        <v>5844684</v>
      </c>
      <c r="T210" s="143">
        <v>6181618</v>
      </c>
      <c r="U210" s="143">
        <v>6167048</v>
      </c>
      <c r="V210" s="143">
        <v>6152478</v>
      </c>
      <c r="W210" s="143">
        <v>6137908</v>
      </c>
      <c r="X210" s="143">
        <v>6123338</v>
      </c>
      <c r="Y210" s="143">
        <v>6108768</v>
      </c>
      <c r="Z210" s="143">
        <v>6094198</v>
      </c>
      <c r="AA210" s="143">
        <v>6079628</v>
      </c>
      <c r="AB210" s="143">
        <v>6065058</v>
      </c>
      <c r="AC210" s="129">
        <f t="shared" si="80"/>
        <v>-24486</v>
      </c>
      <c r="AD210" s="129">
        <f t="shared" si="81"/>
        <v>-48972</v>
      </c>
      <c r="AE210" s="129">
        <f t="shared" si="82"/>
        <v>-73458</v>
      </c>
      <c r="AF210" s="129">
        <f t="shared" si="83"/>
        <v>-97944</v>
      </c>
      <c r="AG210" s="129">
        <f t="shared" si="84"/>
        <v>-122430</v>
      </c>
      <c r="AH210" s="129">
        <f t="shared" si="85"/>
        <v>-146916</v>
      </c>
      <c r="AI210" s="129">
        <f t="shared" si="86"/>
        <v>-171402</v>
      </c>
      <c r="AJ210" s="129">
        <f t="shared" si="87"/>
        <v>-195888</v>
      </c>
      <c r="AK210" s="129">
        <f t="shared" si="88"/>
        <v>-220374</v>
      </c>
      <c r="AL210" s="127">
        <f t="shared" si="89"/>
        <v>-3.9610988579364959E-3</v>
      </c>
      <c r="AM210" s="127">
        <f t="shared" si="90"/>
        <v>-7.9409143564311835E-3</v>
      </c>
      <c r="AN210" s="127">
        <f t="shared" si="91"/>
        <v>-1.1939579467004968E-2</v>
      </c>
      <c r="AO210" s="127">
        <f t="shared" si="92"/>
        <v>-1.5957228423756131E-2</v>
      </c>
      <c r="AP210" s="127">
        <f t="shared" si="93"/>
        <v>-1.9993996738380315E-2</v>
      </c>
      <c r="AQ210" s="127">
        <f t="shared" si="94"/>
        <v>-2.4050021215407114E-2</v>
      </c>
      <c r="AR210" s="127">
        <f t="shared" si="95"/>
        <v>-2.8125439967654486E-2</v>
      </c>
      <c r="AS210" s="127">
        <f t="shared" si="96"/>
        <v>-3.2220392431905331E-2</v>
      </c>
      <c r="AT210" s="127">
        <f t="shared" si="97"/>
        <v>-3.6335019384810541E-2</v>
      </c>
    </row>
    <row r="211" spans="1:46" s="18" customFormat="1" ht="13" x14ac:dyDescent="0.15">
      <c r="A211" s="29" t="s">
        <v>152</v>
      </c>
      <c r="B211" s="30">
        <f>IF(Data!D154=1, MAX(Data!AA154, $E$26) + INDEX(Duplicate!$E$39:$E$43, MATCH( Data!AD154, Duplicate!$B$39:$B$43, 0), 0), MAX(Data!AA154, $E$27) +  INDEX(Duplicate!$E$39:$E$43, MATCH( Data!AD154, Duplicate!$B$39:$B$43, 0), 0))</f>
        <v>0.44744</v>
      </c>
      <c r="C211" s="128">
        <f>ROUND(Data!R154/13*100, 2)</f>
        <v>0</v>
      </c>
      <c r="D211" s="141">
        <f>ROUND(Data!Q154*C211, 0)</f>
        <v>0</v>
      </c>
      <c r="E211" s="142">
        <f>ROUND($E$22*Data!W154*B211, 0)</f>
        <v>5387562</v>
      </c>
      <c r="F211" s="143">
        <f>IF(E211=0, 0,IF($E$31="Yes", IF(Data!D154=1, MAX(Duplicate!D211+Duplicate!E211, Data!AE154), Duplicate!D211+Duplicate!E211), Duplicate!D211+Duplicate!E211))</f>
        <v>5387562</v>
      </c>
      <c r="G211" s="143">
        <v>5316051</v>
      </c>
      <c r="H211" s="129">
        <f>F211-Data!AL154</f>
        <v>-93664</v>
      </c>
      <c r="I211" s="127">
        <f>((F211)/(Data!AL154)) - 1</f>
        <v>-1.7088147797591269E-2</v>
      </c>
      <c r="J211" s="127">
        <f t="shared" si="79"/>
        <v>1.3451902549467709E-2</v>
      </c>
      <c r="K211" s="143">
        <f>ROUND(IF($E$31="Yes",IF(Data!AG154&gt;0,(Duplicate!$K$23*Data!AG154)+Data!AI154,(Duplicate!$K$24*Data!AG154)+Data!AI154),IF(Data!AF154&gt;0,(Duplicate!$K$23*Data!AF154)+Data!AI154,(Duplicate!$K$24*Data!AF154)+Data!AI154)),0)</f>
        <v>5506062</v>
      </c>
      <c r="L211" s="143">
        <f>ROUND(IF($E$31="Yes",IF(Data!$AG154&gt;0,(Duplicate!$L$23*Data!$AG154)+K211,(Duplicate!$L$24*Data!$AG154)+K211),IF(Data!$AF154&gt;0,(Duplicate!$L$23*Data!$AF154)+K211,(Duplicate!$L$24*Data!$AF154)+K211)),0)</f>
        <v>5486299</v>
      </c>
      <c r="M211" s="143">
        <f>ROUND(IF($E$31="Yes",IF(Data!$AG154&gt;0,(Duplicate!$M$23*Data!$AG154)+L211,(Duplicate!$M$24*Data!$AG154)+L211),IF(Data!$AF154&gt;0,(Duplicate!$M$23*Data!$AF154)+L211,(Duplicate!$M$24*Data!$AF154)+L211)),0)</f>
        <v>5466536</v>
      </c>
      <c r="N211" s="143">
        <f>ROUND(IF($E$31="Yes",IF(Data!$AG154&gt;0,(Duplicate!$N$23*Data!$AG154)+M211,(Duplicate!$N$24*Data!$AG154)+M211),IF(Data!$AF154&gt;0,(Duplicate!$N$23*Data!$AF154)+M211,(Duplicate!$N$24*Data!$AF154)+M211)),0)</f>
        <v>5446773</v>
      </c>
      <c r="O211" s="143">
        <f>ROUND(IF($E$31="Yes",IF(Data!$AG154&gt;0,(Duplicate!$O$23*Data!$AG154)+N211,(Duplicate!$O$24*Data!$AG154)+N211),IF(Data!$AF154&gt;0,(Duplicate!$O$23*Data!$AF154)+N211,(Duplicate!$O$24*Data!$AF154)+N211)),0)</f>
        <v>5427010</v>
      </c>
      <c r="P211" s="143">
        <f>ROUND(IF($E$31="Yes",IF(Data!$AG154&gt;0,(Duplicate!$P$23*Data!$AG154)+O211,(Duplicate!$P$24*Data!$AG154)+O211),IF(Data!$AF154&gt;0,(Duplicate!$P$23*Data!$AF154)+O211,(Duplicate!$P$24*Data!$AF154)+O211)),0)</f>
        <v>5407247</v>
      </c>
      <c r="Q211" s="143">
        <f>ROUND(IF($E$31="Yes",IF(Data!$AG154&gt;0,(Duplicate!$Q$23*Data!$AG154)+P211,(Duplicate!$Q$24*Data!$AG154)+P211),IF(Data!$AF154&gt;0,(Duplicate!$Q$23*Data!$AF154)+P211,(Duplicate!$Q$24*Data!$AF154)+P211)),0)</f>
        <v>5387484</v>
      </c>
      <c r="R211" s="143">
        <f>ROUND(IF($E$31="Yes",IF(Data!$AG154&gt;0,(Duplicate!$R$23*Data!$AG154)+Q211,(Duplicate!$R$24*Data!$AG154)+Q211),IF(Data!$AF154&gt;0,(Duplicate!$R$23*Data!$AF154)+Q211,(Duplicate!$R$24*Data!$AF154)+Q211)),0)</f>
        <v>5367721</v>
      </c>
      <c r="S211" s="143">
        <f>ROUND(IF($E$31="Yes",IF(Data!$AG154&gt;0,(Duplicate!$S$23*Data!$AG154)+R211,(Duplicate!$S$24*Data!$AG154)+R211),IF(Data!$AF154&gt;0,(Duplicate!$S$23*Data!$AF154)+R211,(Duplicate!$S$24*Data!$AF154)+R211)),0)</f>
        <v>5347958</v>
      </c>
      <c r="T211" s="143">
        <v>5500105</v>
      </c>
      <c r="U211" s="143">
        <v>5474385</v>
      </c>
      <c r="V211" s="143">
        <v>5448665</v>
      </c>
      <c r="W211" s="143">
        <v>5422945</v>
      </c>
      <c r="X211" s="143">
        <v>5397225</v>
      </c>
      <c r="Y211" s="143">
        <v>5371505</v>
      </c>
      <c r="Z211" s="143">
        <v>5345785</v>
      </c>
      <c r="AA211" s="143">
        <v>5320065</v>
      </c>
      <c r="AB211" s="143">
        <v>5294345</v>
      </c>
      <c r="AC211" s="129">
        <f t="shared" si="80"/>
        <v>5957</v>
      </c>
      <c r="AD211" s="129">
        <f t="shared" si="81"/>
        <v>11914</v>
      </c>
      <c r="AE211" s="129">
        <f t="shared" si="82"/>
        <v>17871</v>
      </c>
      <c r="AF211" s="129">
        <f t="shared" si="83"/>
        <v>23828</v>
      </c>
      <c r="AG211" s="129">
        <f t="shared" si="84"/>
        <v>29785</v>
      </c>
      <c r="AH211" s="129">
        <f t="shared" si="85"/>
        <v>35742</v>
      </c>
      <c r="AI211" s="129">
        <f t="shared" si="86"/>
        <v>41699</v>
      </c>
      <c r="AJ211" s="129">
        <f t="shared" si="87"/>
        <v>47656</v>
      </c>
      <c r="AK211" s="129">
        <f t="shared" si="88"/>
        <v>53613</v>
      </c>
      <c r="AL211" s="127">
        <f t="shared" si="89"/>
        <v>1.0830702322954799E-3</v>
      </c>
      <c r="AM211" s="127">
        <f t="shared" si="90"/>
        <v>2.1763175224249753E-3</v>
      </c>
      <c r="AN211" s="127">
        <f t="shared" si="91"/>
        <v>3.279885990421505E-3</v>
      </c>
      <c r="AO211" s="127">
        <f t="shared" si="92"/>
        <v>4.3939224904550045E-3</v>
      </c>
      <c r="AP211" s="127">
        <f t="shared" si="93"/>
        <v>5.5185766759771049E-3</v>
      </c>
      <c r="AQ211" s="127">
        <f t="shared" si="94"/>
        <v>6.6540010667401894E-3</v>
      </c>
      <c r="AR211" s="127">
        <f t="shared" si="95"/>
        <v>7.8003511177497931E-3</v>
      </c>
      <c r="AS211" s="127">
        <f t="shared" si="96"/>
        <v>8.9577852902174016E-3</v>
      </c>
      <c r="AT211" s="127">
        <f t="shared" si="97"/>
        <v>1.012646512458093E-2</v>
      </c>
    </row>
    <row r="212" spans="1:46" s="18" customFormat="1" ht="13" x14ac:dyDescent="0.15">
      <c r="A212" s="29" t="s">
        <v>153</v>
      </c>
      <c r="B212" s="30">
        <f>IF(Data!D155=1, MAX(Data!AA155, $E$26) + INDEX(Duplicate!$E$39:$E$43, MATCH( Data!AD155, Duplicate!$B$39:$B$43, 0), 0), MAX(Data!AA155, $E$27) +  INDEX(Duplicate!$E$39:$E$43, MATCH( Data!AD155, Duplicate!$B$39:$B$43, 0), 0))</f>
        <v>0.39975100000000002</v>
      </c>
      <c r="C212" s="128">
        <f>ROUND(Data!R155/13*100, 2)</f>
        <v>0</v>
      </c>
      <c r="D212" s="141">
        <f>ROUND(Data!Q155*C212, 0)</f>
        <v>0</v>
      </c>
      <c r="E212" s="142">
        <f>ROUND($E$22*Data!W155*B212, 0)</f>
        <v>5204767</v>
      </c>
      <c r="F212" s="143">
        <f>IF(E212=0, 0,IF($E$31="Yes", IF(Data!D155=1, MAX(Duplicate!D212+Duplicate!E212, Data!AE155), Duplicate!D212+Duplicate!E212), Duplicate!D212+Duplicate!E212))</f>
        <v>7534704</v>
      </c>
      <c r="G212" s="143">
        <v>7534704</v>
      </c>
      <c r="H212" s="129">
        <f>F212-Data!AL155</f>
        <v>0</v>
      </c>
      <c r="I212" s="127">
        <f>((F212)/(Data!AL155)) - 1</f>
        <v>0</v>
      </c>
      <c r="J212" s="127">
        <f t="shared" si="79"/>
        <v>0</v>
      </c>
      <c r="K212" s="143">
        <f>ROUND(IF($E$31="Yes",IF(Data!AG155&gt;0,(Duplicate!$K$23*Data!AG155)+Data!AI155,(Duplicate!$K$24*Data!AG155)+Data!AI155),IF(Data!AF155&gt;0,(Duplicate!$K$23*Data!AF155)+Data!AI155,(Duplicate!$K$24*Data!AF155)+Data!AI155)),0)</f>
        <v>7534704</v>
      </c>
      <c r="L212" s="143">
        <f>ROUND(IF($E$31="Yes",IF(Data!$AG155&gt;0,(Duplicate!$L$23*Data!$AG155)+K212,(Duplicate!$L$24*Data!$AG155)+K212),IF(Data!$AF155&gt;0,(Duplicate!$L$23*Data!$AF155)+K212,(Duplicate!$L$24*Data!$AF155)+K212)),0)</f>
        <v>7534704</v>
      </c>
      <c r="M212" s="143">
        <f>ROUND(IF($E$31="Yes",IF(Data!$AG155&gt;0,(Duplicate!$M$23*Data!$AG155)+L212,(Duplicate!$M$24*Data!$AG155)+L212),IF(Data!$AF155&gt;0,(Duplicate!$M$23*Data!$AF155)+L212,(Duplicate!$M$24*Data!$AF155)+L212)),0)</f>
        <v>7534704</v>
      </c>
      <c r="N212" s="143">
        <f>ROUND(IF($E$31="Yes",IF(Data!$AG155&gt;0,(Duplicate!$N$23*Data!$AG155)+M212,(Duplicate!$N$24*Data!$AG155)+M212),IF(Data!$AF155&gt;0,(Duplicate!$N$23*Data!$AF155)+M212,(Duplicate!$N$24*Data!$AF155)+M212)),0)</f>
        <v>7534704</v>
      </c>
      <c r="O212" s="143">
        <f>ROUND(IF($E$31="Yes",IF(Data!$AG155&gt;0,(Duplicate!$O$23*Data!$AG155)+N212,(Duplicate!$O$24*Data!$AG155)+N212),IF(Data!$AF155&gt;0,(Duplicate!$O$23*Data!$AF155)+N212,(Duplicate!$O$24*Data!$AF155)+N212)),0)</f>
        <v>7534704</v>
      </c>
      <c r="P212" s="143">
        <f>ROUND(IF($E$31="Yes",IF(Data!$AG155&gt;0,(Duplicate!$P$23*Data!$AG155)+O212,(Duplicate!$P$24*Data!$AG155)+O212),IF(Data!$AF155&gt;0,(Duplicate!$P$23*Data!$AF155)+O212,(Duplicate!$P$24*Data!$AF155)+O212)),0)</f>
        <v>7534704</v>
      </c>
      <c r="Q212" s="143">
        <f>ROUND(IF($E$31="Yes",IF(Data!$AG155&gt;0,(Duplicate!$Q$23*Data!$AG155)+P212,(Duplicate!$Q$24*Data!$AG155)+P212),IF(Data!$AF155&gt;0,(Duplicate!$Q$23*Data!$AF155)+P212,(Duplicate!$Q$24*Data!$AF155)+P212)),0)</f>
        <v>7534704</v>
      </c>
      <c r="R212" s="143">
        <f>ROUND(IF($E$31="Yes",IF(Data!$AG155&gt;0,(Duplicate!$R$23*Data!$AG155)+Q212,(Duplicate!$R$24*Data!$AG155)+Q212),IF(Data!$AF155&gt;0,(Duplicate!$R$23*Data!$AF155)+Q212,(Duplicate!$R$24*Data!$AF155)+Q212)),0)</f>
        <v>7534704</v>
      </c>
      <c r="S212" s="143">
        <f>ROUND(IF($E$31="Yes",IF(Data!$AG155&gt;0,(Duplicate!$S$23*Data!$AG155)+R212,(Duplicate!$S$24*Data!$AG155)+R212),IF(Data!$AF155&gt;0,(Duplicate!$S$23*Data!$AF155)+R212,(Duplicate!$S$24*Data!$AF155)+R212)),0)</f>
        <v>7534704</v>
      </c>
      <c r="T212" s="143">
        <v>7534704</v>
      </c>
      <c r="U212" s="143">
        <v>7534704</v>
      </c>
      <c r="V212" s="143">
        <v>7534704</v>
      </c>
      <c r="W212" s="143">
        <v>7534704</v>
      </c>
      <c r="X212" s="143">
        <v>7534704</v>
      </c>
      <c r="Y212" s="143">
        <v>7534704</v>
      </c>
      <c r="Z212" s="143">
        <v>7534704</v>
      </c>
      <c r="AA212" s="143">
        <v>7534704</v>
      </c>
      <c r="AB212" s="143">
        <v>7534704</v>
      </c>
      <c r="AC212" s="129">
        <f t="shared" si="80"/>
        <v>0</v>
      </c>
      <c r="AD212" s="129">
        <f t="shared" si="81"/>
        <v>0</v>
      </c>
      <c r="AE212" s="129">
        <f t="shared" si="82"/>
        <v>0</v>
      </c>
      <c r="AF212" s="129">
        <f t="shared" si="83"/>
        <v>0</v>
      </c>
      <c r="AG212" s="129">
        <f t="shared" si="84"/>
        <v>0</v>
      </c>
      <c r="AH212" s="129">
        <f t="shared" si="85"/>
        <v>0</v>
      </c>
      <c r="AI212" s="129">
        <f t="shared" si="86"/>
        <v>0</v>
      </c>
      <c r="AJ212" s="129">
        <f t="shared" si="87"/>
        <v>0</v>
      </c>
      <c r="AK212" s="129">
        <f t="shared" si="88"/>
        <v>0</v>
      </c>
      <c r="AL212" s="127">
        <f t="shared" si="89"/>
        <v>0</v>
      </c>
      <c r="AM212" s="127">
        <f t="shared" si="90"/>
        <v>0</v>
      </c>
      <c r="AN212" s="127">
        <f t="shared" si="91"/>
        <v>0</v>
      </c>
      <c r="AO212" s="127">
        <f t="shared" si="92"/>
        <v>0</v>
      </c>
      <c r="AP212" s="127">
        <f t="shared" si="93"/>
        <v>0</v>
      </c>
      <c r="AQ212" s="127">
        <f t="shared" si="94"/>
        <v>0</v>
      </c>
      <c r="AR212" s="127">
        <f t="shared" si="95"/>
        <v>0</v>
      </c>
      <c r="AS212" s="127">
        <f t="shared" si="96"/>
        <v>0</v>
      </c>
      <c r="AT212" s="127">
        <f t="shared" si="97"/>
        <v>0</v>
      </c>
    </row>
    <row r="213" spans="1:46" s="18" customFormat="1" ht="13" x14ac:dyDescent="0.15">
      <c r="A213" s="29" t="s">
        <v>154</v>
      </c>
      <c r="B213" s="30">
        <f>IF(Data!D156=1, MAX(Data!AA156, $E$26) + INDEX(Duplicate!$E$39:$E$43, MATCH( Data!AD156, Duplicate!$B$39:$B$43, 0), 0), MAX(Data!AA156, $E$27) +  INDEX(Duplicate!$E$39:$E$43, MATCH( Data!AD156, Duplicate!$B$39:$B$43, 0), 0))</f>
        <v>0.24820999999999999</v>
      </c>
      <c r="C213" s="128">
        <f>ROUND(Data!R156/13*100, 2)</f>
        <v>0</v>
      </c>
      <c r="D213" s="141">
        <f>ROUND(Data!Q156*C213, 0)</f>
        <v>0</v>
      </c>
      <c r="E213" s="142">
        <f>ROUND($E$22*Data!W156*B213, 0)</f>
        <v>6931054</v>
      </c>
      <c r="F213" s="143">
        <f>IF(E213=0, 0,IF($E$31="Yes", IF(Data!D156=1, MAX(Duplicate!D213+Duplicate!E213, Data!AE156), Duplicate!D213+Duplicate!E213), Duplicate!D213+Duplicate!E213))</f>
        <v>6931054</v>
      </c>
      <c r="G213" s="143">
        <v>7085775</v>
      </c>
      <c r="H213" s="129">
        <f>F213-Data!AL156</f>
        <v>-2174474</v>
      </c>
      <c r="I213" s="127">
        <f>((F213)/(Data!AL156)) - 1</f>
        <v>-0.23880811744250308</v>
      </c>
      <c r="J213" s="127">
        <f t="shared" si="79"/>
        <v>-2.1835437901993826E-2</v>
      </c>
      <c r="K213" s="143">
        <f>ROUND(IF($E$31="Yes",IF(Data!AG156&gt;0,(Duplicate!$K$23*Data!AG156)+Data!AI156,(Duplicate!$K$24*Data!AG156)+Data!AI156),IF(Data!AF156&gt;0,(Duplicate!$K$23*Data!AF156)+Data!AI156,(Duplicate!$K$24*Data!AF156)+Data!AI156)),0)</f>
        <v>9422948</v>
      </c>
      <c r="L213" s="143">
        <f>ROUND(IF($E$31="Yes",IF(Data!$AG156&gt;0,(Duplicate!$L$23*Data!$AG156)+K213,(Duplicate!$L$24*Data!$AG156)+K213),IF(Data!$AF156&gt;0,(Duplicate!$L$23*Data!$AF156)+K213,(Duplicate!$L$24*Data!$AF156)+K213)),0)</f>
        <v>9109063</v>
      </c>
      <c r="M213" s="143">
        <f>ROUND(IF($E$31="Yes",IF(Data!$AG156&gt;0,(Duplicate!$M$23*Data!$AG156)+L213,(Duplicate!$M$24*Data!$AG156)+L213),IF(Data!$AF156&gt;0,(Duplicate!$M$23*Data!$AF156)+L213,(Duplicate!$M$24*Data!$AF156)+L213)),0)</f>
        <v>8795178</v>
      </c>
      <c r="N213" s="143">
        <f>ROUND(IF($E$31="Yes",IF(Data!$AG156&gt;0,(Duplicate!$N$23*Data!$AG156)+M213,(Duplicate!$N$24*Data!$AG156)+M213),IF(Data!$AF156&gt;0,(Duplicate!$N$23*Data!$AF156)+M213,(Duplicate!$N$24*Data!$AF156)+M213)),0)</f>
        <v>8481293</v>
      </c>
      <c r="O213" s="143">
        <f>ROUND(IF($E$31="Yes",IF(Data!$AG156&gt;0,(Duplicate!$O$23*Data!$AG156)+N213,(Duplicate!$O$24*Data!$AG156)+N213),IF(Data!$AF156&gt;0,(Duplicate!$O$23*Data!$AF156)+N213,(Duplicate!$O$24*Data!$AF156)+N213)),0)</f>
        <v>8167408</v>
      </c>
      <c r="P213" s="143">
        <f>ROUND(IF($E$31="Yes",IF(Data!$AG156&gt;0,(Duplicate!$P$23*Data!$AG156)+O213,(Duplicate!$P$24*Data!$AG156)+O213),IF(Data!$AF156&gt;0,(Duplicate!$P$23*Data!$AF156)+O213,(Duplicate!$P$24*Data!$AF156)+O213)),0)</f>
        <v>7853523</v>
      </c>
      <c r="Q213" s="143">
        <f>ROUND(IF($E$31="Yes",IF(Data!$AG156&gt;0,(Duplicate!$Q$23*Data!$AG156)+P213,(Duplicate!$Q$24*Data!$AG156)+P213),IF(Data!$AF156&gt;0,(Duplicate!$Q$23*Data!$AF156)+P213,(Duplicate!$Q$24*Data!$AF156)+P213)),0)</f>
        <v>7539638</v>
      </c>
      <c r="R213" s="143">
        <f>ROUND(IF($E$31="Yes",IF(Data!$AG156&gt;0,(Duplicate!$R$23*Data!$AG156)+Q213,(Duplicate!$R$24*Data!$AG156)+Q213),IF(Data!$AF156&gt;0,(Duplicate!$R$23*Data!$AF156)+Q213,(Duplicate!$R$24*Data!$AF156)+Q213)),0)</f>
        <v>7225753</v>
      </c>
      <c r="S213" s="143">
        <f>ROUND(IF($E$31="Yes",IF(Data!$AG156&gt;0,(Duplicate!$S$23*Data!$AG156)+R213,(Duplicate!$S$24*Data!$AG156)+R213),IF(Data!$AF156&gt;0,(Duplicate!$S$23*Data!$AF156)+R213,(Duplicate!$S$24*Data!$AF156)+R213)),0)</f>
        <v>6911868</v>
      </c>
      <c r="T213" s="143">
        <v>9435837</v>
      </c>
      <c r="U213" s="143">
        <v>9134841</v>
      </c>
      <c r="V213" s="143">
        <v>8833845</v>
      </c>
      <c r="W213" s="143">
        <v>8532849</v>
      </c>
      <c r="X213" s="143">
        <v>8231853</v>
      </c>
      <c r="Y213" s="143">
        <v>7930857</v>
      </c>
      <c r="Z213" s="143">
        <v>7629861</v>
      </c>
      <c r="AA213" s="143">
        <v>7328865</v>
      </c>
      <c r="AB213" s="143">
        <v>7027869</v>
      </c>
      <c r="AC213" s="129">
        <f t="shared" si="80"/>
        <v>-12889</v>
      </c>
      <c r="AD213" s="129">
        <f t="shared" si="81"/>
        <v>-25778</v>
      </c>
      <c r="AE213" s="129">
        <f t="shared" si="82"/>
        <v>-38667</v>
      </c>
      <c r="AF213" s="129">
        <f t="shared" si="83"/>
        <v>-51556</v>
      </c>
      <c r="AG213" s="129">
        <f t="shared" si="84"/>
        <v>-64445</v>
      </c>
      <c r="AH213" s="129">
        <f t="shared" si="85"/>
        <v>-77334</v>
      </c>
      <c r="AI213" s="129">
        <f t="shared" si="86"/>
        <v>-90223</v>
      </c>
      <c r="AJ213" s="129">
        <f t="shared" si="87"/>
        <v>-103112</v>
      </c>
      <c r="AK213" s="129">
        <f t="shared" si="88"/>
        <v>-116001</v>
      </c>
      <c r="AL213" s="127">
        <f t="shared" si="89"/>
        <v>-1.3659625531895481E-3</v>
      </c>
      <c r="AM213" s="127">
        <f t="shared" si="90"/>
        <v>-2.8219429325589962E-3</v>
      </c>
      <c r="AN213" s="127">
        <f t="shared" si="91"/>
        <v>-4.3771426824898985E-3</v>
      </c>
      <c r="AO213" s="127">
        <f t="shared" si="92"/>
        <v>-6.0420616842041808E-3</v>
      </c>
      <c r="AP213" s="127">
        <f t="shared" si="93"/>
        <v>-7.8287355228524591E-3</v>
      </c>
      <c r="AQ213" s="127">
        <f t="shared" si="94"/>
        <v>-9.7510269066760635E-3</v>
      </c>
      <c r="AR213" s="127">
        <f t="shared" si="95"/>
        <v>-1.1824986064621568E-2</v>
      </c>
      <c r="AS213" s="127">
        <f t="shared" si="96"/>
        <v>-1.4069299952994108E-2</v>
      </c>
      <c r="AT213" s="127">
        <f t="shared" si="97"/>
        <v>-1.6505856896308124E-2</v>
      </c>
    </row>
    <row r="214" spans="1:46" s="18" customFormat="1" ht="13" x14ac:dyDescent="0.15">
      <c r="A214" s="29" t="s">
        <v>155</v>
      </c>
      <c r="B214" s="30">
        <f>IF(Data!D157=1, MAX(Data!AA157, $E$26) + INDEX(Duplicate!$E$39:$E$43, MATCH( Data!AD157, Duplicate!$B$39:$B$43, 0), 0), MAX(Data!AA157, $E$27) +  INDEX(Duplicate!$E$39:$E$43, MATCH( Data!AD157, Duplicate!$B$39:$B$43, 0), 0))</f>
        <v>0.574604</v>
      </c>
      <c r="C214" s="128">
        <f>ROUND(Data!R157/13*100, 2)</f>
        <v>0</v>
      </c>
      <c r="D214" s="141">
        <f>ROUND(Data!Q157*C214, 0)</f>
        <v>0</v>
      </c>
      <c r="E214" s="142">
        <f>ROUND($E$22*Data!W157*B214, 0)</f>
        <v>32883299</v>
      </c>
      <c r="F214" s="143">
        <f>IF(E214=0, 0,IF($E$31="Yes", IF(Data!D157=1, MAX(Duplicate!D214+Duplicate!E214, Data!AE157), Duplicate!D214+Duplicate!E214), Duplicate!D214+Duplicate!E214))</f>
        <v>32883299</v>
      </c>
      <c r="G214" s="143">
        <v>34064520</v>
      </c>
      <c r="H214" s="129">
        <f>F214-Data!AL157</f>
        <v>5925129</v>
      </c>
      <c r="I214" s="127">
        <f>((F214)/(Data!AL157)) - 1</f>
        <v>0.21978973350194031</v>
      </c>
      <c r="J214" s="127">
        <f t="shared" si="79"/>
        <v>-3.4675991324698008E-2</v>
      </c>
      <c r="K214" s="143">
        <f>ROUND(IF($E$31="Yes",IF(Data!AG157&gt;0,(Duplicate!$K$23*Data!AG157)+Data!AI157,(Duplicate!$K$24*Data!AG157)+Data!AI157),IF(Data!AF157&gt;0,(Duplicate!$K$23*Data!AF157)+Data!AI157,(Duplicate!$K$24*Data!AF157)+Data!AI157)),0)</f>
        <v>25733205</v>
      </c>
      <c r="L214" s="143">
        <f>ROUND(IF($E$31="Yes",IF(Data!$AG157&gt;0,(Duplicate!$L$23*Data!$AG157)+K214,(Duplicate!$L$24*Data!$AG157)+K214),IF(Data!$AF157&gt;0,(Duplicate!$L$23*Data!$AF157)+K214,(Duplicate!$L$24*Data!$AF157)+K214)),0)</f>
        <v>26628691</v>
      </c>
      <c r="M214" s="143">
        <f>ROUND(IF($E$31="Yes",IF(Data!$AG157&gt;0,(Duplicate!$M$23*Data!$AG157)+L214,(Duplicate!$M$24*Data!$AG157)+L214),IF(Data!$AF157&gt;0,(Duplicate!$M$23*Data!$AF157)+L214,(Duplicate!$M$24*Data!$AF157)+L214)),0)</f>
        <v>27524177</v>
      </c>
      <c r="N214" s="143">
        <f>ROUND(IF($E$31="Yes",IF(Data!$AG157&gt;0,(Duplicate!$N$23*Data!$AG157)+M214,(Duplicate!$N$24*Data!$AG157)+M214),IF(Data!$AF157&gt;0,(Duplicate!$N$23*Data!$AF157)+M214,(Duplicate!$N$24*Data!$AF157)+M214)),0)</f>
        <v>28419663</v>
      </c>
      <c r="O214" s="143">
        <f>ROUND(IF($E$31="Yes",IF(Data!$AG157&gt;0,(Duplicate!$O$23*Data!$AG157)+N214,(Duplicate!$O$24*Data!$AG157)+N214),IF(Data!$AF157&gt;0,(Duplicate!$O$23*Data!$AF157)+N214,(Duplicate!$O$24*Data!$AF157)+N214)),0)</f>
        <v>29315149</v>
      </c>
      <c r="P214" s="143">
        <f>ROUND(IF($E$31="Yes",IF(Data!$AG157&gt;0,(Duplicate!$P$23*Data!$AG157)+O214,(Duplicate!$P$24*Data!$AG157)+O214),IF(Data!$AF157&gt;0,(Duplicate!$P$23*Data!$AF157)+O214,(Duplicate!$P$24*Data!$AF157)+O214)),0)</f>
        <v>30210635</v>
      </c>
      <c r="Q214" s="143">
        <f>ROUND(IF($E$31="Yes",IF(Data!$AG157&gt;0,(Duplicate!$Q$23*Data!$AG157)+P214,(Duplicate!$Q$24*Data!$AG157)+P214),IF(Data!$AF157&gt;0,(Duplicate!$Q$23*Data!$AF157)+P214,(Duplicate!$Q$24*Data!$AF157)+P214)),0)</f>
        <v>31106121</v>
      </c>
      <c r="R214" s="143">
        <f>ROUND(IF($E$31="Yes",IF(Data!$AG157&gt;0,(Duplicate!$R$23*Data!$AG157)+Q214,(Duplicate!$R$24*Data!$AG157)+Q214),IF(Data!$AF157&gt;0,(Duplicate!$R$23*Data!$AF157)+Q214,(Duplicate!$R$24*Data!$AF157)+Q214)),0)</f>
        <v>32001607</v>
      </c>
      <c r="S214" s="143">
        <f>ROUND(IF($E$31="Yes",IF(Data!$AG157&gt;0,(Duplicate!$S$23*Data!$AG157)+R214,(Duplicate!$S$24*Data!$AG157)+R214),IF(Data!$AF157&gt;0,(Duplicate!$S$23*Data!$AF157)+R214,(Duplicate!$S$24*Data!$AF157)+R214)),0)</f>
        <v>32897093</v>
      </c>
      <c r="T214" s="143">
        <v>25859123</v>
      </c>
      <c r="U214" s="143">
        <v>26880527</v>
      </c>
      <c r="V214" s="143">
        <v>27901931</v>
      </c>
      <c r="W214" s="143">
        <v>28923335</v>
      </c>
      <c r="X214" s="143">
        <v>29944739</v>
      </c>
      <c r="Y214" s="143">
        <v>30966143</v>
      </c>
      <c r="Z214" s="143">
        <v>31987547</v>
      </c>
      <c r="AA214" s="143">
        <v>33008951</v>
      </c>
      <c r="AB214" s="143">
        <v>34030355</v>
      </c>
      <c r="AC214" s="129">
        <f t="shared" si="80"/>
        <v>-125918</v>
      </c>
      <c r="AD214" s="129">
        <f t="shared" si="81"/>
        <v>-251836</v>
      </c>
      <c r="AE214" s="129">
        <f t="shared" si="82"/>
        <v>-377754</v>
      </c>
      <c r="AF214" s="129">
        <f t="shared" si="83"/>
        <v>-503672</v>
      </c>
      <c r="AG214" s="129">
        <f t="shared" si="84"/>
        <v>-629590</v>
      </c>
      <c r="AH214" s="129">
        <f t="shared" si="85"/>
        <v>-755508</v>
      </c>
      <c r="AI214" s="129">
        <f t="shared" si="86"/>
        <v>-881426</v>
      </c>
      <c r="AJ214" s="129">
        <f t="shared" si="87"/>
        <v>-1007344</v>
      </c>
      <c r="AK214" s="129">
        <f t="shared" si="88"/>
        <v>-1133262</v>
      </c>
      <c r="AL214" s="127">
        <f t="shared" si="89"/>
        <v>-4.8693840081119877E-3</v>
      </c>
      <c r="AM214" s="127">
        <f t="shared" si="90"/>
        <v>-9.3687151297293658E-3</v>
      </c>
      <c r="AN214" s="127">
        <f t="shared" si="91"/>
        <v>-1.3538632863797084E-2</v>
      </c>
      <c r="AO214" s="127">
        <f t="shared" si="92"/>
        <v>-1.7414036106140562E-2</v>
      </c>
      <c r="AP214" s="127">
        <f t="shared" si="93"/>
        <v>-2.1025062198738786E-2</v>
      </c>
      <c r="AQ214" s="127">
        <f t="shared" si="94"/>
        <v>-2.439787221805445E-2</v>
      </c>
      <c r="AR214" s="127">
        <f t="shared" si="95"/>
        <v>-2.7555285811694197E-2</v>
      </c>
      <c r="AS214" s="127">
        <f t="shared" si="96"/>
        <v>-3.0517298171638396E-2</v>
      </c>
      <c r="AT214" s="127">
        <f t="shared" si="97"/>
        <v>-3.330150390732034E-2</v>
      </c>
    </row>
    <row r="215" spans="1:46" s="18" customFormat="1" ht="13" x14ac:dyDescent="0.15">
      <c r="A215" s="29" t="s">
        <v>156</v>
      </c>
      <c r="B215" s="30">
        <f>IF(Data!D158=1, MAX(Data!AA158, $E$26) + INDEX(Duplicate!$E$39:$E$43, MATCH( Data!AD158, Duplicate!$B$39:$B$43, 0), 0), MAX(Data!AA158, $E$27) +  INDEX(Duplicate!$E$39:$E$43, MATCH( Data!AD158, Duplicate!$B$39:$B$43, 0), 0))</f>
        <v>0.01</v>
      </c>
      <c r="C215" s="128">
        <f>ROUND(Data!R158/13*100, 2)</f>
        <v>0</v>
      </c>
      <c r="D215" s="141">
        <f>ROUND(Data!Q158*C215, 0)</f>
        <v>0</v>
      </c>
      <c r="E215" s="142">
        <f>ROUND($E$22*Data!W158*B215, 0)</f>
        <v>806636</v>
      </c>
      <c r="F215" s="143">
        <f>IF(E215=0, 0,IF($E$31="Yes", IF(Data!D158=1, MAX(Duplicate!D215+Duplicate!E215, Data!AE158), Duplicate!D215+Duplicate!E215), Duplicate!D215+Duplicate!E215))</f>
        <v>806636</v>
      </c>
      <c r="G215" s="143">
        <v>795915</v>
      </c>
      <c r="H215" s="129">
        <f>F215-Data!AL158</f>
        <v>-1516905</v>
      </c>
      <c r="I215" s="127">
        <f>((F215)/(Data!AL158)) - 1</f>
        <v>-0.65284193392756995</v>
      </c>
      <c r="J215" s="127">
        <f t="shared" si="79"/>
        <v>1.3470031347568412E-2</v>
      </c>
      <c r="K215" s="143">
        <f>ROUND(IF($E$31="Yes",IF(Data!AG158&gt;0,(Duplicate!$K$23*Data!AG158)+Data!AI158,(Duplicate!$K$24*Data!AG158)+Data!AI158),IF(Data!AF158&gt;0,(Duplicate!$K$23*Data!AF158)+Data!AI158,(Duplicate!$K$24*Data!AF158)+Data!AI158)),0)</f>
        <v>2541731</v>
      </c>
      <c r="L215" s="143">
        <f>ROUND(IF($E$31="Yes",IF(Data!$AG158&gt;0,(Duplicate!$L$23*Data!$AG158)+K215,(Duplicate!$L$24*Data!$AG158)+K215),IF(Data!$AF158&gt;0,(Duplicate!$L$23*Data!$AF158)+K215,(Duplicate!$L$24*Data!$AF158)+K215)),0)</f>
        <v>2324171</v>
      </c>
      <c r="M215" s="143">
        <f>ROUND(IF($E$31="Yes",IF(Data!$AG158&gt;0,(Duplicate!$M$23*Data!$AG158)+L215,(Duplicate!$M$24*Data!$AG158)+L215),IF(Data!$AF158&gt;0,(Duplicate!$M$23*Data!$AF158)+L215,(Duplicate!$M$24*Data!$AF158)+L215)),0)</f>
        <v>2106611</v>
      </c>
      <c r="N215" s="143">
        <f>ROUND(IF($E$31="Yes",IF(Data!$AG158&gt;0,(Duplicate!$N$23*Data!$AG158)+M215,(Duplicate!$N$24*Data!$AG158)+M215),IF(Data!$AF158&gt;0,(Duplicate!$N$23*Data!$AF158)+M215,(Duplicate!$N$24*Data!$AF158)+M215)),0)</f>
        <v>1889051</v>
      </c>
      <c r="O215" s="143">
        <f>ROUND(IF($E$31="Yes",IF(Data!$AG158&gt;0,(Duplicate!$O$23*Data!$AG158)+N215,(Duplicate!$O$24*Data!$AG158)+N215),IF(Data!$AF158&gt;0,(Duplicate!$O$23*Data!$AF158)+N215,(Duplicate!$O$24*Data!$AF158)+N215)),0)</f>
        <v>1671491</v>
      </c>
      <c r="P215" s="143">
        <f>ROUND(IF($E$31="Yes",IF(Data!$AG158&gt;0,(Duplicate!$P$23*Data!$AG158)+O215,(Duplicate!$P$24*Data!$AG158)+O215),IF(Data!$AF158&gt;0,(Duplicate!$P$23*Data!$AF158)+O215,(Duplicate!$P$24*Data!$AF158)+O215)),0)</f>
        <v>1453931</v>
      </c>
      <c r="Q215" s="143">
        <f>ROUND(IF($E$31="Yes",IF(Data!$AG158&gt;0,(Duplicate!$Q$23*Data!$AG158)+P215,(Duplicate!$Q$24*Data!$AG158)+P215),IF(Data!$AF158&gt;0,(Duplicate!$Q$23*Data!$AF158)+P215,(Duplicate!$Q$24*Data!$AF158)+P215)),0)</f>
        <v>1236371</v>
      </c>
      <c r="R215" s="143">
        <f>ROUND(IF($E$31="Yes",IF(Data!$AG158&gt;0,(Duplicate!$R$23*Data!$AG158)+Q215,(Duplicate!$R$24*Data!$AG158)+Q215),IF(Data!$AF158&gt;0,(Duplicate!$R$23*Data!$AF158)+Q215,(Duplicate!$R$24*Data!$AF158)+Q215)),0)</f>
        <v>1018811</v>
      </c>
      <c r="S215" s="143">
        <f>ROUND(IF($E$31="Yes",IF(Data!$AG158&gt;0,(Duplicate!$S$23*Data!$AG158)+R215,(Duplicate!$S$24*Data!$AG158)+R215),IF(Data!$AF158&gt;0,(Duplicate!$S$23*Data!$AF158)+R215,(Duplicate!$S$24*Data!$AF158)+R215)),0)</f>
        <v>801251</v>
      </c>
      <c r="T215" s="143">
        <v>2540838</v>
      </c>
      <c r="U215" s="143">
        <v>2322385</v>
      </c>
      <c r="V215" s="143">
        <v>2103932</v>
      </c>
      <c r="W215" s="143">
        <v>1885479</v>
      </c>
      <c r="X215" s="143">
        <v>1667026</v>
      </c>
      <c r="Y215" s="143">
        <v>1448573</v>
      </c>
      <c r="Z215" s="143">
        <v>1230120</v>
      </c>
      <c r="AA215" s="143">
        <v>1011667</v>
      </c>
      <c r="AB215" s="143">
        <v>793214</v>
      </c>
      <c r="AC215" s="129">
        <f t="shared" si="80"/>
        <v>893</v>
      </c>
      <c r="AD215" s="129">
        <f t="shared" si="81"/>
        <v>1786</v>
      </c>
      <c r="AE215" s="129">
        <f t="shared" si="82"/>
        <v>2679</v>
      </c>
      <c r="AF215" s="129">
        <f t="shared" si="83"/>
        <v>3572</v>
      </c>
      <c r="AG215" s="129">
        <f t="shared" si="84"/>
        <v>4465</v>
      </c>
      <c r="AH215" s="129">
        <f t="shared" si="85"/>
        <v>5358</v>
      </c>
      <c r="AI215" s="129">
        <f t="shared" si="86"/>
        <v>6251</v>
      </c>
      <c r="AJ215" s="129">
        <f t="shared" si="87"/>
        <v>7144</v>
      </c>
      <c r="AK215" s="129">
        <f t="shared" si="88"/>
        <v>8037</v>
      </c>
      <c r="AL215" s="127">
        <f t="shared" si="89"/>
        <v>3.514588494031301E-4</v>
      </c>
      <c r="AM215" s="127">
        <f t="shared" si="90"/>
        <v>7.6903700290875676E-4</v>
      </c>
      <c r="AN215" s="127">
        <f t="shared" si="91"/>
        <v>1.273330126638994E-3</v>
      </c>
      <c r="AO215" s="127">
        <f t="shared" si="92"/>
        <v>1.8944788035295534E-3</v>
      </c>
      <c r="AP215" s="127">
        <f t="shared" si="93"/>
        <v>2.6784225321021538E-3</v>
      </c>
      <c r="AQ215" s="127">
        <f t="shared" si="94"/>
        <v>3.6988125555288409E-3</v>
      </c>
      <c r="AR215" s="127">
        <f t="shared" si="95"/>
        <v>5.0816180535231403E-3</v>
      </c>
      <c r="AS215" s="127">
        <f t="shared" si="96"/>
        <v>7.0616121708031443E-3</v>
      </c>
      <c r="AT215" s="127">
        <f t="shared" si="97"/>
        <v>1.0132196355586265E-2</v>
      </c>
    </row>
    <row r="216" spans="1:46" s="18" customFormat="1" ht="13" x14ac:dyDescent="0.15">
      <c r="A216" s="29" t="s">
        <v>157</v>
      </c>
      <c r="B216" s="30">
        <f>IF(Data!D159=1, MAX(Data!AA159, $E$26) + INDEX(Duplicate!$E$39:$E$43, MATCH( Data!AD159, Duplicate!$B$39:$B$43, 0), 0), MAX(Data!AA159, $E$27) +  INDEX(Duplicate!$E$39:$E$43, MATCH( Data!AD159, Duplicate!$B$39:$B$43, 0), 0))</f>
        <v>0.221803</v>
      </c>
      <c r="C216" s="128">
        <f>ROUND(Data!R159/13*100, 2)</f>
        <v>0</v>
      </c>
      <c r="D216" s="141">
        <f>ROUND(Data!Q159*C216, 0)</f>
        <v>0</v>
      </c>
      <c r="E216" s="142">
        <f>ROUND($E$22*Data!W159*B216, 0)</f>
        <v>208925</v>
      </c>
      <c r="F216" s="143">
        <f>IF(E216=0, 0,IF($E$31="Yes", IF(Data!D159=1, MAX(Duplicate!D216+Duplicate!E216, Data!AE159), Duplicate!D216+Duplicate!E216), Duplicate!D216+Duplicate!E216))</f>
        <v>208925</v>
      </c>
      <c r="G216" s="143">
        <v>204432</v>
      </c>
      <c r="H216" s="129">
        <f>F216-Data!AL159</f>
        <v>-2803</v>
      </c>
      <c r="I216" s="127">
        <f>((F216)/(Data!AL159)) - 1</f>
        <v>-1.3238683594045231E-2</v>
      </c>
      <c r="J216" s="127">
        <f t="shared" si="79"/>
        <v>2.1977968224152766E-2</v>
      </c>
      <c r="K216" s="143">
        <f>ROUND(IF($E$31="Yes",IF(Data!AG159&gt;0,(Duplicate!$K$23*Data!AG159)+Data!AI159,(Duplicate!$K$24*Data!AG159)+Data!AI159),IF(Data!AF159&gt;0,(Duplicate!$K$23*Data!AF159)+Data!AI159,(Duplicate!$K$24*Data!AF159)+Data!AI159)),0)</f>
        <v>219602</v>
      </c>
      <c r="L216" s="143">
        <f>ROUND(IF($E$31="Yes",IF(Data!$AG159&gt;0,(Duplicate!$L$23*Data!$AG159)+K216,(Duplicate!$L$24*Data!$AG159)+K216),IF(Data!$AF159&gt;0,(Duplicate!$L$23*Data!$AF159)+K216,(Duplicate!$L$24*Data!$AF159)+K216)),0)</f>
        <v>218382</v>
      </c>
      <c r="M216" s="143">
        <f>ROUND(IF($E$31="Yes",IF(Data!$AG159&gt;0,(Duplicate!$M$23*Data!$AG159)+L216,(Duplicate!$M$24*Data!$AG159)+L216),IF(Data!$AF159&gt;0,(Duplicate!$M$23*Data!$AF159)+L216,(Duplicate!$M$24*Data!$AF159)+L216)),0)</f>
        <v>217162</v>
      </c>
      <c r="N216" s="143">
        <f>ROUND(IF($E$31="Yes",IF(Data!$AG159&gt;0,(Duplicate!$N$23*Data!$AG159)+M216,(Duplicate!$N$24*Data!$AG159)+M216),IF(Data!$AF159&gt;0,(Duplicate!$N$23*Data!$AF159)+M216,(Duplicate!$N$24*Data!$AF159)+M216)),0)</f>
        <v>215942</v>
      </c>
      <c r="O216" s="143">
        <f>ROUND(IF($E$31="Yes",IF(Data!$AG159&gt;0,(Duplicate!$O$23*Data!$AG159)+N216,(Duplicate!$O$24*Data!$AG159)+N216),IF(Data!$AF159&gt;0,(Duplicate!$O$23*Data!$AF159)+N216,(Duplicate!$O$24*Data!$AF159)+N216)),0)</f>
        <v>214722</v>
      </c>
      <c r="P216" s="143">
        <f>ROUND(IF($E$31="Yes",IF(Data!$AG159&gt;0,(Duplicate!$P$23*Data!$AG159)+O216,(Duplicate!$P$24*Data!$AG159)+O216),IF(Data!$AF159&gt;0,(Duplicate!$P$23*Data!$AF159)+O216,(Duplicate!$P$24*Data!$AF159)+O216)),0)</f>
        <v>213502</v>
      </c>
      <c r="Q216" s="143">
        <f>ROUND(IF($E$31="Yes",IF(Data!$AG159&gt;0,(Duplicate!$Q$23*Data!$AG159)+P216,(Duplicate!$Q$24*Data!$AG159)+P216),IF(Data!$AF159&gt;0,(Duplicate!$Q$23*Data!$AF159)+P216,(Duplicate!$Q$24*Data!$AF159)+P216)),0)</f>
        <v>212282</v>
      </c>
      <c r="R216" s="143">
        <f>ROUND(IF($E$31="Yes",IF(Data!$AG159&gt;0,(Duplicate!$R$23*Data!$AG159)+Q216,(Duplicate!$R$24*Data!$AG159)+Q216),IF(Data!$AF159&gt;0,(Duplicate!$R$23*Data!$AF159)+Q216,(Duplicate!$R$24*Data!$AF159)+Q216)),0)</f>
        <v>211062</v>
      </c>
      <c r="S216" s="143">
        <f>ROUND(IF($E$31="Yes",IF(Data!$AG159&gt;0,(Duplicate!$S$23*Data!$AG159)+R216,(Duplicate!$S$24*Data!$AG159)+R216),IF(Data!$AF159&gt;0,(Duplicate!$S$23*Data!$AF159)+R216,(Duplicate!$S$24*Data!$AF159)+R216)),0)</f>
        <v>209842</v>
      </c>
      <c r="T216" s="143">
        <v>218095</v>
      </c>
      <c r="U216" s="143">
        <v>215368</v>
      </c>
      <c r="V216" s="143">
        <v>212641</v>
      </c>
      <c r="W216" s="143">
        <v>209914</v>
      </c>
      <c r="X216" s="143">
        <v>207187</v>
      </c>
      <c r="Y216" s="143">
        <v>204460</v>
      </c>
      <c r="Z216" s="143">
        <v>201733</v>
      </c>
      <c r="AA216" s="143">
        <v>199006</v>
      </c>
      <c r="AB216" s="143">
        <v>196279</v>
      </c>
      <c r="AC216" s="129">
        <f t="shared" si="80"/>
        <v>1507</v>
      </c>
      <c r="AD216" s="129">
        <f t="shared" si="81"/>
        <v>3014</v>
      </c>
      <c r="AE216" s="129">
        <f t="shared" si="82"/>
        <v>4521</v>
      </c>
      <c r="AF216" s="129">
        <f t="shared" si="83"/>
        <v>6028</v>
      </c>
      <c r="AG216" s="129">
        <f t="shared" si="84"/>
        <v>7535</v>
      </c>
      <c r="AH216" s="129">
        <f t="shared" si="85"/>
        <v>9042</v>
      </c>
      <c r="AI216" s="129">
        <f t="shared" si="86"/>
        <v>10549</v>
      </c>
      <c r="AJ216" s="129">
        <f t="shared" si="87"/>
        <v>12056</v>
      </c>
      <c r="AK216" s="129">
        <f t="shared" si="88"/>
        <v>13563</v>
      </c>
      <c r="AL216" s="127">
        <f t="shared" si="89"/>
        <v>6.9098328709966683E-3</v>
      </c>
      <c r="AM216" s="127">
        <f t="shared" si="90"/>
        <v>1.3994651015935444E-2</v>
      </c>
      <c r="AN216" s="127">
        <f t="shared" si="91"/>
        <v>2.1261186694945922E-2</v>
      </c>
      <c r="AO216" s="127">
        <f t="shared" si="92"/>
        <v>2.8716522004249345E-2</v>
      </c>
      <c r="AP216" s="127">
        <f t="shared" si="93"/>
        <v>3.6368111898912536E-2</v>
      </c>
      <c r="AQ216" s="127">
        <f t="shared" si="94"/>
        <v>4.4223809058006491E-2</v>
      </c>
      <c r="AR216" s="127">
        <f t="shared" si="95"/>
        <v>5.2291890766508198E-2</v>
      </c>
      <c r="AS216" s="127">
        <f t="shared" si="96"/>
        <v>6.05810880073967E-2</v>
      </c>
      <c r="AT216" s="127">
        <f t="shared" si="97"/>
        <v>6.910061697889236E-2</v>
      </c>
    </row>
    <row r="217" spans="1:46" s="18" customFormat="1" ht="13" x14ac:dyDescent="0.15">
      <c r="A217" s="29" t="s">
        <v>158</v>
      </c>
      <c r="B217" s="30">
        <f>IF(Data!D160=1, MAX(Data!AA160, $E$26) + INDEX(Duplicate!$E$39:$E$43, MATCH( Data!AD160, Duplicate!$B$39:$B$43, 0), 0), MAX(Data!AA160, $E$27) +  INDEX(Duplicate!$E$39:$E$43, MATCH( Data!AD160, Duplicate!$B$39:$B$43, 0), 0))</f>
        <v>0.52666299999999999</v>
      </c>
      <c r="C217" s="128">
        <f>ROUND(Data!R160/13*100, 2)</f>
        <v>0</v>
      </c>
      <c r="D217" s="141">
        <f>ROUND(Data!Q160*C217, 0)</f>
        <v>0</v>
      </c>
      <c r="E217" s="142">
        <f>ROUND($E$22*Data!W160*B217, 0)</f>
        <v>23215494</v>
      </c>
      <c r="F217" s="143">
        <f>IF(E217=0, 0,IF($E$31="Yes", IF(Data!D160=1, MAX(Duplicate!D217+Duplicate!E217, Data!AE160), Duplicate!D217+Duplicate!E217), Duplicate!D217+Duplicate!E217))</f>
        <v>23215494</v>
      </c>
      <c r="G217" s="143">
        <v>23085703</v>
      </c>
      <c r="H217" s="129">
        <f>F217-Data!AL160</f>
        <v>3045405</v>
      </c>
      <c r="I217" s="127">
        <f>((F217)/(Data!AL160)) - 1</f>
        <v>0.15098619545010439</v>
      </c>
      <c r="J217" s="127">
        <f t="shared" si="79"/>
        <v>5.6221376494360875E-3</v>
      </c>
      <c r="K217" s="143">
        <f>ROUND(IF($E$31="Yes",IF(Data!AG160&gt;0,(Duplicate!$K$23*Data!AG160)+Data!AI160,(Duplicate!$K$24*Data!AG160)+Data!AI160),IF(Data!AF160&gt;0,(Duplicate!$K$23*Data!AF160)+Data!AI160,(Duplicate!$K$24*Data!AF160)+Data!AI160)),0)</f>
        <v>19796816</v>
      </c>
      <c r="L217" s="143">
        <f>ROUND(IF($E$31="Yes",IF(Data!$AG160&gt;0,(Duplicate!$L$23*Data!$AG160)+K217,(Duplicate!$L$24*Data!$AG160)+K217),IF(Data!$AF160&gt;0,(Duplicate!$L$23*Data!$AF160)+K217,(Duplicate!$L$24*Data!$AF160)+K217)),0)</f>
        <v>20219513</v>
      </c>
      <c r="M217" s="143">
        <f>ROUND(IF($E$31="Yes",IF(Data!$AG160&gt;0,(Duplicate!$M$23*Data!$AG160)+L217,(Duplicate!$M$24*Data!$AG160)+L217),IF(Data!$AF160&gt;0,(Duplicate!$M$23*Data!$AF160)+L217,(Duplicate!$M$24*Data!$AF160)+L217)),0)</f>
        <v>20642210</v>
      </c>
      <c r="N217" s="143">
        <f>ROUND(IF($E$31="Yes",IF(Data!$AG160&gt;0,(Duplicate!$N$23*Data!$AG160)+M217,(Duplicate!$N$24*Data!$AG160)+M217),IF(Data!$AF160&gt;0,(Duplicate!$N$23*Data!$AF160)+M217,(Duplicate!$N$24*Data!$AF160)+M217)),0)</f>
        <v>21064907</v>
      </c>
      <c r="O217" s="143">
        <f>ROUND(IF($E$31="Yes",IF(Data!$AG160&gt;0,(Duplicate!$O$23*Data!$AG160)+N217,(Duplicate!$O$24*Data!$AG160)+N217),IF(Data!$AF160&gt;0,(Duplicate!$O$23*Data!$AF160)+N217,(Duplicate!$O$24*Data!$AF160)+N217)),0)</f>
        <v>21487604</v>
      </c>
      <c r="P217" s="143">
        <f>ROUND(IF($E$31="Yes",IF(Data!$AG160&gt;0,(Duplicate!$P$23*Data!$AG160)+O217,(Duplicate!$P$24*Data!$AG160)+O217),IF(Data!$AF160&gt;0,(Duplicate!$P$23*Data!$AF160)+O217,(Duplicate!$P$24*Data!$AF160)+O217)),0)</f>
        <v>21910301</v>
      </c>
      <c r="Q217" s="143">
        <f>ROUND(IF($E$31="Yes",IF(Data!$AG160&gt;0,(Duplicate!$Q$23*Data!$AG160)+P217,(Duplicate!$Q$24*Data!$AG160)+P217),IF(Data!$AF160&gt;0,(Duplicate!$Q$23*Data!$AF160)+P217,(Duplicate!$Q$24*Data!$AF160)+P217)),0)</f>
        <v>22332998</v>
      </c>
      <c r="R217" s="143">
        <f>ROUND(IF($E$31="Yes",IF(Data!$AG160&gt;0,(Duplicate!$R$23*Data!$AG160)+Q217,(Duplicate!$R$24*Data!$AG160)+Q217),IF(Data!$AF160&gt;0,(Duplicate!$R$23*Data!$AF160)+Q217,(Duplicate!$R$24*Data!$AF160)+Q217)),0)</f>
        <v>22755695</v>
      </c>
      <c r="S217" s="143">
        <f>ROUND(IF($E$31="Yes",IF(Data!$AG160&gt;0,(Duplicate!$S$23*Data!$AG160)+R217,(Duplicate!$S$24*Data!$AG160)+R217),IF(Data!$AF160&gt;0,(Duplicate!$S$23*Data!$AF160)+R217,(Duplicate!$S$24*Data!$AF160)+R217)),0)</f>
        <v>23178392</v>
      </c>
      <c r="T217" s="143">
        <v>19782981</v>
      </c>
      <c r="U217" s="143">
        <v>20191842</v>
      </c>
      <c r="V217" s="143">
        <v>20600703</v>
      </c>
      <c r="W217" s="143">
        <v>21009564</v>
      </c>
      <c r="X217" s="143">
        <v>21418425</v>
      </c>
      <c r="Y217" s="143">
        <v>21827286</v>
      </c>
      <c r="Z217" s="143">
        <v>22236147</v>
      </c>
      <c r="AA217" s="143">
        <v>22645008</v>
      </c>
      <c r="AB217" s="143">
        <v>23053869</v>
      </c>
      <c r="AC217" s="129">
        <f t="shared" si="80"/>
        <v>13835</v>
      </c>
      <c r="AD217" s="129">
        <f t="shared" si="81"/>
        <v>27671</v>
      </c>
      <c r="AE217" s="129">
        <f t="shared" si="82"/>
        <v>41507</v>
      </c>
      <c r="AF217" s="129">
        <f t="shared" si="83"/>
        <v>55343</v>
      </c>
      <c r="AG217" s="129">
        <f t="shared" si="84"/>
        <v>69179</v>
      </c>
      <c r="AH217" s="129">
        <f t="shared" si="85"/>
        <v>83015</v>
      </c>
      <c r="AI217" s="129">
        <f t="shared" si="86"/>
        <v>96851</v>
      </c>
      <c r="AJ217" s="129">
        <f t="shared" si="87"/>
        <v>110687</v>
      </c>
      <c r="AK217" s="129">
        <f t="shared" si="88"/>
        <v>124523</v>
      </c>
      <c r="AL217" s="127">
        <f t="shared" si="89"/>
        <v>6.9933848695491463E-4</v>
      </c>
      <c r="AM217" s="127">
        <f t="shared" si="90"/>
        <v>1.3704049387865957E-3</v>
      </c>
      <c r="AN217" s="127">
        <f t="shared" si="91"/>
        <v>2.0148341539607539E-3</v>
      </c>
      <c r="AO217" s="127">
        <f t="shared" si="92"/>
        <v>2.634181270967817E-3</v>
      </c>
      <c r="AP217" s="127">
        <f t="shared" si="93"/>
        <v>3.2298826827836802E-3</v>
      </c>
      <c r="AQ217" s="127">
        <f t="shared" si="94"/>
        <v>3.8032671583632105E-3</v>
      </c>
      <c r="AR217" s="127">
        <f t="shared" si="95"/>
        <v>4.3555657371756595E-3</v>
      </c>
      <c r="AS217" s="127">
        <f t="shared" si="96"/>
        <v>4.8879205518497226E-3</v>
      </c>
      <c r="AT217" s="127">
        <f t="shared" si="97"/>
        <v>5.4013927119997973E-3</v>
      </c>
    </row>
    <row r="218" spans="1:46" s="18" customFormat="1" ht="13" x14ac:dyDescent="0.15">
      <c r="A218" s="29" t="s">
        <v>159</v>
      </c>
      <c r="B218" s="30">
        <f>IF(Data!D161=1, MAX(Data!AA161, $E$26) + INDEX(Duplicate!$E$39:$E$43, MATCH( Data!AD161, Duplicate!$B$39:$B$43, 0), 0), MAX(Data!AA161, $E$27) +  INDEX(Duplicate!$E$39:$E$43, MATCH( Data!AD161, Duplicate!$B$39:$B$43, 0), 0))</f>
        <v>0.36616500000000002</v>
      </c>
      <c r="C218" s="128">
        <f>ROUND(Data!R161/13*100, 2)</f>
        <v>0</v>
      </c>
      <c r="D218" s="141">
        <f>ROUND(Data!Q161*C218, 0)</f>
        <v>0</v>
      </c>
      <c r="E218" s="142">
        <f>ROUND($E$22*Data!W161*B218, 0)</f>
        <v>1446254</v>
      </c>
      <c r="F218" s="143">
        <f>IF(E218=0, 0,IF($E$31="Yes", IF(Data!D161=1, MAX(Duplicate!D218+Duplicate!E218, Data!AE161), Duplicate!D218+Duplicate!E218), Duplicate!D218+Duplicate!E218))</f>
        <v>1446254</v>
      </c>
      <c r="G218" s="143">
        <v>1469639</v>
      </c>
      <c r="H218" s="129">
        <f>F218-Data!AL161</f>
        <v>-670989</v>
      </c>
      <c r="I218" s="127">
        <f>((F218)/(Data!AL161)) - 1</f>
        <v>-0.31691638607377615</v>
      </c>
      <c r="J218" s="127">
        <f t="shared" si="79"/>
        <v>-1.5912070923539745E-2</v>
      </c>
      <c r="K218" s="143">
        <f>ROUND(IF($E$31="Yes",IF(Data!AG161&gt;0,(Duplicate!$K$23*Data!AG161)+Data!AI161,(Duplicate!$K$24*Data!AG161)+Data!AI161),IF(Data!AF161&gt;0,(Duplicate!$K$23*Data!AF161)+Data!AI161,(Duplicate!$K$24*Data!AF161)+Data!AI161)),0)</f>
        <v>2206373</v>
      </c>
      <c r="L218" s="143">
        <f>ROUND(IF($E$31="Yes",IF(Data!$AG161&gt;0,(Duplicate!$L$23*Data!$AG161)+K218,(Duplicate!$L$24*Data!$AG161)+K218),IF(Data!$AF161&gt;0,(Duplicate!$L$23*Data!$AF161)+K218,(Duplicate!$L$24*Data!$AF161)+K218)),0)</f>
        <v>2120110</v>
      </c>
      <c r="M218" s="143">
        <f>ROUND(IF($E$31="Yes",IF(Data!$AG161&gt;0,(Duplicate!$M$23*Data!$AG161)+L218,(Duplicate!$M$24*Data!$AG161)+L218),IF(Data!$AF161&gt;0,(Duplicate!$M$23*Data!$AF161)+L218,(Duplicate!$M$24*Data!$AF161)+L218)),0)</f>
        <v>2033847</v>
      </c>
      <c r="N218" s="143">
        <f>ROUND(IF($E$31="Yes",IF(Data!$AG161&gt;0,(Duplicate!$N$23*Data!$AG161)+M218,(Duplicate!$N$24*Data!$AG161)+M218),IF(Data!$AF161&gt;0,(Duplicate!$N$23*Data!$AF161)+M218,(Duplicate!$N$24*Data!$AF161)+M218)),0)</f>
        <v>1947584</v>
      </c>
      <c r="O218" s="143">
        <f>ROUND(IF($E$31="Yes",IF(Data!$AG161&gt;0,(Duplicate!$O$23*Data!$AG161)+N218,(Duplicate!$O$24*Data!$AG161)+N218),IF(Data!$AF161&gt;0,(Duplicate!$O$23*Data!$AF161)+N218,(Duplicate!$O$24*Data!$AF161)+N218)),0)</f>
        <v>1861321</v>
      </c>
      <c r="P218" s="143">
        <f>ROUND(IF($E$31="Yes",IF(Data!$AG161&gt;0,(Duplicate!$P$23*Data!$AG161)+O218,(Duplicate!$P$24*Data!$AG161)+O218),IF(Data!$AF161&gt;0,(Duplicate!$P$23*Data!$AF161)+O218,(Duplicate!$P$24*Data!$AF161)+O218)),0)</f>
        <v>1775058</v>
      </c>
      <c r="Q218" s="143">
        <f>ROUND(IF($E$31="Yes",IF(Data!$AG161&gt;0,(Duplicate!$Q$23*Data!$AG161)+P218,(Duplicate!$Q$24*Data!$AG161)+P218),IF(Data!$AF161&gt;0,(Duplicate!$Q$23*Data!$AF161)+P218,(Duplicate!$Q$24*Data!$AF161)+P218)),0)</f>
        <v>1688795</v>
      </c>
      <c r="R218" s="143">
        <f>ROUND(IF($E$31="Yes",IF(Data!$AG161&gt;0,(Duplicate!$R$23*Data!$AG161)+Q218,(Duplicate!$R$24*Data!$AG161)+Q218),IF(Data!$AF161&gt;0,(Duplicate!$R$23*Data!$AF161)+Q218,(Duplicate!$R$24*Data!$AF161)+Q218)),0)</f>
        <v>1602532</v>
      </c>
      <c r="S218" s="143">
        <f>ROUND(IF($E$31="Yes",IF(Data!$AG161&gt;0,(Duplicate!$S$23*Data!$AG161)+R218,(Duplicate!$S$24*Data!$AG161)+R218),IF(Data!$AF161&gt;0,(Duplicate!$S$23*Data!$AF161)+R218,(Duplicate!$S$24*Data!$AF161)+R218)),0)</f>
        <v>1516269</v>
      </c>
      <c r="T218" s="143">
        <v>2206589</v>
      </c>
      <c r="U218" s="143">
        <v>2120542</v>
      </c>
      <c r="V218" s="143">
        <v>2034495</v>
      </c>
      <c r="W218" s="143">
        <v>1948448</v>
      </c>
      <c r="X218" s="143">
        <v>1862401</v>
      </c>
      <c r="Y218" s="143">
        <v>1776354</v>
      </c>
      <c r="Z218" s="143">
        <v>1690307</v>
      </c>
      <c r="AA218" s="143">
        <v>1604260</v>
      </c>
      <c r="AB218" s="143">
        <v>1518213</v>
      </c>
      <c r="AC218" s="129">
        <f t="shared" si="80"/>
        <v>-216</v>
      </c>
      <c r="AD218" s="129">
        <f t="shared" si="81"/>
        <v>-432</v>
      </c>
      <c r="AE218" s="129">
        <f t="shared" si="82"/>
        <v>-648</v>
      </c>
      <c r="AF218" s="129">
        <f t="shared" si="83"/>
        <v>-864</v>
      </c>
      <c r="AG218" s="129">
        <f t="shared" si="84"/>
        <v>-1080</v>
      </c>
      <c r="AH218" s="129">
        <f t="shared" si="85"/>
        <v>-1296</v>
      </c>
      <c r="AI218" s="129">
        <f t="shared" si="86"/>
        <v>-1512</v>
      </c>
      <c r="AJ218" s="129">
        <f t="shared" si="87"/>
        <v>-1728</v>
      </c>
      <c r="AK218" s="129">
        <f t="shared" si="88"/>
        <v>-1944</v>
      </c>
      <c r="AL218" s="127">
        <f t="shared" si="89"/>
        <v>-9.7888641699905854E-5</v>
      </c>
      <c r="AM218" s="127">
        <f t="shared" si="90"/>
        <v>-2.0372150138969758E-4</v>
      </c>
      <c r="AN218" s="127">
        <f t="shared" si="91"/>
        <v>-3.1850655813847606E-4</v>
      </c>
      <c r="AO218" s="127">
        <f t="shared" si="92"/>
        <v>-4.4342984775580518E-4</v>
      </c>
      <c r="AP218" s="127">
        <f t="shared" si="93"/>
        <v>-5.7989659584589681E-4</v>
      </c>
      <c r="AQ218" s="127">
        <f t="shared" si="94"/>
        <v>-7.2958430583092149E-4</v>
      </c>
      <c r="AR218" s="127">
        <f t="shared" si="95"/>
        <v>-8.9451206201007771E-4</v>
      </c>
      <c r="AS218" s="127">
        <f t="shared" si="96"/>
        <v>-1.0771321356887187E-3</v>
      </c>
      <c r="AT218" s="127">
        <f t="shared" si="97"/>
        <v>-1.2804527427969781E-3</v>
      </c>
    </row>
    <row r="219" spans="1:46" s="18" customFormat="1" ht="13" x14ac:dyDescent="0.15">
      <c r="A219" s="29" t="s">
        <v>160</v>
      </c>
      <c r="B219" s="30">
        <f>IF(Data!D162=1, MAX(Data!AA162, $E$26) + INDEX(Duplicate!$E$39:$E$43, MATCH( Data!AD162, Duplicate!$B$39:$B$43, 0), 0), MAX(Data!AA162, $E$27) +  INDEX(Duplicate!$E$39:$E$43, MATCH( Data!AD162, Duplicate!$B$39:$B$43, 0), 0))</f>
        <v>0.28702</v>
      </c>
      <c r="C219" s="128">
        <f>ROUND(Data!R162/13*100, 2)</f>
        <v>0</v>
      </c>
      <c r="D219" s="141">
        <f>ROUND(Data!Q162*C219, 0)</f>
        <v>0</v>
      </c>
      <c r="E219" s="142">
        <f>ROUND($E$22*Data!W162*B219, 0)</f>
        <v>19973365</v>
      </c>
      <c r="F219" s="143">
        <f>IF(E219=0, 0,IF($E$31="Yes", IF(Data!D162=1, MAX(Duplicate!D219+Duplicate!E219, Data!AE162), Duplicate!D219+Duplicate!E219), Duplicate!D219+Duplicate!E219))</f>
        <v>19973365</v>
      </c>
      <c r="G219" s="143">
        <v>19927598</v>
      </c>
      <c r="H219" s="129">
        <f>F219-Data!AL162</f>
        <v>-882205</v>
      </c>
      <c r="I219" s="127">
        <f>((F219)/(Data!AL162)) - 1</f>
        <v>-4.230068993559033E-2</v>
      </c>
      <c r="J219" s="127">
        <f t="shared" si="79"/>
        <v>2.2966641539035049E-3</v>
      </c>
      <c r="K219" s="143">
        <f>ROUND(IF($E$31="Yes",IF(Data!AG162&gt;0,(Duplicate!$K$23*Data!AG162)+Data!AI162,(Duplicate!$K$24*Data!AG162)+Data!AI162),IF(Data!AF162&gt;0,(Duplicate!$K$23*Data!AF162)+Data!AI162,(Duplicate!$K$24*Data!AF162)+Data!AI162)),0)</f>
        <v>20925725</v>
      </c>
      <c r="L219" s="143">
        <f>ROUND(IF($E$31="Yes",IF(Data!$AG162&gt;0,(Duplicate!$L$23*Data!$AG162)+K219,(Duplicate!$L$24*Data!$AG162)+K219),IF(Data!$AF162&gt;0,(Duplicate!$L$23*Data!$AF162)+K219,(Duplicate!$L$24*Data!$AF162)+K219)),0)</f>
        <v>20815090</v>
      </c>
      <c r="M219" s="143">
        <f>ROUND(IF($E$31="Yes",IF(Data!$AG162&gt;0,(Duplicate!$M$23*Data!$AG162)+L219,(Duplicate!$M$24*Data!$AG162)+L219),IF(Data!$AF162&gt;0,(Duplicate!$M$23*Data!$AF162)+L219,(Duplicate!$M$24*Data!$AF162)+L219)),0)</f>
        <v>20704455</v>
      </c>
      <c r="N219" s="143">
        <f>ROUND(IF($E$31="Yes",IF(Data!$AG162&gt;0,(Duplicate!$N$23*Data!$AG162)+M219,(Duplicate!$N$24*Data!$AG162)+M219),IF(Data!$AF162&gt;0,(Duplicate!$N$23*Data!$AF162)+M219,(Duplicate!$N$24*Data!$AF162)+M219)),0)</f>
        <v>20593820</v>
      </c>
      <c r="O219" s="143">
        <f>ROUND(IF($E$31="Yes",IF(Data!$AG162&gt;0,(Duplicate!$O$23*Data!$AG162)+N219,(Duplicate!$O$24*Data!$AG162)+N219),IF(Data!$AF162&gt;0,(Duplicate!$O$23*Data!$AF162)+N219,(Duplicate!$O$24*Data!$AF162)+N219)),0)</f>
        <v>20483185</v>
      </c>
      <c r="P219" s="143">
        <f>ROUND(IF($E$31="Yes",IF(Data!$AG162&gt;0,(Duplicate!$P$23*Data!$AG162)+O219,(Duplicate!$P$24*Data!$AG162)+O219),IF(Data!$AF162&gt;0,(Duplicate!$P$23*Data!$AF162)+O219,(Duplicate!$P$24*Data!$AF162)+O219)),0)</f>
        <v>20372550</v>
      </c>
      <c r="Q219" s="143">
        <f>ROUND(IF($E$31="Yes",IF(Data!$AG162&gt;0,(Duplicate!$Q$23*Data!$AG162)+P219,(Duplicate!$Q$24*Data!$AG162)+P219),IF(Data!$AF162&gt;0,(Duplicate!$Q$23*Data!$AF162)+P219,(Duplicate!$Q$24*Data!$AF162)+P219)),0)</f>
        <v>20261915</v>
      </c>
      <c r="R219" s="143">
        <f>ROUND(IF($E$31="Yes",IF(Data!$AG162&gt;0,(Duplicate!$R$23*Data!$AG162)+Q219,(Duplicate!$R$24*Data!$AG162)+Q219),IF(Data!$AF162&gt;0,(Duplicate!$R$23*Data!$AF162)+Q219,(Duplicate!$R$24*Data!$AF162)+Q219)),0)</f>
        <v>20151280</v>
      </c>
      <c r="S219" s="143">
        <f>ROUND(IF($E$31="Yes",IF(Data!$AG162&gt;0,(Duplicate!$S$23*Data!$AG162)+R219,(Duplicate!$S$24*Data!$AG162)+R219),IF(Data!$AF162&gt;0,(Duplicate!$S$23*Data!$AF162)+R219,(Duplicate!$S$24*Data!$AF162)+R219)),0)</f>
        <v>20040645</v>
      </c>
      <c r="T219" s="143">
        <v>20921913</v>
      </c>
      <c r="U219" s="143">
        <v>20807465</v>
      </c>
      <c r="V219" s="143">
        <v>20693017</v>
      </c>
      <c r="W219" s="143">
        <v>20578569</v>
      </c>
      <c r="X219" s="143">
        <v>20464121</v>
      </c>
      <c r="Y219" s="143">
        <v>20349673</v>
      </c>
      <c r="Z219" s="143">
        <v>20235225</v>
      </c>
      <c r="AA219" s="143">
        <v>20120777</v>
      </c>
      <c r="AB219" s="143">
        <v>20006329</v>
      </c>
      <c r="AC219" s="129">
        <f t="shared" si="80"/>
        <v>3812</v>
      </c>
      <c r="AD219" s="129">
        <f t="shared" si="81"/>
        <v>7625</v>
      </c>
      <c r="AE219" s="129">
        <f t="shared" si="82"/>
        <v>11438</v>
      </c>
      <c r="AF219" s="129">
        <f t="shared" si="83"/>
        <v>15251</v>
      </c>
      <c r="AG219" s="129">
        <f t="shared" si="84"/>
        <v>19064</v>
      </c>
      <c r="AH219" s="129">
        <f t="shared" si="85"/>
        <v>22877</v>
      </c>
      <c r="AI219" s="129">
        <f t="shared" si="86"/>
        <v>26690</v>
      </c>
      <c r="AJ219" s="129">
        <f t="shared" si="87"/>
        <v>30503</v>
      </c>
      <c r="AK219" s="129">
        <f t="shared" si="88"/>
        <v>34316</v>
      </c>
      <c r="AL219" s="127">
        <f t="shared" si="89"/>
        <v>1.8220131208845913E-4</v>
      </c>
      <c r="AM219" s="127">
        <f t="shared" si="90"/>
        <v>3.664550198689831E-4</v>
      </c>
      <c r="AN219" s="127">
        <f t="shared" si="91"/>
        <v>5.5274685175188409E-4</v>
      </c>
      <c r="AO219" s="127">
        <f t="shared" si="92"/>
        <v>7.4111081290451075E-4</v>
      </c>
      <c r="AP219" s="127">
        <f t="shared" si="93"/>
        <v>9.3158166920526142E-4</v>
      </c>
      <c r="AQ219" s="127">
        <f t="shared" si="94"/>
        <v>1.1241949686366937E-3</v>
      </c>
      <c r="AR219" s="127">
        <f t="shared" si="95"/>
        <v>1.3189870634005008E-3</v>
      </c>
      <c r="AS219" s="127">
        <f t="shared" si="96"/>
        <v>1.5159951327923249E-3</v>
      </c>
      <c r="AT219" s="127">
        <f t="shared" si="97"/>
        <v>1.715257206856835E-3</v>
      </c>
    </row>
    <row r="220" spans="1:46" s="18" customFormat="1" ht="13" x14ac:dyDescent="0.15">
      <c r="A220" s="29" t="s">
        <v>161</v>
      </c>
      <c r="B220" s="30">
        <f>IF(Data!D163=1, MAX(Data!AA163, $E$26) + INDEX(Duplicate!$E$39:$E$43, MATCH( Data!AD163, Duplicate!$B$39:$B$43, 0), 0), MAX(Data!AA163, $E$27) +  INDEX(Duplicate!$E$39:$E$43, MATCH( Data!AD163, Duplicate!$B$39:$B$43, 0), 0))</f>
        <v>0.01</v>
      </c>
      <c r="C220" s="128">
        <f>ROUND(Data!R163/13*100, 2)</f>
        <v>100</v>
      </c>
      <c r="D220" s="141">
        <f>ROUND(Data!Q163*C220, 0)</f>
        <v>12100</v>
      </c>
      <c r="E220" s="142">
        <f>ROUND($E$22*Data!W163*B220, 0)</f>
        <v>14692</v>
      </c>
      <c r="F220" s="143">
        <f>IF(E220=0, 0,IF($E$31="Yes", IF(Data!D163=1, MAX(Duplicate!D220+Duplicate!E220, Data!AE163), Duplicate!D220+Duplicate!E220), Duplicate!D220+Duplicate!E220))</f>
        <v>26792</v>
      </c>
      <c r="G220" s="143">
        <v>30875</v>
      </c>
      <c r="H220" s="129">
        <f>F220-Data!AL163</f>
        <v>-5323</v>
      </c>
      <c r="I220" s="127">
        <f>((F220)/(Data!AL163)) - 1</f>
        <v>-0.16574809279153047</v>
      </c>
      <c r="J220" s="127">
        <f t="shared" si="79"/>
        <v>-0.13224291497975704</v>
      </c>
      <c r="K220" s="143">
        <f>ROUND(IF($E$31="Yes",IF(Data!AG163&gt;0,(Duplicate!$K$23*Data!AG163)+Data!AI163,(Duplicate!$K$24*Data!AG163)+Data!AI163),IF(Data!AF163&gt;0,(Duplicate!$K$23*Data!AF163)+Data!AI163,(Duplicate!$K$24*Data!AF163)+Data!AI163)),0)</f>
        <v>47305</v>
      </c>
      <c r="L220" s="143">
        <f>ROUND(IF($E$31="Yes",IF(Data!$AG163&gt;0,(Duplicate!$L$23*Data!$AG163)+K220,(Duplicate!$L$24*Data!$AG163)+K220),IF(Data!$AF163&gt;0,(Duplicate!$L$23*Data!$AF163)+K220,(Duplicate!$L$24*Data!$AF163)+K220)),0)</f>
        <v>62100</v>
      </c>
      <c r="M220" s="143">
        <f>ROUND(IF($E$31="Yes",IF(Data!$AG163&gt;0,(Duplicate!$M$23*Data!$AG163)+L220,(Duplicate!$M$24*Data!$AG163)+L220),IF(Data!$AF163&gt;0,(Duplicate!$M$23*Data!$AF163)+L220,(Duplicate!$M$24*Data!$AF163)+L220)),0)</f>
        <v>76895</v>
      </c>
      <c r="N220" s="143">
        <f>ROUND(IF($E$31="Yes",IF(Data!$AG163&gt;0,(Duplicate!$N$23*Data!$AG163)+M220,(Duplicate!$N$24*Data!$AG163)+M220),IF(Data!$AF163&gt;0,(Duplicate!$N$23*Data!$AF163)+M220,(Duplicate!$N$24*Data!$AF163)+M220)),0)</f>
        <v>91690</v>
      </c>
      <c r="O220" s="143">
        <f>ROUND(IF($E$31="Yes",IF(Data!$AG163&gt;0,(Duplicate!$O$23*Data!$AG163)+N220,(Duplicate!$O$24*Data!$AG163)+N220),IF(Data!$AF163&gt;0,(Duplicate!$O$23*Data!$AF163)+N220,(Duplicate!$O$24*Data!$AF163)+N220)),0)</f>
        <v>106485</v>
      </c>
      <c r="P220" s="143">
        <f>ROUND(IF($E$31="Yes",IF(Data!$AG163&gt;0,(Duplicate!$P$23*Data!$AG163)+O220,(Duplicate!$P$24*Data!$AG163)+O220),IF(Data!$AF163&gt;0,(Duplicate!$P$23*Data!$AF163)+O220,(Duplicate!$P$24*Data!$AF163)+O220)),0)</f>
        <v>121280</v>
      </c>
      <c r="Q220" s="143">
        <f>ROUND(IF($E$31="Yes",IF(Data!$AG163&gt;0,(Duplicate!$Q$23*Data!$AG163)+P220,(Duplicate!$Q$24*Data!$AG163)+P220),IF(Data!$AF163&gt;0,(Duplicate!$Q$23*Data!$AF163)+P220,(Duplicate!$Q$24*Data!$AF163)+P220)),0)</f>
        <v>136075</v>
      </c>
      <c r="R220" s="143">
        <f>ROUND(IF($E$31="Yes",IF(Data!$AG163&gt;0,(Duplicate!$R$23*Data!$AG163)+Q220,(Duplicate!$R$24*Data!$AG163)+Q220),IF(Data!$AF163&gt;0,(Duplicate!$R$23*Data!$AF163)+Q220,(Duplicate!$R$24*Data!$AF163)+Q220)),0)</f>
        <v>150870</v>
      </c>
      <c r="S220" s="143">
        <f>ROUND(IF($E$31="Yes",IF(Data!$AG163&gt;0,(Duplicate!$S$23*Data!$AG163)+R220,(Duplicate!$S$24*Data!$AG163)+R220),IF(Data!$AF163&gt;0,(Duplicate!$S$23*Data!$AF163)+R220,(Duplicate!$S$24*Data!$AF163)+R220)),0)</f>
        <v>165665</v>
      </c>
      <c r="T220" s="143">
        <v>32317</v>
      </c>
      <c r="U220" s="143">
        <v>32123</v>
      </c>
      <c r="V220" s="143">
        <v>31929</v>
      </c>
      <c r="W220" s="143">
        <v>31735</v>
      </c>
      <c r="X220" s="143">
        <v>31541</v>
      </c>
      <c r="Y220" s="143">
        <v>31347</v>
      </c>
      <c r="Z220" s="143">
        <v>31153</v>
      </c>
      <c r="AA220" s="143">
        <v>30959</v>
      </c>
      <c r="AB220" s="143">
        <v>30765</v>
      </c>
      <c r="AC220" s="129">
        <f t="shared" si="80"/>
        <v>14988</v>
      </c>
      <c r="AD220" s="129">
        <f t="shared" si="81"/>
        <v>29977</v>
      </c>
      <c r="AE220" s="129">
        <f t="shared" si="82"/>
        <v>44966</v>
      </c>
      <c r="AF220" s="129">
        <f t="shared" si="83"/>
        <v>59955</v>
      </c>
      <c r="AG220" s="129">
        <f t="shared" si="84"/>
        <v>74944</v>
      </c>
      <c r="AH220" s="129">
        <f t="shared" si="85"/>
        <v>89933</v>
      </c>
      <c r="AI220" s="129">
        <f t="shared" si="86"/>
        <v>104922</v>
      </c>
      <c r="AJ220" s="129">
        <f t="shared" si="87"/>
        <v>119911</v>
      </c>
      <c r="AK220" s="129">
        <f t="shared" si="88"/>
        <v>134900</v>
      </c>
      <c r="AL220" s="127">
        <f t="shared" si="89"/>
        <v>0.46378067271095702</v>
      </c>
      <c r="AM220" s="127">
        <f t="shared" si="90"/>
        <v>0.93319428446907193</v>
      </c>
      <c r="AN220" s="127">
        <f t="shared" si="91"/>
        <v>1.4083121926775033</v>
      </c>
      <c r="AO220" s="127">
        <f t="shared" si="92"/>
        <v>1.8892390105561683</v>
      </c>
      <c r="AP220" s="127">
        <f t="shared" si="93"/>
        <v>2.3760819251133447</v>
      </c>
      <c r="AQ220" s="127">
        <f t="shared" si="94"/>
        <v>2.8689507767888474</v>
      </c>
      <c r="AR220" s="127">
        <f t="shared" si="95"/>
        <v>3.3679581420729949</v>
      </c>
      <c r="AS220" s="127">
        <f t="shared" si="96"/>
        <v>3.8732194192318872</v>
      </c>
      <c r="AT220" s="127">
        <f t="shared" si="97"/>
        <v>4.3848529172761257</v>
      </c>
    </row>
    <row r="221" spans="1:46" s="18" customFormat="1" ht="13" x14ac:dyDescent="0.15">
      <c r="A221" s="29" t="s">
        <v>162</v>
      </c>
      <c r="B221" s="30">
        <f>IF(Data!D164=1, MAX(Data!AA164, $E$26) + INDEX(Duplicate!$E$39:$E$43, MATCH( Data!AD164, Duplicate!$B$39:$B$43, 0), 0), MAX(Data!AA164, $E$27) +  INDEX(Duplicate!$E$39:$E$43, MATCH( Data!AD164, Duplicate!$B$39:$B$43, 0), 0))</f>
        <v>0.01</v>
      </c>
      <c r="C221" s="128">
        <f>ROUND(Data!R164/13*100, 2)</f>
        <v>100</v>
      </c>
      <c r="D221" s="141">
        <f>ROUND(Data!Q164*C221, 0)</f>
        <v>25700</v>
      </c>
      <c r="E221" s="142">
        <f>ROUND($E$22*Data!W164*B221, 0)</f>
        <v>32299</v>
      </c>
      <c r="F221" s="143">
        <f>IF(E221=0, 0,IF($E$31="Yes", IF(Data!D164=1, MAX(Duplicate!D221+Duplicate!E221, Data!AE164), Duplicate!D221+Duplicate!E221), Duplicate!D221+Duplicate!E221))</f>
        <v>57999</v>
      </c>
      <c r="G221" s="143">
        <v>59443</v>
      </c>
      <c r="H221" s="129">
        <f>F221-Data!AL164</f>
        <v>4992</v>
      </c>
      <c r="I221" s="127">
        <f>((F221)/(Data!AL164)) - 1</f>
        <v>9.4176240873846906E-2</v>
      </c>
      <c r="J221" s="127">
        <f t="shared" si="79"/>
        <v>-2.4292179062294972E-2</v>
      </c>
      <c r="K221" s="143">
        <f>ROUND(IF($E$31="Yes",IF(Data!AG164&gt;0,(Duplicate!$K$23*Data!AG164)+Data!AI164,(Duplicate!$K$24*Data!AG164)+Data!AI164),IF(Data!AF164&gt;0,(Duplicate!$K$23*Data!AF164)+Data!AI164,(Duplicate!$K$24*Data!AF164)+Data!AI164)),0)</f>
        <v>84712</v>
      </c>
      <c r="L221" s="143">
        <f>ROUND(IF($E$31="Yes",IF(Data!$AG164&gt;0,(Duplicate!$L$23*Data!$AG164)+K221,(Duplicate!$L$24*Data!$AG164)+K221),IF(Data!$AF164&gt;0,(Duplicate!$L$23*Data!$AF164)+K221,(Duplicate!$L$24*Data!$AF164)+K221)),0)</f>
        <v>118371</v>
      </c>
      <c r="M221" s="143">
        <f>ROUND(IF($E$31="Yes",IF(Data!$AG164&gt;0,(Duplicate!$M$23*Data!$AG164)+L221,(Duplicate!$M$24*Data!$AG164)+L221),IF(Data!$AF164&gt;0,(Duplicate!$M$23*Data!$AF164)+L221,(Duplicate!$M$24*Data!$AF164)+L221)),0)</f>
        <v>152030</v>
      </c>
      <c r="N221" s="143">
        <f>ROUND(IF($E$31="Yes",IF(Data!$AG164&gt;0,(Duplicate!$N$23*Data!$AG164)+M221,(Duplicate!$N$24*Data!$AG164)+M221),IF(Data!$AF164&gt;0,(Duplicate!$N$23*Data!$AF164)+M221,(Duplicate!$N$24*Data!$AF164)+M221)),0)</f>
        <v>185689</v>
      </c>
      <c r="O221" s="143">
        <f>ROUND(IF($E$31="Yes",IF(Data!$AG164&gt;0,(Duplicate!$O$23*Data!$AG164)+N221,(Duplicate!$O$24*Data!$AG164)+N221),IF(Data!$AF164&gt;0,(Duplicate!$O$23*Data!$AF164)+N221,(Duplicate!$O$24*Data!$AF164)+N221)),0)</f>
        <v>219348</v>
      </c>
      <c r="P221" s="143">
        <f>ROUND(IF($E$31="Yes",IF(Data!$AG164&gt;0,(Duplicate!$P$23*Data!$AG164)+O221,(Duplicate!$P$24*Data!$AG164)+O221),IF(Data!$AF164&gt;0,(Duplicate!$P$23*Data!$AF164)+O221,(Duplicate!$P$24*Data!$AF164)+O221)),0)</f>
        <v>253007</v>
      </c>
      <c r="Q221" s="143">
        <f>ROUND(IF($E$31="Yes",IF(Data!$AG164&gt;0,(Duplicate!$Q$23*Data!$AG164)+P221,(Duplicate!$Q$24*Data!$AG164)+P221),IF(Data!$AF164&gt;0,(Duplicate!$Q$23*Data!$AF164)+P221,(Duplicate!$Q$24*Data!$AF164)+P221)),0)</f>
        <v>286666</v>
      </c>
      <c r="R221" s="143">
        <f>ROUND(IF($E$31="Yes",IF(Data!$AG164&gt;0,(Duplicate!$R$23*Data!$AG164)+Q221,(Duplicate!$R$24*Data!$AG164)+Q221),IF(Data!$AF164&gt;0,(Duplicate!$R$23*Data!$AF164)+Q221,(Duplicate!$R$24*Data!$AF164)+Q221)),0)</f>
        <v>320325</v>
      </c>
      <c r="S221" s="143">
        <f>ROUND(IF($E$31="Yes",IF(Data!$AG164&gt;0,(Duplicate!$S$23*Data!$AG164)+R221,(Duplicate!$S$24*Data!$AG164)+R221),IF(Data!$AF164&gt;0,(Duplicate!$S$23*Data!$AF164)+R221,(Duplicate!$S$24*Data!$AF164)+R221)),0)</f>
        <v>353984</v>
      </c>
      <c r="T221" s="143">
        <v>51990</v>
      </c>
      <c r="U221" s="143">
        <v>52928</v>
      </c>
      <c r="V221" s="143">
        <v>53866</v>
      </c>
      <c r="W221" s="143">
        <v>54804</v>
      </c>
      <c r="X221" s="143">
        <v>55742</v>
      </c>
      <c r="Y221" s="143">
        <v>56680</v>
      </c>
      <c r="Z221" s="143">
        <v>57618</v>
      </c>
      <c r="AA221" s="143">
        <v>58556</v>
      </c>
      <c r="AB221" s="143">
        <v>59494</v>
      </c>
      <c r="AC221" s="129">
        <f t="shared" si="80"/>
        <v>32722</v>
      </c>
      <c r="AD221" s="129">
        <f t="shared" si="81"/>
        <v>65443</v>
      </c>
      <c r="AE221" s="129">
        <f t="shared" si="82"/>
        <v>98164</v>
      </c>
      <c r="AF221" s="129">
        <f t="shared" si="83"/>
        <v>130885</v>
      </c>
      <c r="AG221" s="129">
        <f t="shared" si="84"/>
        <v>163606</v>
      </c>
      <c r="AH221" s="129">
        <f t="shared" si="85"/>
        <v>196327</v>
      </c>
      <c r="AI221" s="129">
        <f t="shared" si="86"/>
        <v>229048</v>
      </c>
      <c r="AJ221" s="129">
        <f t="shared" si="87"/>
        <v>261769</v>
      </c>
      <c r="AK221" s="129">
        <f t="shared" si="88"/>
        <v>294490</v>
      </c>
      <c r="AL221" s="127">
        <f t="shared" si="89"/>
        <v>0.62939026735910741</v>
      </c>
      <c r="AM221" s="127">
        <f t="shared" si="90"/>
        <v>1.2364532950423217</v>
      </c>
      <c r="AN221" s="127">
        <f t="shared" si="91"/>
        <v>1.8223740392826642</v>
      </c>
      <c r="AO221" s="127">
        <f t="shared" si="92"/>
        <v>2.3882380848113276</v>
      </c>
      <c r="AP221" s="127">
        <f t="shared" si="93"/>
        <v>2.9350579455347852</v>
      </c>
      <c r="AQ221" s="127">
        <f t="shared" si="94"/>
        <v>3.4637791107974598</v>
      </c>
      <c r="AR221" s="127">
        <f t="shared" si="95"/>
        <v>3.9752855010586972</v>
      </c>
      <c r="AS221" s="127">
        <f t="shared" si="96"/>
        <v>4.4704043992075961</v>
      </c>
      <c r="AT221" s="127">
        <f t="shared" si="97"/>
        <v>4.9499109153864254</v>
      </c>
    </row>
    <row r="222" spans="1:46" s="18" customFormat="1" ht="13" x14ac:dyDescent="0.15">
      <c r="A222" s="29" t="s">
        <v>163</v>
      </c>
      <c r="B222" s="30">
        <f>IF(Data!D165=1, MAX(Data!AA165, $E$26) + INDEX(Duplicate!$E$39:$E$43, MATCH( Data!AD165, Duplicate!$B$39:$B$43, 0), 0), MAX(Data!AA165, $E$27) +  INDEX(Duplicate!$E$39:$E$43, MATCH( Data!AD165, Duplicate!$B$39:$B$43, 0), 0))</f>
        <v>0.74331199999999997</v>
      </c>
      <c r="C222" s="128">
        <f>ROUND(Data!R165/13*100, 2)</f>
        <v>0</v>
      </c>
      <c r="D222" s="141">
        <f>ROUND(Data!Q165*C222, 0)</f>
        <v>0</v>
      </c>
      <c r="E222" s="142">
        <f>ROUND($E$22*Data!W165*B222, 0)</f>
        <v>200512747</v>
      </c>
      <c r="F222" s="143">
        <f>IF(E222=0, 0,IF($E$31="Yes", IF(Data!D165=1, MAX(Duplicate!D222+Duplicate!E222, Data!AE165), Duplicate!D222+Duplicate!E222), Duplicate!D222+Duplicate!E222))</f>
        <v>200512747</v>
      </c>
      <c r="G222" s="143">
        <v>197577815</v>
      </c>
      <c r="H222" s="129">
        <f>F222-Data!AL165</f>
        <v>50422206</v>
      </c>
      <c r="I222" s="127">
        <f>((F222)/(Data!AL165)) - 1</f>
        <v>0.33594526120070412</v>
      </c>
      <c r="J222" s="127">
        <f t="shared" si="79"/>
        <v>1.4854562492251366E-2</v>
      </c>
      <c r="K222" s="143">
        <f>ROUND(IF($E$31="Yes",IF(Data!AG165&gt;0,(Duplicate!$K$23*Data!AG165)+Data!AI165,(Duplicate!$K$24*Data!AG165)+Data!AI165),IF(Data!AF165&gt;0,(Duplicate!$K$23*Data!AF165)+Data!AI165,(Duplicate!$K$24*Data!AF165)+Data!AI165)),0)</f>
        <v>143333516</v>
      </c>
      <c r="L222" s="143">
        <f>ROUND(IF($E$31="Yes",IF(Data!$AG165&gt;0,(Duplicate!$L$23*Data!$AG165)+K222,(Duplicate!$L$24*Data!$AG165)+K222),IF(Data!$AF165&gt;0,(Duplicate!$L$23*Data!$AF165)+K222,(Duplicate!$L$24*Data!$AF165)+K222)),0)</f>
        <v>150465768</v>
      </c>
      <c r="M222" s="143">
        <f>ROUND(IF($E$31="Yes",IF(Data!$AG165&gt;0,(Duplicate!$M$23*Data!$AG165)+L222,(Duplicate!$M$24*Data!$AG165)+L222),IF(Data!$AF165&gt;0,(Duplicate!$M$23*Data!$AF165)+L222,(Duplicate!$M$24*Data!$AF165)+L222)),0)</f>
        <v>157598020</v>
      </c>
      <c r="N222" s="143">
        <f>ROUND(IF($E$31="Yes",IF(Data!$AG165&gt;0,(Duplicate!$N$23*Data!$AG165)+M222,(Duplicate!$N$24*Data!$AG165)+M222),IF(Data!$AF165&gt;0,(Duplicate!$N$23*Data!$AF165)+M222,(Duplicate!$N$24*Data!$AF165)+M222)),0)</f>
        <v>164730272</v>
      </c>
      <c r="O222" s="143">
        <f>ROUND(IF($E$31="Yes",IF(Data!$AG165&gt;0,(Duplicate!$O$23*Data!$AG165)+N222,(Duplicate!$O$24*Data!$AG165)+N222),IF(Data!$AF165&gt;0,(Duplicate!$O$23*Data!$AF165)+N222,(Duplicate!$O$24*Data!$AF165)+N222)),0)</f>
        <v>171862524</v>
      </c>
      <c r="P222" s="143">
        <f>ROUND(IF($E$31="Yes",IF(Data!$AG165&gt;0,(Duplicate!$P$23*Data!$AG165)+O222,(Duplicate!$P$24*Data!$AG165)+O222),IF(Data!$AF165&gt;0,(Duplicate!$P$23*Data!$AF165)+O222,(Duplicate!$P$24*Data!$AF165)+O222)),0)</f>
        <v>178994776</v>
      </c>
      <c r="Q222" s="143">
        <f>ROUND(IF($E$31="Yes",IF(Data!$AG165&gt;0,(Duplicate!$Q$23*Data!$AG165)+P222,(Duplicate!$Q$24*Data!$AG165)+P222),IF(Data!$AF165&gt;0,(Duplicate!$Q$23*Data!$AF165)+P222,(Duplicate!$Q$24*Data!$AF165)+P222)),0)</f>
        <v>186127028</v>
      </c>
      <c r="R222" s="143">
        <f>ROUND(IF($E$31="Yes",IF(Data!$AG165&gt;0,(Duplicate!$R$23*Data!$AG165)+Q222,(Duplicate!$R$24*Data!$AG165)+Q222),IF(Data!$AF165&gt;0,(Duplicate!$R$23*Data!$AF165)+Q222,(Duplicate!$R$24*Data!$AF165)+Q222)),0)</f>
        <v>193259280</v>
      </c>
      <c r="S222" s="143">
        <f>ROUND(IF($E$31="Yes",IF(Data!$AG165&gt;0,(Duplicate!$S$23*Data!$AG165)+R222,(Duplicate!$S$24*Data!$AG165)+R222),IF(Data!$AF165&gt;0,(Duplicate!$S$23*Data!$AF165)+R222,(Duplicate!$S$24*Data!$AF165)+R222)),0)</f>
        <v>200391532</v>
      </c>
      <c r="T222" s="143">
        <v>143020653</v>
      </c>
      <c r="U222" s="143">
        <v>149840041</v>
      </c>
      <c r="V222" s="143">
        <v>156659429</v>
      </c>
      <c r="W222" s="143">
        <v>163478817</v>
      </c>
      <c r="X222" s="143">
        <v>170298205</v>
      </c>
      <c r="Y222" s="143">
        <v>177117593</v>
      </c>
      <c r="Z222" s="143">
        <v>183936981</v>
      </c>
      <c r="AA222" s="143">
        <v>190756369</v>
      </c>
      <c r="AB222" s="143">
        <v>197575757</v>
      </c>
      <c r="AC222" s="129">
        <f t="shared" si="80"/>
        <v>312863</v>
      </c>
      <c r="AD222" s="129">
        <f t="shared" si="81"/>
        <v>625727</v>
      </c>
      <c r="AE222" s="129">
        <f t="shared" si="82"/>
        <v>938591</v>
      </c>
      <c r="AF222" s="129">
        <f t="shared" si="83"/>
        <v>1251455</v>
      </c>
      <c r="AG222" s="129">
        <f t="shared" si="84"/>
        <v>1564319</v>
      </c>
      <c r="AH222" s="129">
        <f t="shared" si="85"/>
        <v>1877183</v>
      </c>
      <c r="AI222" s="129">
        <f t="shared" si="86"/>
        <v>2190047</v>
      </c>
      <c r="AJ222" s="129">
        <f t="shared" si="87"/>
        <v>2502911</v>
      </c>
      <c r="AK222" s="129">
        <f t="shared" si="88"/>
        <v>2815775</v>
      </c>
      <c r="AL222" s="127">
        <f t="shared" si="89"/>
        <v>2.1875372083499656E-3</v>
      </c>
      <c r="AM222" s="127">
        <f t="shared" si="90"/>
        <v>4.1759665562290937E-3</v>
      </c>
      <c r="AN222" s="127">
        <f t="shared" si="91"/>
        <v>5.991283167513739E-3</v>
      </c>
      <c r="AO222" s="127">
        <f t="shared" si="92"/>
        <v>7.6551508199378393E-3</v>
      </c>
      <c r="AP222" s="127">
        <f t="shared" si="93"/>
        <v>9.1857632909284614E-3</v>
      </c>
      <c r="AQ222" s="127">
        <f t="shared" si="94"/>
        <v>1.0598512367995028E-2</v>
      </c>
      <c r="AR222" s="127">
        <f t="shared" si="95"/>
        <v>1.1906507261854049E-2</v>
      </c>
      <c r="AS222" s="127">
        <f t="shared" si="96"/>
        <v>1.3120982607925491E-2</v>
      </c>
      <c r="AT222" s="127">
        <f t="shared" si="97"/>
        <v>1.4251621974046058E-2</v>
      </c>
    </row>
    <row r="223" spans="1:46" s="18" customFormat="1" ht="13" x14ac:dyDescent="0.15">
      <c r="A223" s="29" t="s">
        <v>164</v>
      </c>
      <c r="B223" s="30">
        <f>IF(Data!D166=1, MAX(Data!AA166, $E$26) + INDEX(Duplicate!$E$39:$E$43, MATCH( Data!AD166, Duplicate!$B$39:$B$43, 0), 0), MAX(Data!AA166, $E$27) +  INDEX(Duplicate!$E$39:$E$43, MATCH( Data!AD166, Duplicate!$B$39:$B$43, 0), 0))</f>
        <v>0.01</v>
      </c>
      <c r="C223" s="128">
        <f>ROUND(Data!R166/13*100, 2)</f>
        <v>0</v>
      </c>
      <c r="D223" s="141">
        <f>ROUND(Data!Q166*C223, 0)</f>
        <v>0</v>
      </c>
      <c r="E223" s="142">
        <f>ROUND($E$22*Data!W166*B223, 0)</f>
        <v>319883</v>
      </c>
      <c r="F223" s="143">
        <f>IF(E223=0, 0,IF($E$31="Yes", IF(Data!D166=1, MAX(Duplicate!D223+Duplicate!E223, Data!AE166), Duplicate!D223+Duplicate!E223), Duplicate!D223+Duplicate!E223))</f>
        <v>319883</v>
      </c>
      <c r="G223" s="143">
        <v>343988</v>
      </c>
      <c r="H223" s="129">
        <f>F223-Data!AL166</f>
        <v>-6561</v>
      </c>
      <c r="I223" s="127">
        <f>((F223)/(Data!AL166)) - 1</f>
        <v>-2.0098393598902087E-2</v>
      </c>
      <c r="J223" s="127">
        <f t="shared" si="79"/>
        <v>-7.0075118899496469E-2</v>
      </c>
      <c r="K223" s="143">
        <f>ROUND(IF($E$31="Yes",IF(Data!AG166&gt;0,(Duplicate!$K$23*Data!AG166)+Data!AI166,(Duplicate!$K$24*Data!AG166)+Data!AI166),IF(Data!AF166&gt;0,(Duplicate!$K$23*Data!AF166)+Data!AI166,(Duplicate!$K$24*Data!AF166)+Data!AI166)),0)</f>
        <v>322107</v>
      </c>
      <c r="L223" s="143">
        <f>ROUND(IF($E$31="Yes",IF(Data!$AG166&gt;0,(Duplicate!$L$23*Data!$AG166)+K223,(Duplicate!$L$24*Data!$AG166)+K223),IF(Data!$AF166&gt;0,(Duplicate!$L$23*Data!$AF166)+K223,(Duplicate!$L$24*Data!$AF166)+K223)),0)</f>
        <v>321991</v>
      </c>
      <c r="M223" s="143">
        <f>ROUND(IF($E$31="Yes",IF(Data!$AG166&gt;0,(Duplicate!$M$23*Data!$AG166)+L223,(Duplicate!$M$24*Data!$AG166)+L223),IF(Data!$AF166&gt;0,(Duplicate!$M$23*Data!$AF166)+L223,(Duplicate!$M$24*Data!$AF166)+L223)),0)</f>
        <v>321875</v>
      </c>
      <c r="N223" s="143">
        <f>ROUND(IF($E$31="Yes",IF(Data!$AG166&gt;0,(Duplicate!$N$23*Data!$AG166)+M223,(Duplicate!$N$24*Data!$AG166)+M223),IF(Data!$AF166&gt;0,(Duplicate!$N$23*Data!$AF166)+M223,(Duplicate!$N$24*Data!$AF166)+M223)),0)</f>
        <v>321759</v>
      </c>
      <c r="O223" s="143">
        <f>ROUND(IF($E$31="Yes",IF(Data!$AG166&gt;0,(Duplicate!$O$23*Data!$AG166)+N223,(Duplicate!$O$24*Data!$AG166)+N223),IF(Data!$AF166&gt;0,(Duplicate!$O$23*Data!$AF166)+N223,(Duplicate!$O$24*Data!$AF166)+N223)),0)</f>
        <v>321643</v>
      </c>
      <c r="P223" s="143">
        <f>ROUND(IF($E$31="Yes",IF(Data!$AG166&gt;0,(Duplicate!$P$23*Data!$AG166)+O223,(Duplicate!$P$24*Data!$AG166)+O223),IF(Data!$AF166&gt;0,(Duplicate!$P$23*Data!$AF166)+O223,(Duplicate!$P$24*Data!$AF166)+O223)),0)</f>
        <v>321527</v>
      </c>
      <c r="Q223" s="143">
        <f>ROUND(IF($E$31="Yes",IF(Data!$AG166&gt;0,(Duplicate!$Q$23*Data!$AG166)+P223,(Duplicate!$Q$24*Data!$AG166)+P223),IF(Data!$AF166&gt;0,(Duplicate!$Q$23*Data!$AF166)+P223,(Duplicate!$Q$24*Data!$AF166)+P223)),0)</f>
        <v>321411</v>
      </c>
      <c r="R223" s="143">
        <f>ROUND(IF($E$31="Yes",IF(Data!$AG166&gt;0,(Duplicate!$R$23*Data!$AG166)+Q223,(Duplicate!$R$24*Data!$AG166)+Q223),IF(Data!$AF166&gt;0,(Duplicate!$R$23*Data!$AF166)+Q223,(Duplicate!$R$24*Data!$AF166)+Q223)),0)</f>
        <v>321295</v>
      </c>
      <c r="S223" s="143">
        <f>ROUND(IF($E$31="Yes",IF(Data!$AG166&gt;0,(Duplicate!$S$23*Data!$AG166)+R223,(Duplicate!$S$24*Data!$AG166)+R223),IF(Data!$AF166&gt;0,(Duplicate!$S$23*Data!$AF166)+R223,(Duplicate!$S$24*Data!$AF166)+R223)),0)</f>
        <v>321179</v>
      </c>
      <c r="T223" s="143">
        <v>324644</v>
      </c>
      <c r="U223" s="143">
        <v>327065</v>
      </c>
      <c r="V223" s="143">
        <v>329486</v>
      </c>
      <c r="W223" s="143">
        <v>331907</v>
      </c>
      <c r="X223" s="143">
        <v>334328</v>
      </c>
      <c r="Y223" s="143">
        <v>336749</v>
      </c>
      <c r="Z223" s="143">
        <v>339170</v>
      </c>
      <c r="AA223" s="143">
        <v>341591</v>
      </c>
      <c r="AB223" s="143">
        <v>344012</v>
      </c>
      <c r="AC223" s="129">
        <f t="shared" ref="AC223:AE240" si="98">K223-T223</f>
        <v>-2537</v>
      </c>
      <c r="AD223" s="129">
        <f t="shared" si="98"/>
        <v>-5074</v>
      </c>
      <c r="AE223" s="129">
        <f t="shared" si="98"/>
        <v>-7611</v>
      </c>
      <c r="AF223" s="129">
        <f t="shared" ref="AF223:AF240" si="99">N223-W223</f>
        <v>-10148</v>
      </c>
      <c r="AG223" s="129">
        <f t="shared" ref="AG223:AG240" si="100">O223-X223</f>
        <v>-12685</v>
      </c>
      <c r="AH223" s="129">
        <f t="shared" ref="AH223:AH240" si="101">P223-Y223</f>
        <v>-15222</v>
      </c>
      <c r="AI223" s="129">
        <f t="shared" ref="AI223:AI240" si="102">Q223-Z223</f>
        <v>-17759</v>
      </c>
      <c r="AJ223" s="129">
        <f t="shared" ref="AJ223:AJ240" si="103">R223-AA223</f>
        <v>-20296</v>
      </c>
      <c r="AK223" s="129">
        <f t="shared" ref="AK223:AK240" si="104">S223-AB223</f>
        <v>-22833</v>
      </c>
      <c r="AL223" s="127">
        <f t="shared" ref="AL223:AN240" si="105">IFERROR(K223/T223-1, 0)</f>
        <v>-7.8147139636032259E-3</v>
      </c>
      <c r="AM223" s="127">
        <f t="shared" si="105"/>
        <v>-1.5513735801751971E-2</v>
      </c>
      <c r="AN223" s="127">
        <f t="shared" si="105"/>
        <v>-2.3099615765161507E-2</v>
      </c>
      <c r="AO223" s="127">
        <f t="shared" ref="AO223:AO240" si="106">IFERROR(N223/W223-1, 0)</f>
        <v>-3.0574829696270345E-2</v>
      </c>
      <c r="AP223" s="127">
        <f t="shared" ref="AP223:AP240" si="107">IFERROR(O223/X223-1, 0)</f>
        <v>-3.7941781723337509E-2</v>
      </c>
      <c r="AQ223" s="127">
        <f t="shared" ref="AQ223:AQ240" si="108">IFERROR(P223/Y223-1, 0)</f>
        <v>-4.5202806838327669E-2</v>
      </c>
      <c r="AR223" s="127">
        <f t="shared" ref="AR223:AR240" si="109">IFERROR(Q223/Z223-1, 0)</f>
        <v>-5.2360173364389584E-2</v>
      </c>
      <c r="AS223" s="127">
        <f t="shared" ref="AS223:AS240" si="110">IFERROR(R223/AA223-1, 0)</f>
        <v>-5.9416085318407141E-2</v>
      </c>
      <c r="AT223" s="127">
        <f t="shared" ref="AT223:AT240" si="111">IFERROR(S223/AB223-1, 0)</f>
        <v>-6.6372684673790427E-2</v>
      </c>
    </row>
    <row r="224" spans="1:46" s="18" customFormat="1" ht="13" x14ac:dyDescent="0.15">
      <c r="A224" s="29" t="s">
        <v>165</v>
      </c>
      <c r="B224" s="30">
        <f>IF(Data!D167=1, MAX(Data!AA167, $E$26) + INDEX(Duplicate!$E$39:$E$43, MATCH( Data!AD167, Duplicate!$B$39:$B$43, 0), 0), MAX(Data!AA167, $E$27) +  INDEX(Duplicate!$E$39:$E$43, MATCH( Data!AD167, Duplicate!$B$39:$B$43, 0), 0))</f>
        <v>0.364589</v>
      </c>
      <c r="C224" s="128">
        <f>ROUND(Data!R167/13*100, 2)</f>
        <v>0</v>
      </c>
      <c r="D224" s="141">
        <f>ROUND(Data!Q167*C224, 0)</f>
        <v>0</v>
      </c>
      <c r="E224" s="142">
        <f>ROUND($E$22*Data!W167*B224, 0)</f>
        <v>12682769</v>
      </c>
      <c r="F224" s="143">
        <f>IF(E224=0, 0,IF($E$31="Yes", IF(Data!D167=1, MAX(Duplicate!D224+Duplicate!E224, Data!AE167), Duplicate!D224+Duplicate!E224), Duplicate!D224+Duplicate!E224))</f>
        <v>12682769</v>
      </c>
      <c r="G224" s="143">
        <v>11875800</v>
      </c>
      <c r="H224" s="129">
        <f>F224-Data!AL167</f>
        <v>902583</v>
      </c>
      <c r="I224" s="127">
        <f>((F224)/(Data!AL167)) - 1</f>
        <v>7.6618739296645977E-2</v>
      </c>
      <c r="J224" s="127">
        <f t="shared" si="79"/>
        <v>6.7950706478721479E-2</v>
      </c>
      <c r="K224" s="143">
        <f>ROUND(IF($E$31="Yes",IF(Data!AG167&gt;0,(Duplicate!$K$23*Data!AG167)+Data!AI167,(Duplicate!$K$24*Data!AG167)+Data!AI167),IF(Data!AF167&gt;0,(Duplicate!$K$23*Data!AF167)+Data!AI167,(Duplicate!$K$24*Data!AF167)+Data!AI167)),0)</f>
        <v>11834417</v>
      </c>
      <c r="L224" s="143">
        <f>ROUND(IF($E$31="Yes",IF(Data!$AG167&gt;0,(Duplicate!$L$23*Data!$AG167)+K224,(Duplicate!$L$24*Data!$AG167)+K224),IF(Data!$AF167&gt;0,(Duplicate!$L$23*Data!$AF167)+K224,(Duplicate!$L$24*Data!$AF167)+K224)),0)</f>
        <v>11933512</v>
      </c>
      <c r="M224" s="143">
        <f>ROUND(IF($E$31="Yes",IF(Data!$AG167&gt;0,(Duplicate!$M$23*Data!$AG167)+L224,(Duplicate!$M$24*Data!$AG167)+L224),IF(Data!$AF167&gt;0,(Duplicate!$M$23*Data!$AF167)+L224,(Duplicate!$M$24*Data!$AF167)+L224)),0)</f>
        <v>12032607</v>
      </c>
      <c r="N224" s="143">
        <f>ROUND(IF($E$31="Yes",IF(Data!$AG167&gt;0,(Duplicate!$N$23*Data!$AG167)+M224,(Duplicate!$N$24*Data!$AG167)+M224),IF(Data!$AF167&gt;0,(Duplicate!$N$23*Data!$AF167)+M224,(Duplicate!$N$24*Data!$AF167)+M224)),0)</f>
        <v>12131702</v>
      </c>
      <c r="O224" s="143">
        <f>ROUND(IF($E$31="Yes",IF(Data!$AG167&gt;0,(Duplicate!$O$23*Data!$AG167)+N224,(Duplicate!$O$24*Data!$AG167)+N224),IF(Data!$AF167&gt;0,(Duplicate!$O$23*Data!$AF167)+N224,(Duplicate!$O$24*Data!$AF167)+N224)),0)</f>
        <v>12230797</v>
      </c>
      <c r="P224" s="143">
        <f>ROUND(IF($E$31="Yes",IF(Data!$AG167&gt;0,(Duplicate!$P$23*Data!$AG167)+O224,(Duplicate!$P$24*Data!$AG167)+O224),IF(Data!$AF167&gt;0,(Duplicate!$P$23*Data!$AF167)+O224,(Duplicate!$P$24*Data!$AF167)+O224)),0)</f>
        <v>12329892</v>
      </c>
      <c r="Q224" s="143">
        <f>ROUND(IF($E$31="Yes",IF(Data!$AG167&gt;0,(Duplicate!$Q$23*Data!$AG167)+P224,(Duplicate!$Q$24*Data!$AG167)+P224),IF(Data!$AF167&gt;0,(Duplicate!$Q$23*Data!$AF167)+P224,(Duplicate!$Q$24*Data!$AF167)+P224)),0)</f>
        <v>12428987</v>
      </c>
      <c r="R224" s="143">
        <f>ROUND(IF($E$31="Yes",IF(Data!$AG167&gt;0,(Duplicate!$R$23*Data!$AG167)+Q224,(Duplicate!$R$24*Data!$AG167)+Q224),IF(Data!$AF167&gt;0,(Duplicate!$R$23*Data!$AF167)+Q224,(Duplicate!$R$24*Data!$AF167)+Q224)),0)</f>
        <v>12528082</v>
      </c>
      <c r="S224" s="143">
        <f>ROUND(IF($E$31="Yes",IF(Data!$AG167&gt;0,(Duplicate!$S$23*Data!$AG167)+R224,(Duplicate!$S$24*Data!$AG167)+R224),IF(Data!$AF167&gt;0,(Duplicate!$S$23*Data!$AF167)+R224,(Duplicate!$S$24*Data!$AF167)+R224)),0)</f>
        <v>12627177</v>
      </c>
      <c r="T224" s="143">
        <v>11748394</v>
      </c>
      <c r="U224" s="143">
        <v>11761466</v>
      </c>
      <c r="V224" s="143">
        <v>11774538</v>
      </c>
      <c r="W224" s="143">
        <v>11787610</v>
      </c>
      <c r="X224" s="143">
        <v>11800682</v>
      </c>
      <c r="Y224" s="143">
        <v>11813754</v>
      </c>
      <c r="Z224" s="143">
        <v>11826826</v>
      </c>
      <c r="AA224" s="143">
        <v>11839898</v>
      </c>
      <c r="AB224" s="143">
        <v>11852970</v>
      </c>
      <c r="AC224" s="129">
        <f t="shared" si="98"/>
        <v>86023</v>
      </c>
      <c r="AD224" s="129">
        <f t="shared" si="98"/>
        <v>172046</v>
      </c>
      <c r="AE224" s="129">
        <f t="shared" si="98"/>
        <v>258069</v>
      </c>
      <c r="AF224" s="129">
        <f t="shared" si="99"/>
        <v>344092</v>
      </c>
      <c r="AG224" s="129">
        <f t="shared" si="100"/>
        <v>430115</v>
      </c>
      <c r="AH224" s="129">
        <f t="shared" si="101"/>
        <v>516138</v>
      </c>
      <c r="AI224" s="129">
        <f t="shared" si="102"/>
        <v>602161</v>
      </c>
      <c r="AJ224" s="129">
        <f t="shared" si="103"/>
        <v>688184</v>
      </c>
      <c r="AK224" s="129">
        <f t="shared" si="104"/>
        <v>774207</v>
      </c>
      <c r="AL224" s="127">
        <f t="shared" si="105"/>
        <v>7.3221071748188482E-3</v>
      </c>
      <c r="AM224" s="127">
        <f t="shared" si="105"/>
        <v>1.4627938387952621E-2</v>
      </c>
      <c r="AN224" s="127">
        <f t="shared" si="105"/>
        <v>2.191754784773714E-2</v>
      </c>
      <c r="AO224" s="127">
        <f t="shared" si="106"/>
        <v>2.9190989522049016E-2</v>
      </c>
      <c r="AP224" s="127">
        <f t="shared" si="107"/>
        <v>3.6448317139636588E-2</v>
      </c>
      <c r="AQ224" s="127">
        <f t="shared" si="108"/>
        <v>4.3689584191443309E-2</v>
      </c>
      <c r="AR224" s="127">
        <f t="shared" si="109"/>
        <v>5.0914843931922249E-2</v>
      </c>
      <c r="AS224" s="127">
        <f t="shared" si="110"/>
        <v>5.812414938034105E-2</v>
      </c>
      <c r="AT224" s="127">
        <f t="shared" si="111"/>
        <v>6.531755332207867E-2</v>
      </c>
    </row>
    <row r="225" spans="1:46" s="18" customFormat="1" ht="13" x14ac:dyDescent="0.15">
      <c r="A225" s="29" t="s">
        <v>166</v>
      </c>
      <c r="B225" s="30">
        <f>IF(Data!D168=1, MAX(Data!AA168, $E$26) + INDEX(Duplicate!$E$39:$E$43, MATCH( Data!AD168, Duplicate!$B$39:$B$43, 0), 0), MAX(Data!AA168, $E$27) +  INDEX(Duplicate!$E$39:$E$43, MATCH( Data!AD168, Duplicate!$B$39:$B$43, 0), 0))</f>
        <v>0.01</v>
      </c>
      <c r="C225" s="128">
        <f>ROUND(Data!R168/13*100, 2)</f>
        <v>0</v>
      </c>
      <c r="D225" s="141">
        <f>ROUND(Data!Q168*C225, 0)</f>
        <v>0</v>
      </c>
      <c r="E225" s="142">
        <f>ROUND($E$22*Data!W168*B225, 0)</f>
        <v>86299</v>
      </c>
      <c r="F225" s="143">
        <f>IF(E225=0, 0,IF($E$31="Yes", IF(Data!D168=1, MAX(Duplicate!D225+Duplicate!E225, Data!AE168), Duplicate!D225+Duplicate!E225), Duplicate!D225+Duplicate!E225))</f>
        <v>86299</v>
      </c>
      <c r="G225" s="143">
        <v>87104</v>
      </c>
      <c r="H225" s="129">
        <f>F225-Data!AL168</f>
        <v>11320</v>
      </c>
      <c r="I225" s="127">
        <f>((F225)/(Data!AL168)) - 1</f>
        <v>0.15097560650315422</v>
      </c>
      <c r="J225" s="127">
        <f t="shared" si="79"/>
        <v>-9.2418258633357731E-3</v>
      </c>
      <c r="K225" s="143">
        <f>ROUND(IF($E$31="Yes",IF(Data!AG168&gt;0,(Duplicate!$K$23*Data!AG168)+Data!AI168,(Duplicate!$K$24*Data!AG168)+Data!AI168),IF(Data!AF168&gt;0,(Duplicate!$K$23*Data!AF168)+Data!AI168,(Duplicate!$K$24*Data!AF168)+Data!AI168)),0)</f>
        <v>72953</v>
      </c>
      <c r="L225" s="143">
        <f>ROUND(IF($E$31="Yes",IF(Data!$AG168&gt;0,(Duplicate!$L$23*Data!$AG168)+K225,(Duplicate!$L$24*Data!$AG168)+K225),IF(Data!$AF168&gt;0,(Duplicate!$L$23*Data!$AF168)+K225,(Duplicate!$L$24*Data!$AF168)+K225)),0)</f>
        <v>74649</v>
      </c>
      <c r="M225" s="143">
        <f>ROUND(IF($E$31="Yes",IF(Data!$AG168&gt;0,(Duplicate!$M$23*Data!$AG168)+L225,(Duplicate!$M$24*Data!$AG168)+L225),IF(Data!$AF168&gt;0,(Duplicate!$M$23*Data!$AF168)+L225,(Duplicate!$M$24*Data!$AF168)+L225)),0)</f>
        <v>76345</v>
      </c>
      <c r="N225" s="143">
        <f>ROUND(IF($E$31="Yes",IF(Data!$AG168&gt;0,(Duplicate!$N$23*Data!$AG168)+M225,(Duplicate!$N$24*Data!$AG168)+M225),IF(Data!$AF168&gt;0,(Duplicate!$N$23*Data!$AF168)+M225,(Duplicate!$N$24*Data!$AF168)+M225)),0)</f>
        <v>78041</v>
      </c>
      <c r="O225" s="143">
        <f>ROUND(IF($E$31="Yes",IF(Data!$AG168&gt;0,(Duplicate!$O$23*Data!$AG168)+N225,(Duplicate!$O$24*Data!$AG168)+N225),IF(Data!$AF168&gt;0,(Duplicate!$O$23*Data!$AF168)+N225,(Duplicate!$O$24*Data!$AF168)+N225)),0)</f>
        <v>79737</v>
      </c>
      <c r="P225" s="143">
        <f>ROUND(IF($E$31="Yes",IF(Data!$AG168&gt;0,(Duplicate!$P$23*Data!$AG168)+O225,(Duplicate!$P$24*Data!$AG168)+O225),IF(Data!$AF168&gt;0,(Duplicate!$P$23*Data!$AF168)+O225,(Duplicate!$P$24*Data!$AF168)+O225)),0)</f>
        <v>81433</v>
      </c>
      <c r="Q225" s="143">
        <f>ROUND(IF($E$31="Yes",IF(Data!$AG168&gt;0,(Duplicate!$Q$23*Data!$AG168)+P225,(Duplicate!$Q$24*Data!$AG168)+P225),IF(Data!$AF168&gt;0,(Duplicate!$Q$23*Data!$AF168)+P225,(Duplicate!$Q$24*Data!$AF168)+P225)),0)</f>
        <v>83129</v>
      </c>
      <c r="R225" s="143">
        <f>ROUND(IF($E$31="Yes",IF(Data!$AG168&gt;0,(Duplicate!$R$23*Data!$AG168)+Q225,(Duplicate!$R$24*Data!$AG168)+Q225),IF(Data!$AF168&gt;0,(Duplicate!$R$23*Data!$AF168)+Q225,(Duplicate!$R$24*Data!$AF168)+Q225)),0)</f>
        <v>84825</v>
      </c>
      <c r="S225" s="143">
        <f>ROUND(IF($E$31="Yes",IF(Data!$AG168&gt;0,(Duplicate!$S$23*Data!$AG168)+R225,(Duplicate!$S$24*Data!$AG168)+R225),IF(Data!$AF168&gt;0,(Duplicate!$S$23*Data!$AF168)+R225,(Duplicate!$S$24*Data!$AF168)+R225)),0)</f>
        <v>86521</v>
      </c>
      <c r="T225" s="143">
        <v>73039</v>
      </c>
      <c r="U225" s="143">
        <v>74820</v>
      </c>
      <c r="V225" s="143">
        <v>76601</v>
      </c>
      <c r="W225" s="143">
        <v>78382</v>
      </c>
      <c r="X225" s="143">
        <v>80163</v>
      </c>
      <c r="Y225" s="143">
        <v>81944</v>
      </c>
      <c r="Z225" s="143">
        <v>83725</v>
      </c>
      <c r="AA225" s="143">
        <v>85506</v>
      </c>
      <c r="AB225" s="143">
        <v>87287</v>
      </c>
      <c r="AC225" s="129">
        <f t="shared" si="98"/>
        <v>-86</v>
      </c>
      <c r="AD225" s="129">
        <f t="shared" si="98"/>
        <v>-171</v>
      </c>
      <c r="AE225" s="129">
        <f t="shared" si="98"/>
        <v>-256</v>
      </c>
      <c r="AF225" s="129">
        <f t="shared" si="99"/>
        <v>-341</v>
      </c>
      <c r="AG225" s="129">
        <f t="shared" si="100"/>
        <v>-426</v>
      </c>
      <c r="AH225" s="129">
        <f t="shared" si="101"/>
        <v>-511</v>
      </c>
      <c r="AI225" s="129">
        <f t="shared" si="102"/>
        <v>-596</v>
      </c>
      <c r="AJ225" s="129">
        <f t="shared" si="103"/>
        <v>-681</v>
      </c>
      <c r="AK225" s="129">
        <f t="shared" si="104"/>
        <v>-766</v>
      </c>
      <c r="AL225" s="127">
        <f t="shared" si="105"/>
        <v>-1.1774531414723288E-3</v>
      </c>
      <c r="AM225" s="127">
        <f t="shared" si="105"/>
        <v>-2.2854851643945295E-3</v>
      </c>
      <c r="AN225" s="127">
        <f t="shared" si="105"/>
        <v>-3.3419929243743152E-3</v>
      </c>
      <c r="AO225" s="127">
        <f t="shared" si="106"/>
        <v>-4.3504886325942405E-3</v>
      </c>
      <c r="AP225" s="127">
        <f t="shared" si="107"/>
        <v>-5.314172373788395E-3</v>
      </c>
      <c r="AQ225" s="127">
        <f t="shared" si="108"/>
        <v>-6.23596602557841E-3</v>
      </c>
      <c r="AR225" s="127">
        <f t="shared" si="109"/>
        <v>-7.1185428486115754E-3</v>
      </c>
      <c r="AS225" s="127">
        <f t="shared" si="110"/>
        <v>-7.9643533787102649E-3</v>
      </c>
      <c r="AT225" s="127">
        <f t="shared" si="111"/>
        <v>-8.7756481492089478E-3</v>
      </c>
    </row>
    <row r="226" spans="1:46" s="18" customFormat="1" ht="13" x14ac:dyDescent="0.15">
      <c r="A226" s="29" t="s">
        <v>167</v>
      </c>
      <c r="B226" s="30">
        <f>IF(Data!D169=1, MAX(Data!AA169, $E$26) + INDEX(Duplicate!$E$39:$E$43, MATCH( Data!AD169, Duplicate!$B$39:$B$43, 0), 0), MAX(Data!AA169, $E$27) +  INDEX(Duplicate!$E$39:$E$43, MATCH( Data!AD169, Duplicate!$B$39:$B$43, 0), 0))</f>
        <v>0.20776700000000001</v>
      </c>
      <c r="C226" s="128">
        <f>ROUND(Data!R169/13*100, 2)</f>
        <v>0</v>
      </c>
      <c r="D226" s="141">
        <f>ROUND(Data!Q169*C226, 0)</f>
        <v>0</v>
      </c>
      <c r="E226" s="142">
        <f>ROUND($E$22*Data!W169*B226, 0)</f>
        <v>24387821</v>
      </c>
      <c r="F226" s="143">
        <f>IF(E226=0, 0,IF($E$31="Yes", IF(Data!D169=1, MAX(Duplicate!D226+Duplicate!E226, Data!AE169), Duplicate!D226+Duplicate!E226), Duplicate!D226+Duplicate!E226))</f>
        <v>24387821</v>
      </c>
      <c r="G226" s="143">
        <v>24594389</v>
      </c>
      <c r="H226" s="129">
        <f>F226-Data!AL169</f>
        <v>2507323</v>
      </c>
      <c r="I226" s="127">
        <f>((F226)/(Data!AL169)) - 1</f>
        <v>0.11459167885484134</v>
      </c>
      <c r="J226" s="127">
        <f t="shared" si="79"/>
        <v>-8.398988891328063E-3</v>
      </c>
      <c r="K226" s="143">
        <f>ROUND(IF($E$31="Yes",IF(Data!AG169&gt;0,(Duplicate!$K$23*Data!AG169)+Data!AI169,(Duplicate!$K$24*Data!AG169)+Data!AI169),IF(Data!AF169&gt;0,(Duplicate!$K$23*Data!AF169)+Data!AI169,(Duplicate!$K$24*Data!AF169)+Data!AI169)),0)</f>
        <v>21464297</v>
      </c>
      <c r="L226" s="143">
        <f>ROUND(IF($E$31="Yes",IF(Data!$AG169&gt;0,(Duplicate!$L$23*Data!$AG169)+K226,(Duplicate!$L$24*Data!$AG169)+K226),IF(Data!$AF169&gt;0,(Duplicate!$L$23*Data!$AF169)+K226,(Duplicate!$L$24*Data!$AF169)+K226)),0)</f>
        <v>21829559</v>
      </c>
      <c r="M226" s="143">
        <f>ROUND(IF($E$31="Yes",IF(Data!$AG169&gt;0,(Duplicate!$M$23*Data!$AG169)+L226,(Duplicate!$M$24*Data!$AG169)+L226),IF(Data!$AF169&gt;0,(Duplicate!$M$23*Data!$AF169)+L226,(Duplicate!$M$24*Data!$AF169)+L226)),0)</f>
        <v>22194821</v>
      </c>
      <c r="N226" s="143">
        <f>ROUND(IF($E$31="Yes",IF(Data!$AG169&gt;0,(Duplicate!$N$23*Data!$AG169)+M226,(Duplicate!$N$24*Data!$AG169)+M226),IF(Data!$AF169&gt;0,(Duplicate!$N$23*Data!$AF169)+M226,(Duplicate!$N$24*Data!$AF169)+M226)),0)</f>
        <v>22560083</v>
      </c>
      <c r="O226" s="143">
        <f>ROUND(IF($E$31="Yes",IF(Data!$AG169&gt;0,(Duplicate!$O$23*Data!$AG169)+N226,(Duplicate!$O$24*Data!$AG169)+N226),IF(Data!$AF169&gt;0,(Duplicate!$O$23*Data!$AF169)+N226,(Duplicate!$O$24*Data!$AF169)+N226)),0)</f>
        <v>22925345</v>
      </c>
      <c r="P226" s="143">
        <f>ROUND(IF($E$31="Yes",IF(Data!$AG169&gt;0,(Duplicate!$P$23*Data!$AG169)+O226,(Duplicate!$P$24*Data!$AG169)+O226),IF(Data!$AF169&gt;0,(Duplicate!$P$23*Data!$AF169)+O226,(Duplicate!$P$24*Data!$AF169)+O226)),0)</f>
        <v>23290607</v>
      </c>
      <c r="Q226" s="143">
        <f>ROUND(IF($E$31="Yes",IF(Data!$AG169&gt;0,(Duplicate!$Q$23*Data!$AG169)+P226,(Duplicate!$Q$24*Data!$AG169)+P226),IF(Data!$AF169&gt;0,(Duplicate!$Q$23*Data!$AF169)+P226,(Duplicate!$Q$24*Data!$AF169)+P226)),0)</f>
        <v>23655869</v>
      </c>
      <c r="R226" s="143">
        <f>ROUND(IF($E$31="Yes",IF(Data!$AG169&gt;0,(Duplicate!$R$23*Data!$AG169)+Q226,(Duplicate!$R$24*Data!$AG169)+Q226),IF(Data!$AF169&gt;0,(Duplicate!$R$23*Data!$AF169)+Q226,(Duplicate!$R$24*Data!$AF169)+Q226)),0)</f>
        <v>24021131</v>
      </c>
      <c r="S226" s="143">
        <f>ROUND(IF($E$31="Yes",IF(Data!$AG169&gt;0,(Duplicate!$S$23*Data!$AG169)+R226,(Duplicate!$S$24*Data!$AG169)+R226),IF(Data!$AF169&gt;0,(Duplicate!$S$23*Data!$AF169)+R226,(Duplicate!$S$24*Data!$AF169)+R226)),0)</f>
        <v>24386393</v>
      </c>
      <c r="T226" s="143">
        <v>21486317</v>
      </c>
      <c r="U226" s="143">
        <v>21873599</v>
      </c>
      <c r="V226" s="143">
        <v>22260881</v>
      </c>
      <c r="W226" s="143">
        <v>22648163</v>
      </c>
      <c r="X226" s="143">
        <v>23035445</v>
      </c>
      <c r="Y226" s="143">
        <v>23422727</v>
      </c>
      <c r="Z226" s="143">
        <v>23810009</v>
      </c>
      <c r="AA226" s="143">
        <v>24197291</v>
      </c>
      <c r="AB226" s="143">
        <v>24584573</v>
      </c>
      <c r="AC226" s="129">
        <f t="shared" si="98"/>
        <v>-22020</v>
      </c>
      <c r="AD226" s="129">
        <f t="shared" si="98"/>
        <v>-44040</v>
      </c>
      <c r="AE226" s="129">
        <f t="shared" si="98"/>
        <v>-66060</v>
      </c>
      <c r="AF226" s="129">
        <f t="shared" si="99"/>
        <v>-88080</v>
      </c>
      <c r="AG226" s="129">
        <f t="shared" si="100"/>
        <v>-110100</v>
      </c>
      <c r="AH226" s="129">
        <f t="shared" si="101"/>
        <v>-132120</v>
      </c>
      <c r="AI226" s="129">
        <f t="shared" si="102"/>
        <v>-154140</v>
      </c>
      <c r="AJ226" s="129">
        <f t="shared" si="103"/>
        <v>-176160</v>
      </c>
      <c r="AK226" s="129">
        <f t="shared" si="104"/>
        <v>-198180</v>
      </c>
      <c r="AL226" s="127">
        <f t="shared" si="105"/>
        <v>-1.0248382726550931E-3</v>
      </c>
      <c r="AM226" s="127">
        <f t="shared" si="105"/>
        <v>-2.0133860916075053E-3</v>
      </c>
      <c r="AN226" s="127">
        <f t="shared" si="105"/>
        <v>-2.9675375381594815E-3</v>
      </c>
      <c r="AO226" s="127">
        <f t="shared" si="106"/>
        <v>-3.8890571389830209E-3</v>
      </c>
      <c r="AP226" s="127">
        <f t="shared" si="107"/>
        <v>-4.779590756766372E-3</v>
      </c>
      <c r="AQ226" s="127">
        <f t="shared" si="108"/>
        <v>-5.6406754004347803E-3</v>
      </c>
      <c r="AR226" s="127">
        <f t="shared" si="109"/>
        <v>-6.4737480779616385E-3</v>
      </c>
      <c r="AS226" s="127">
        <f t="shared" si="110"/>
        <v>-7.2801537990347942E-3</v>
      </c>
      <c r="AT226" s="127">
        <f t="shared" si="111"/>
        <v>-8.0611528213241357E-3</v>
      </c>
    </row>
    <row r="227" spans="1:46" s="18" customFormat="1" ht="13" x14ac:dyDescent="0.15">
      <c r="A227" s="29" t="s">
        <v>168</v>
      </c>
      <c r="B227" s="30">
        <f>IF(Data!D170=1, MAX(Data!AA170, $E$26) + INDEX(Duplicate!$E$39:$E$43, MATCH( Data!AD170, Duplicate!$B$39:$B$43, 0), 0), MAX(Data!AA170, $E$27) +  INDEX(Duplicate!$E$39:$E$43, MATCH( Data!AD170, Duplicate!$B$39:$B$43, 0), 0))</f>
        <v>0.61777100000000007</v>
      </c>
      <c r="C227" s="128">
        <f>ROUND(Data!R170/13*100, 2)</f>
        <v>0</v>
      </c>
      <c r="D227" s="141">
        <f>ROUND(Data!Q170*C227, 0)</f>
        <v>0</v>
      </c>
      <c r="E227" s="142">
        <f>ROUND($E$22*Data!W170*B227, 0)</f>
        <v>58096013</v>
      </c>
      <c r="F227" s="143">
        <f>IF(E227=0, 0,IF($E$31="Yes", IF(Data!D170=1, MAX(Duplicate!D227+Duplicate!E227, Data!AE170), Duplicate!D227+Duplicate!E227), Duplicate!D227+Duplicate!E227))</f>
        <v>58096013</v>
      </c>
      <c r="G227" s="143">
        <v>60261788</v>
      </c>
      <c r="H227" s="129">
        <f>F227-Data!AL170</f>
        <v>9137569</v>
      </c>
      <c r="I227" s="127">
        <f>((F227)/(Data!AL170)) - 1</f>
        <v>0.18663928534983665</v>
      </c>
      <c r="J227" s="127">
        <f t="shared" si="79"/>
        <v>-3.5939441425136609E-2</v>
      </c>
      <c r="K227" s="143">
        <f>ROUND(IF($E$31="Yes",IF(Data!AG170&gt;0,(Duplicate!$K$23*Data!AG170)+Data!AI170,(Duplicate!$K$24*Data!AG170)+Data!AI170),IF(Data!AF170&gt;0,(Duplicate!$K$23*Data!AF170)+Data!AI170,(Duplicate!$K$24*Data!AF170)+Data!AI170)),0)</f>
        <v>47169504</v>
      </c>
      <c r="L227" s="143">
        <f>ROUND(IF($E$31="Yes",IF(Data!$AG170&gt;0,(Duplicate!$L$23*Data!$AG170)+K227,(Duplicate!$L$24*Data!$AG170)+K227),IF(Data!$AF170&gt;0,(Duplicate!$L$23*Data!$AF170)+K227,(Duplicate!$L$24*Data!$AF170)+K227)),0)</f>
        <v>48550563</v>
      </c>
      <c r="M227" s="143">
        <f>ROUND(IF($E$31="Yes",IF(Data!$AG170&gt;0,(Duplicate!$M$23*Data!$AG170)+L227,(Duplicate!$M$24*Data!$AG170)+L227),IF(Data!$AF170&gt;0,(Duplicate!$M$23*Data!$AF170)+L227,(Duplicate!$M$24*Data!$AF170)+L227)),0)</f>
        <v>49931622</v>
      </c>
      <c r="N227" s="143">
        <f>ROUND(IF($E$31="Yes",IF(Data!$AG170&gt;0,(Duplicate!$N$23*Data!$AG170)+M227,(Duplicate!$N$24*Data!$AG170)+M227),IF(Data!$AF170&gt;0,(Duplicate!$N$23*Data!$AF170)+M227,(Duplicate!$N$24*Data!$AF170)+M227)),0)</f>
        <v>51312681</v>
      </c>
      <c r="O227" s="143">
        <f>ROUND(IF($E$31="Yes",IF(Data!$AG170&gt;0,(Duplicate!$O$23*Data!$AG170)+N227,(Duplicate!$O$24*Data!$AG170)+N227),IF(Data!$AF170&gt;0,(Duplicate!$O$23*Data!$AF170)+N227,(Duplicate!$O$24*Data!$AF170)+N227)),0)</f>
        <v>52693740</v>
      </c>
      <c r="P227" s="143">
        <f>ROUND(IF($E$31="Yes",IF(Data!$AG170&gt;0,(Duplicate!$P$23*Data!$AG170)+O227,(Duplicate!$P$24*Data!$AG170)+O227),IF(Data!$AF170&gt;0,(Duplicate!$P$23*Data!$AF170)+O227,(Duplicate!$P$24*Data!$AF170)+O227)),0)</f>
        <v>54074799</v>
      </c>
      <c r="Q227" s="143">
        <f>ROUND(IF($E$31="Yes",IF(Data!$AG170&gt;0,(Duplicate!$Q$23*Data!$AG170)+P227,(Duplicate!$Q$24*Data!$AG170)+P227),IF(Data!$AF170&gt;0,(Duplicate!$Q$23*Data!$AF170)+P227,(Duplicate!$Q$24*Data!$AF170)+P227)),0)</f>
        <v>55455858</v>
      </c>
      <c r="R227" s="143">
        <f>ROUND(IF($E$31="Yes",IF(Data!$AG170&gt;0,(Duplicate!$R$23*Data!$AG170)+Q227,(Duplicate!$R$24*Data!$AG170)+Q227),IF(Data!$AF170&gt;0,(Duplicate!$R$23*Data!$AF170)+Q227,(Duplicate!$R$24*Data!$AF170)+Q227)),0)</f>
        <v>56836917</v>
      </c>
      <c r="S227" s="143">
        <f>ROUND(IF($E$31="Yes",IF(Data!$AG170&gt;0,(Duplicate!$S$23*Data!$AG170)+R227,(Duplicate!$S$24*Data!$AG170)+R227),IF(Data!$AF170&gt;0,(Duplicate!$S$23*Data!$AF170)+R227,(Duplicate!$S$24*Data!$AF170)+R227)),0)</f>
        <v>58217976</v>
      </c>
      <c r="T227" s="143">
        <v>47400375</v>
      </c>
      <c r="U227" s="143">
        <v>49012306</v>
      </c>
      <c r="V227" s="143">
        <v>50624237</v>
      </c>
      <c r="W227" s="143">
        <v>52236168</v>
      </c>
      <c r="X227" s="143">
        <v>53848099</v>
      </c>
      <c r="Y227" s="143">
        <v>55460030</v>
      </c>
      <c r="Z227" s="143">
        <v>57071961</v>
      </c>
      <c r="AA227" s="143">
        <v>58683892</v>
      </c>
      <c r="AB227" s="143">
        <v>60295823</v>
      </c>
      <c r="AC227" s="129">
        <f t="shared" si="98"/>
        <v>-230871</v>
      </c>
      <c r="AD227" s="129">
        <f t="shared" si="98"/>
        <v>-461743</v>
      </c>
      <c r="AE227" s="129">
        <f t="shared" si="98"/>
        <v>-692615</v>
      </c>
      <c r="AF227" s="129">
        <f t="shared" si="99"/>
        <v>-923487</v>
      </c>
      <c r="AG227" s="129">
        <f t="shared" si="100"/>
        <v>-1154359</v>
      </c>
      <c r="AH227" s="129">
        <f t="shared" si="101"/>
        <v>-1385231</v>
      </c>
      <c r="AI227" s="129">
        <f t="shared" si="102"/>
        <v>-1616103</v>
      </c>
      <c r="AJ227" s="129">
        <f t="shared" si="103"/>
        <v>-1846975</v>
      </c>
      <c r="AK227" s="129">
        <f t="shared" si="104"/>
        <v>-2077847</v>
      </c>
      <c r="AL227" s="127">
        <f t="shared" si="105"/>
        <v>-4.8706576688475334E-3</v>
      </c>
      <c r="AM227" s="127">
        <f t="shared" si="105"/>
        <v>-9.4209605236692529E-3</v>
      </c>
      <c r="AN227" s="127">
        <f t="shared" si="105"/>
        <v>-1.368149015263187E-2</v>
      </c>
      <c r="AO227" s="127">
        <f t="shared" si="106"/>
        <v>-1.7679072477138846E-2</v>
      </c>
      <c r="AP227" s="127">
        <f t="shared" si="107"/>
        <v>-2.1437321306365886E-2</v>
      </c>
      <c r="AQ227" s="127">
        <f t="shared" si="108"/>
        <v>-2.497710513319229E-2</v>
      </c>
      <c r="AR227" s="127">
        <f t="shared" si="109"/>
        <v>-2.831693482549158E-2</v>
      </c>
      <c r="AS227" s="127">
        <f t="shared" si="110"/>
        <v>-3.1473287422722374E-2</v>
      </c>
      <c r="AT227" s="127">
        <f t="shared" si="111"/>
        <v>-3.4460877994815675E-2</v>
      </c>
    </row>
    <row r="228" spans="1:46" s="18" customFormat="1" ht="13" x14ac:dyDescent="0.15">
      <c r="A228" s="29" t="s">
        <v>169</v>
      </c>
      <c r="B228" s="30">
        <f>IF(Data!D171=1, MAX(Data!AA171, $E$26) + INDEX(Duplicate!$E$39:$E$43, MATCH( Data!AD171, Duplicate!$B$39:$B$43, 0), 0), MAX(Data!AA171, $E$27) +  INDEX(Duplicate!$E$39:$E$43, MATCH( Data!AD171, Duplicate!$B$39:$B$43, 0), 0))</f>
        <v>0.01</v>
      </c>
      <c r="C228" s="128">
        <f>ROUND(Data!R171/13*100, 2)</f>
        <v>0</v>
      </c>
      <c r="D228" s="141">
        <f>ROUND(Data!Q171*C228, 0)</f>
        <v>0</v>
      </c>
      <c r="E228" s="142">
        <f>ROUND($E$22*Data!W171*B228, 0)</f>
        <v>261074</v>
      </c>
      <c r="F228" s="143">
        <f>IF(E228=0, 0,IF($E$31="Yes", IF(Data!D171=1, MAX(Duplicate!D228+Duplicate!E228, Data!AE171), Duplicate!D228+Duplicate!E228), Duplicate!D228+Duplicate!E228))</f>
        <v>261074</v>
      </c>
      <c r="G228" s="143">
        <v>265840</v>
      </c>
      <c r="H228" s="129">
        <f>F228-Data!AL171</f>
        <v>-2718</v>
      </c>
      <c r="I228" s="127">
        <f>((F228)/(Data!AL171)) - 1</f>
        <v>-1.0303572511675907E-2</v>
      </c>
      <c r="J228" s="127">
        <f t="shared" si="79"/>
        <v>-1.7928077038820378E-2</v>
      </c>
      <c r="K228" s="143">
        <f>ROUND(IF($E$31="Yes",IF(Data!AG171&gt;0,(Duplicate!$K$23*Data!AG171)+Data!AI171,(Duplicate!$K$24*Data!AG171)+Data!AI171),IF(Data!AF171&gt;0,(Duplicate!$K$23*Data!AF171)+Data!AI171,(Duplicate!$K$24*Data!AF171)+Data!AI171)),0)</f>
        <v>263436</v>
      </c>
      <c r="L228" s="143">
        <f>ROUND(IF($E$31="Yes",IF(Data!$AG171&gt;0,(Duplicate!$L$23*Data!$AG171)+K228,(Duplicate!$L$24*Data!$AG171)+K228),IF(Data!$AF171&gt;0,(Duplicate!$L$23*Data!$AF171)+K228,(Duplicate!$L$24*Data!$AF171)+K228)),0)</f>
        <v>263240</v>
      </c>
      <c r="M228" s="143">
        <f>ROUND(IF($E$31="Yes",IF(Data!$AG171&gt;0,(Duplicate!$M$23*Data!$AG171)+L228,(Duplicate!$M$24*Data!$AG171)+L228),IF(Data!$AF171&gt;0,(Duplicate!$M$23*Data!$AF171)+L228,(Duplicate!$M$24*Data!$AF171)+L228)),0)</f>
        <v>263044</v>
      </c>
      <c r="N228" s="143">
        <f>ROUND(IF($E$31="Yes",IF(Data!$AG171&gt;0,(Duplicate!$N$23*Data!$AG171)+M228,(Duplicate!$N$24*Data!$AG171)+M228),IF(Data!$AF171&gt;0,(Duplicate!$N$23*Data!$AF171)+M228,(Duplicate!$N$24*Data!$AF171)+M228)),0)</f>
        <v>262848</v>
      </c>
      <c r="O228" s="143">
        <f>ROUND(IF($E$31="Yes",IF(Data!$AG171&gt;0,(Duplicate!$O$23*Data!$AG171)+N228,(Duplicate!$O$24*Data!$AG171)+N228),IF(Data!$AF171&gt;0,(Duplicate!$O$23*Data!$AF171)+N228,(Duplicate!$O$24*Data!$AF171)+N228)),0)</f>
        <v>262652</v>
      </c>
      <c r="P228" s="143">
        <f>ROUND(IF($E$31="Yes",IF(Data!$AG171&gt;0,(Duplicate!$P$23*Data!$AG171)+O228,(Duplicate!$P$24*Data!$AG171)+O228),IF(Data!$AF171&gt;0,(Duplicate!$P$23*Data!$AF171)+O228,(Duplicate!$P$24*Data!$AF171)+O228)),0)</f>
        <v>262456</v>
      </c>
      <c r="Q228" s="143">
        <f>ROUND(IF($E$31="Yes",IF(Data!$AG171&gt;0,(Duplicate!$Q$23*Data!$AG171)+P228,(Duplicate!$Q$24*Data!$AG171)+P228),IF(Data!$AF171&gt;0,(Duplicate!$Q$23*Data!$AF171)+P228,(Duplicate!$Q$24*Data!$AF171)+P228)),0)</f>
        <v>262260</v>
      </c>
      <c r="R228" s="143">
        <f>ROUND(IF($E$31="Yes",IF(Data!$AG171&gt;0,(Duplicate!$R$23*Data!$AG171)+Q228,(Duplicate!$R$24*Data!$AG171)+Q228),IF(Data!$AF171&gt;0,(Duplicate!$R$23*Data!$AF171)+Q228,(Duplicate!$R$24*Data!$AF171)+Q228)),0)</f>
        <v>262064</v>
      </c>
      <c r="S228" s="143">
        <f>ROUND(IF($E$31="Yes",IF(Data!$AG171&gt;0,(Duplicate!$S$23*Data!$AG171)+R228,(Duplicate!$S$24*Data!$AG171)+R228),IF(Data!$AF171&gt;0,(Duplicate!$S$23*Data!$AF171)+R228,(Duplicate!$S$24*Data!$AF171)+R228)),0)</f>
        <v>261868</v>
      </c>
      <c r="T228" s="143">
        <v>263889</v>
      </c>
      <c r="U228" s="143">
        <v>264146</v>
      </c>
      <c r="V228" s="143">
        <v>264403</v>
      </c>
      <c r="W228" s="143">
        <v>264660</v>
      </c>
      <c r="X228" s="143">
        <v>264917</v>
      </c>
      <c r="Y228" s="143">
        <v>265174</v>
      </c>
      <c r="Z228" s="143">
        <v>265431</v>
      </c>
      <c r="AA228" s="143">
        <v>265688</v>
      </c>
      <c r="AB228" s="143">
        <v>265945</v>
      </c>
      <c r="AC228" s="129">
        <f t="shared" si="98"/>
        <v>-453</v>
      </c>
      <c r="AD228" s="129">
        <f t="shared" si="98"/>
        <v>-906</v>
      </c>
      <c r="AE228" s="129">
        <f t="shared" si="98"/>
        <v>-1359</v>
      </c>
      <c r="AF228" s="129">
        <f t="shared" si="99"/>
        <v>-1812</v>
      </c>
      <c r="AG228" s="129">
        <f t="shared" si="100"/>
        <v>-2265</v>
      </c>
      <c r="AH228" s="129">
        <f t="shared" si="101"/>
        <v>-2718</v>
      </c>
      <c r="AI228" s="129">
        <f t="shared" si="102"/>
        <v>-3171</v>
      </c>
      <c r="AJ228" s="129">
        <f t="shared" si="103"/>
        <v>-3624</v>
      </c>
      <c r="AK228" s="129">
        <f t="shared" si="104"/>
        <v>-4077</v>
      </c>
      <c r="AL228" s="127">
        <f t="shared" si="105"/>
        <v>-1.7166308561554766E-3</v>
      </c>
      <c r="AM228" s="127">
        <f t="shared" si="105"/>
        <v>-3.4299213313848664E-3</v>
      </c>
      <c r="AN228" s="127">
        <f t="shared" si="105"/>
        <v>-5.139881166249971E-3</v>
      </c>
      <c r="AO228" s="127">
        <f t="shared" si="106"/>
        <v>-6.8465200634776346E-3</v>
      </c>
      <c r="AP228" s="127">
        <f t="shared" si="107"/>
        <v>-8.549847688143819E-3</v>
      </c>
      <c r="AQ228" s="127">
        <f t="shared" si="108"/>
        <v>-1.0249873667855791E-2</v>
      </c>
      <c r="AR228" s="127">
        <f t="shared" si="109"/>
        <v>-1.1946607592933756E-2</v>
      </c>
      <c r="AS228" s="127">
        <f t="shared" si="110"/>
        <v>-1.3640059016590933E-2</v>
      </c>
      <c r="AT228" s="127">
        <f t="shared" si="111"/>
        <v>-1.5330237455112861E-2</v>
      </c>
    </row>
    <row r="229" spans="1:46" s="18" customFormat="1" ht="13" x14ac:dyDescent="0.15">
      <c r="A229" s="29" t="s">
        <v>170</v>
      </c>
      <c r="B229" s="30">
        <f>IF(Data!D172=1, MAX(Data!AA172, $E$26) + INDEX(Duplicate!$E$39:$E$43, MATCH( Data!AD172, Duplicate!$B$39:$B$43, 0), 0), MAX(Data!AA172, $E$27) +  INDEX(Duplicate!$E$39:$E$43, MATCH( Data!AD172, Duplicate!$B$39:$B$43, 0), 0))</f>
        <v>0.01</v>
      </c>
      <c r="C229" s="128">
        <f>ROUND(Data!R172/13*100, 2)</f>
        <v>0</v>
      </c>
      <c r="D229" s="141">
        <f>ROUND(Data!Q172*C229, 0)</f>
        <v>0</v>
      </c>
      <c r="E229" s="142">
        <f>ROUND($E$22*Data!W172*B229, 0)</f>
        <v>613251</v>
      </c>
      <c r="F229" s="143">
        <f>IF(E229=0, 0,IF($E$31="Yes", IF(Data!D172=1, MAX(Duplicate!D229+Duplicate!E229, Data!AE172), Duplicate!D229+Duplicate!E229), Duplicate!D229+Duplicate!E229))</f>
        <v>613251</v>
      </c>
      <c r="G229" s="143">
        <v>636289</v>
      </c>
      <c r="H229" s="129">
        <f>F229-Data!AL172</f>
        <v>105523</v>
      </c>
      <c r="I229" s="127">
        <f>((F229)/(Data!AL172)) - 1</f>
        <v>0.20783372199287808</v>
      </c>
      <c r="J229" s="127">
        <f t="shared" si="79"/>
        <v>-3.6206817971079164E-2</v>
      </c>
      <c r="K229" s="143">
        <f>ROUND(IF($E$31="Yes",IF(Data!AG172&gt;0,(Duplicate!$K$23*Data!AG172)+Data!AI172,(Duplicate!$K$24*Data!AG172)+Data!AI172),IF(Data!AF172&gt;0,(Duplicate!$K$23*Data!AF172)+Data!AI172,(Duplicate!$K$24*Data!AF172)+Data!AI172)),0)</f>
        <v>488722</v>
      </c>
      <c r="L229" s="143">
        <f>ROUND(IF($E$31="Yes",IF(Data!$AG172&gt;0,(Duplicate!$L$23*Data!$AG172)+K229,(Duplicate!$L$24*Data!$AG172)+K229),IF(Data!$AF172&gt;0,(Duplicate!$L$23*Data!$AF172)+K229,(Duplicate!$L$24*Data!$AF172)+K229)),0)</f>
        <v>504490</v>
      </c>
      <c r="M229" s="143">
        <f>ROUND(IF($E$31="Yes",IF(Data!$AG172&gt;0,(Duplicate!$M$23*Data!$AG172)+L229,(Duplicate!$M$24*Data!$AG172)+L229),IF(Data!$AF172&gt;0,(Duplicate!$M$23*Data!$AF172)+L229,(Duplicate!$M$24*Data!$AF172)+L229)),0)</f>
        <v>520258</v>
      </c>
      <c r="N229" s="143">
        <f>ROUND(IF($E$31="Yes",IF(Data!$AG172&gt;0,(Duplicate!$N$23*Data!$AG172)+M229,(Duplicate!$N$24*Data!$AG172)+M229),IF(Data!$AF172&gt;0,(Duplicate!$N$23*Data!$AF172)+M229,(Duplicate!$N$24*Data!$AF172)+M229)),0)</f>
        <v>536026</v>
      </c>
      <c r="O229" s="143">
        <f>ROUND(IF($E$31="Yes",IF(Data!$AG172&gt;0,(Duplicate!$O$23*Data!$AG172)+N229,(Duplicate!$O$24*Data!$AG172)+N229),IF(Data!$AF172&gt;0,(Duplicate!$O$23*Data!$AF172)+N229,(Duplicate!$O$24*Data!$AF172)+N229)),0)</f>
        <v>551794</v>
      </c>
      <c r="P229" s="143">
        <f>ROUND(IF($E$31="Yes",IF(Data!$AG172&gt;0,(Duplicate!$P$23*Data!$AG172)+O229,(Duplicate!$P$24*Data!$AG172)+O229),IF(Data!$AF172&gt;0,(Duplicate!$P$23*Data!$AF172)+O229,(Duplicate!$P$24*Data!$AF172)+O229)),0)</f>
        <v>567562</v>
      </c>
      <c r="Q229" s="143">
        <f>ROUND(IF($E$31="Yes",IF(Data!$AG172&gt;0,(Duplicate!$Q$23*Data!$AG172)+P229,(Duplicate!$Q$24*Data!$AG172)+P229),IF(Data!$AF172&gt;0,(Duplicate!$Q$23*Data!$AF172)+P229,(Duplicate!$Q$24*Data!$AF172)+P229)),0)</f>
        <v>583330</v>
      </c>
      <c r="R229" s="143">
        <f>ROUND(IF($E$31="Yes",IF(Data!$AG172&gt;0,(Duplicate!$R$23*Data!$AG172)+Q229,(Duplicate!$R$24*Data!$AG172)+Q229),IF(Data!$AF172&gt;0,(Duplicate!$R$23*Data!$AF172)+Q229,(Duplicate!$R$24*Data!$AF172)+Q229)),0)</f>
        <v>599098</v>
      </c>
      <c r="S229" s="143">
        <f>ROUND(IF($E$31="Yes",IF(Data!$AG172&gt;0,(Duplicate!$S$23*Data!$AG172)+R229,(Duplicate!$S$24*Data!$AG172)+R229),IF(Data!$AF172&gt;0,(Duplicate!$S$23*Data!$AF172)+R229,(Duplicate!$S$24*Data!$AF172)+R229)),0)</f>
        <v>614866</v>
      </c>
      <c r="T229" s="143">
        <v>491178</v>
      </c>
      <c r="U229" s="143">
        <v>509402</v>
      </c>
      <c r="V229" s="143">
        <v>527626</v>
      </c>
      <c r="W229" s="143">
        <v>545850</v>
      </c>
      <c r="X229" s="143">
        <v>564074</v>
      </c>
      <c r="Y229" s="143">
        <v>582298</v>
      </c>
      <c r="Z229" s="143">
        <v>600522</v>
      </c>
      <c r="AA229" s="143">
        <v>618746</v>
      </c>
      <c r="AB229" s="143">
        <v>636970</v>
      </c>
      <c r="AC229" s="129">
        <f t="shared" si="98"/>
        <v>-2456</v>
      </c>
      <c r="AD229" s="129">
        <f t="shared" si="98"/>
        <v>-4912</v>
      </c>
      <c r="AE229" s="129">
        <f t="shared" si="98"/>
        <v>-7368</v>
      </c>
      <c r="AF229" s="129">
        <f t="shared" si="99"/>
        <v>-9824</v>
      </c>
      <c r="AG229" s="129">
        <f t="shared" si="100"/>
        <v>-12280</v>
      </c>
      <c r="AH229" s="129">
        <f t="shared" si="101"/>
        <v>-14736</v>
      </c>
      <c r="AI229" s="129">
        <f t="shared" si="102"/>
        <v>-17192</v>
      </c>
      <c r="AJ229" s="129">
        <f t="shared" si="103"/>
        <v>-19648</v>
      </c>
      <c r="AK229" s="129">
        <f t="shared" si="104"/>
        <v>-22104</v>
      </c>
      <c r="AL229" s="127">
        <f t="shared" si="105"/>
        <v>-5.0002239513984303E-3</v>
      </c>
      <c r="AM229" s="127">
        <f t="shared" si="105"/>
        <v>-9.6426790629011716E-3</v>
      </c>
      <c r="AN229" s="127">
        <f t="shared" si="105"/>
        <v>-1.3964436930704704E-2</v>
      </c>
      <c r="AO229" s="127">
        <f t="shared" si="106"/>
        <v>-1.7997618393331472E-2</v>
      </c>
      <c r="AP229" s="127">
        <f t="shared" si="107"/>
        <v>-2.1770193272513838E-2</v>
      </c>
      <c r="AQ229" s="127">
        <f t="shared" si="108"/>
        <v>-2.5306629938622538E-2</v>
      </c>
      <c r="AR229" s="127">
        <f t="shared" si="109"/>
        <v>-2.862842660218945E-2</v>
      </c>
      <c r="AS229" s="127">
        <f t="shared" si="110"/>
        <v>-3.1754548716274478E-2</v>
      </c>
      <c r="AT229" s="127">
        <f t="shared" si="111"/>
        <v>-3.4701791293153539E-2</v>
      </c>
    </row>
    <row r="230" spans="1:46" s="18" customFormat="1" ht="13" x14ac:dyDescent="0.15">
      <c r="A230" s="29" t="s">
        <v>171</v>
      </c>
      <c r="B230" s="30">
        <f>IF(Data!D173=1, MAX(Data!AA173, $E$26) + INDEX(Duplicate!$E$39:$E$43, MATCH( Data!AD173, Duplicate!$B$39:$B$43, 0), 0), MAX(Data!AA173, $E$27) +  INDEX(Duplicate!$E$39:$E$43, MATCH( Data!AD173, Duplicate!$B$39:$B$43, 0), 0))</f>
        <v>0.326849</v>
      </c>
      <c r="C230" s="128">
        <f>ROUND(Data!R173/13*100, 2)</f>
        <v>0</v>
      </c>
      <c r="D230" s="141">
        <f>ROUND(Data!Q173*C230, 0)</f>
        <v>0</v>
      </c>
      <c r="E230" s="142">
        <f>ROUND($E$22*Data!W173*B230, 0)</f>
        <v>15498827</v>
      </c>
      <c r="F230" s="143">
        <f>IF(E230=0, 0,IF($E$31="Yes", IF(Data!D173=1, MAX(Duplicate!D230+Duplicate!E230, Data!AE173), Duplicate!D230+Duplicate!E230), Duplicate!D230+Duplicate!E230))</f>
        <v>15498827</v>
      </c>
      <c r="G230" s="143">
        <v>15608647</v>
      </c>
      <c r="H230" s="129">
        <f>F230-Data!AL173</f>
        <v>4613650</v>
      </c>
      <c r="I230" s="127">
        <f>((F230)/(Data!AL173)) - 1</f>
        <v>0.42384703528477297</v>
      </c>
      <c r="J230" s="127">
        <f t="shared" si="79"/>
        <v>-7.0358436576853922E-3</v>
      </c>
      <c r="K230" s="143">
        <f>ROUND(IF($E$31="Yes",IF(Data!AG173&gt;0,(Duplicate!$K$23*Data!AG173)+Data!AI173,(Duplicate!$K$24*Data!AG173)+Data!AI173),IF(Data!AF173&gt;0,(Duplicate!$K$23*Data!AF173)+Data!AI173,(Duplicate!$K$24*Data!AF173)+Data!AI173)),0)</f>
        <v>10263163</v>
      </c>
      <c r="L230" s="143">
        <f>ROUND(IF($E$31="Yes",IF(Data!$AG173&gt;0,(Duplicate!$L$23*Data!$AG173)+K230,(Duplicate!$L$24*Data!$AG173)+K230),IF(Data!$AF173&gt;0,(Duplicate!$L$23*Data!$AF173)+K230,(Duplicate!$L$24*Data!$AF173)+K230)),0)</f>
        <v>10918750</v>
      </c>
      <c r="M230" s="143">
        <f>ROUND(IF($E$31="Yes",IF(Data!$AG173&gt;0,(Duplicate!$M$23*Data!$AG173)+L230,(Duplicate!$M$24*Data!$AG173)+L230),IF(Data!$AF173&gt;0,(Duplicate!$M$23*Data!$AF173)+L230,(Duplicate!$M$24*Data!$AF173)+L230)),0)</f>
        <v>11574337</v>
      </c>
      <c r="N230" s="143">
        <f>ROUND(IF($E$31="Yes",IF(Data!$AG173&gt;0,(Duplicate!$N$23*Data!$AG173)+M230,(Duplicate!$N$24*Data!$AG173)+M230),IF(Data!$AF173&gt;0,(Duplicate!$N$23*Data!$AF173)+M230,(Duplicate!$N$24*Data!$AF173)+M230)),0)</f>
        <v>12229924</v>
      </c>
      <c r="O230" s="143">
        <f>ROUND(IF($E$31="Yes",IF(Data!$AG173&gt;0,(Duplicate!$O$23*Data!$AG173)+N230,(Duplicate!$O$24*Data!$AG173)+N230),IF(Data!$AF173&gt;0,(Duplicate!$O$23*Data!$AF173)+N230,(Duplicate!$O$24*Data!$AF173)+N230)),0)</f>
        <v>12885511</v>
      </c>
      <c r="P230" s="143">
        <f>ROUND(IF($E$31="Yes",IF(Data!$AG173&gt;0,(Duplicate!$P$23*Data!$AG173)+O230,(Duplicate!$P$24*Data!$AG173)+O230),IF(Data!$AF173&gt;0,(Duplicate!$P$23*Data!$AF173)+O230,(Duplicate!$P$24*Data!$AF173)+O230)),0)</f>
        <v>13541098</v>
      </c>
      <c r="Q230" s="143">
        <f>ROUND(IF($E$31="Yes",IF(Data!$AG173&gt;0,(Duplicate!$Q$23*Data!$AG173)+P230,(Duplicate!$Q$24*Data!$AG173)+P230),IF(Data!$AF173&gt;0,(Duplicate!$Q$23*Data!$AF173)+P230,(Duplicate!$Q$24*Data!$AF173)+P230)),0)</f>
        <v>14196685</v>
      </c>
      <c r="R230" s="143">
        <f>ROUND(IF($E$31="Yes",IF(Data!$AG173&gt;0,(Duplicate!$R$23*Data!$AG173)+Q230,(Duplicate!$R$24*Data!$AG173)+Q230),IF(Data!$AF173&gt;0,(Duplicate!$R$23*Data!$AF173)+Q230,(Duplicate!$R$24*Data!$AF173)+Q230)),0)</f>
        <v>14852272</v>
      </c>
      <c r="S230" s="143">
        <f>ROUND(IF($E$31="Yes",IF(Data!$AG173&gt;0,(Duplicate!$S$23*Data!$AG173)+R230,(Duplicate!$S$24*Data!$AG173)+R230),IF(Data!$AF173&gt;0,(Duplicate!$S$23*Data!$AF173)+R230,(Duplicate!$S$24*Data!$AF173)+R230)),0)</f>
        <v>15507859</v>
      </c>
      <c r="T230" s="143">
        <v>10274870</v>
      </c>
      <c r="U230" s="143">
        <v>10942164</v>
      </c>
      <c r="V230" s="143">
        <v>11609458</v>
      </c>
      <c r="W230" s="143">
        <v>12276752</v>
      </c>
      <c r="X230" s="143">
        <v>12944046</v>
      </c>
      <c r="Y230" s="143">
        <v>13611340</v>
      </c>
      <c r="Z230" s="143">
        <v>14278634</v>
      </c>
      <c r="AA230" s="143">
        <v>14945928</v>
      </c>
      <c r="AB230" s="143">
        <v>15613222</v>
      </c>
      <c r="AC230" s="129">
        <f t="shared" si="98"/>
        <v>-11707</v>
      </c>
      <c r="AD230" s="129">
        <f t="shared" si="98"/>
        <v>-23414</v>
      </c>
      <c r="AE230" s="129">
        <f t="shared" si="98"/>
        <v>-35121</v>
      </c>
      <c r="AF230" s="129">
        <f t="shared" si="99"/>
        <v>-46828</v>
      </c>
      <c r="AG230" s="129">
        <f t="shared" si="100"/>
        <v>-58535</v>
      </c>
      <c r="AH230" s="129">
        <f t="shared" si="101"/>
        <v>-70242</v>
      </c>
      <c r="AI230" s="129">
        <f t="shared" si="102"/>
        <v>-81949</v>
      </c>
      <c r="AJ230" s="129">
        <f t="shared" si="103"/>
        <v>-93656</v>
      </c>
      <c r="AK230" s="129">
        <f t="shared" si="104"/>
        <v>-105363</v>
      </c>
      <c r="AL230" s="127">
        <f t="shared" si="105"/>
        <v>-1.1393818121300248E-3</v>
      </c>
      <c r="AM230" s="127">
        <f t="shared" si="105"/>
        <v>-2.1397961134561605E-3</v>
      </c>
      <c r="AN230" s="127">
        <f t="shared" si="105"/>
        <v>-3.0252058278689153E-3</v>
      </c>
      <c r="AO230" s="127">
        <f t="shared" si="106"/>
        <v>-3.8143639294823117E-3</v>
      </c>
      <c r="AP230" s="127">
        <f t="shared" si="107"/>
        <v>-4.5221563644010088E-3</v>
      </c>
      <c r="AQ230" s="127">
        <f t="shared" si="108"/>
        <v>-5.1605499532008103E-3</v>
      </c>
      <c r="AR230" s="127">
        <f t="shared" si="109"/>
        <v>-5.7392744992272871E-3</v>
      </c>
      <c r="AS230" s="127">
        <f t="shared" si="110"/>
        <v>-6.2663221714971407E-3</v>
      </c>
      <c r="AT230" s="127">
        <f t="shared" si="111"/>
        <v>-6.7483188287466023E-3</v>
      </c>
    </row>
    <row r="231" spans="1:46" s="18" customFormat="1" ht="13" x14ac:dyDescent="0.15">
      <c r="A231" s="29" t="s">
        <v>172</v>
      </c>
      <c r="B231" s="30">
        <f>IF(Data!D174=1, MAX(Data!AA174, $E$26) + INDEX(Duplicate!$E$39:$E$43, MATCH( Data!AD174, Duplicate!$B$39:$B$43, 0), 0), MAX(Data!AA174, $E$27) +  INDEX(Duplicate!$E$39:$E$43, MATCH( Data!AD174, Duplicate!$B$39:$B$43, 0), 0))</f>
        <v>0.41932599999999998</v>
      </c>
      <c r="C231" s="128">
        <f>ROUND(Data!R174/13*100, 2)</f>
        <v>30.77</v>
      </c>
      <c r="D231" s="141">
        <f>ROUND(Data!Q174*C231, 0)</f>
        <v>5508</v>
      </c>
      <c r="E231" s="142">
        <f>ROUND($E$22*Data!W174*B231, 0)</f>
        <v>3168339</v>
      </c>
      <c r="F231" s="143">
        <f>IF(E231=0, 0,IF($E$31="Yes", IF(Data!D174=1, MAX(Duplicate!D231+Duplicate!E231, Data!AE174), Duplicate!D231+Duplicate!E231), Duplicate!D231+Duplicate!E231))</f>
        <v>3173847</v>
      </c>
      <c r="G231" s="143">
        <v>3163318</v>
      </c>
      <c r="H231" s="129">
        <f>F231-Data!AL174</f>
        <v>-282747</v>
      </c>
      <c r="I231" s="127">
        <f>((F231)/(Data!AL174)) - 1</f>
        <v>-8.1799308799355708E-2</v>
      </c>
      <c r="J231" s="127">
        <f t="shared" si="79"/>
        <v>3.3284671348248196E-3</v>
      </c>
      <c r="K231" s="143">
        <f>ROUND(IF($E$31="Yes",IF(Data!AG174&gt;0,(Duplicate!$K$23*Data!AG174)+Data!AI174,(Duplicate!$K$24*Data!AG174)+Data!AI174),IF(Data!AF174&gt;0,(Duplicate!$K$23*Data!AF174)+Data!AI174,(Duplicate!$K$24*Data!AF174)+Data!AI174)),0)</f>
        <v>3501655</v>
      </c>
      <c r="L231" s="143">
        <f>ROUND(IF($E$31="Yes",IF(Data!$AG174&gt;0,(Duplicate!$L$23*Data!$AG174)+K231,(Duplicate!$L$24*Data!$AG174)+K231),IF(Data!$AF174&gt;0,(Duplicate!$L$23*Data!$AF174)+K231,(Duplicate!$L$24*Data!$AF174)+K231)),0)</f>
        <v>3468566</v>
      </c>
      <c r="M231" s="143">
        <f>ROUND(IF($E$31="Yes",IF(Data!$AG174&gt;0,(Duplicate!$M$23*Data!$AG174)+L231,(Duplicate!$M$24*Data!$AG174)+L231),IF(Data!$AF174&gt;0,(Duplicate!$M$23*Data!$AF174)+L231,(Duplicate!$M$24*Data!$AF174)+L231)),0)</f>
        <v>3435477</v>
      </c>
      <c r="N231" s="143">
        <f>ROUND(IF($E$31="Yes",IF(Data!$AG174&gt;0,(Duplicate!$N$23*Data!$AG174)+M231,(Duplicate!$N$24*Data!$AG174)+M231),IF(Data!$AF174&gt;0,(Duplicate!$N$23*Data!$AF174)+M231,(Duplicate!$N$24*Data!$AF174)+M231)),0)</f>
        <v>3402388</v>
      </c>
      <c r="O231" s="143">
        <f>ROUND(IF($E$31="Yes",IF(Data!$AG174&gt;0,(Duplicate!$O$23*Data!$AG174)+N231,(Duplicate!$O$24*Data!$AG174)+N231),IF(Data!$AF174&gt;0,(Duplicate!$O$23*Data!$AF174)+N231,(Duplicate!$O$24*Data!$AF174)+N231)),0)</f>
        <v>3369299</v>
      </c>
      <c r="P231" s="143">
        <f>ROUND(IF($E$31="Yes",IF(Data!$AG174&gt;0,(Duplicate!$P$23*Data!$AG174)+O231,(Duplicate!$P$24*Data!$AG174)+O231),IF(Data!$AF174&gt;0,(Duplicate!$P$23*Data!$AF174)+O231,(Duplicate!$P$24*Data!$AF174)+O231)),0)</f>
        <v>3336210</v>
      </c>
      <c r="Q231" s="143">
        <f>ROUND(IF($E$31="Yes",IF(Data!$AG174&gt;0,(Duplicate!$Q$23*Data!$AG174)+P231,(Duplicate!$Q$24*Data!$AG174)+P231),IF(Data!$AF174&gt;0,(Duplicate!$Q$23*Data!$AF174)+P231,(Duplicate!$Q$24*Data!$AF174)+P231)),0)</f>
        <v>3303121</v>
      </c>
      <c r="R231" s="143">
        <f>ROUND(IF($E$31="Yes",IF(Data!$AG174&gt;0,(Duplicate!$R$23*Data!$AG174)+Q231,(Duplicate!$R$24*Data!$AG174)+Q231),IF(Data!$AF174&gt;0,(Duplicate!$R$23*Data!$AF174)+Q231,(Duplicate!$R$24*Data!$AF174)+Q231)),0)</f>
        <v>3270032</v>
      </c>
      <c r="S231" s="143">
        <f>ROUND(IF($E$31="Yes",IF(Data!$AG174&gt;0,(Duplicate!$S$23*Data!$AG174)+R231,(Duplicate!$S$24*Data!$AG174)+R231),IF(Data!$AF174&gt;0,(Duplicate!$S$23*Data!$AF174)+R231,(Duplicate!$S$24*Data!$AF174)+R231)),0)</f>
        <v>3236943</v>
      </c>
      <c r="T231" s="143">
        <v>3495273</v>
      </c>
      <c r="U231" s="143">
        <v>3455802</v>
      </c>
      <c r="V231" s="143">
        <v>3416331</v>
      </c>
      <c r="W231" s="143">
        <v>3376860</v>
      </c>
      <c r="X231" s="143">
        <v>3337389</v>
      </c>
      <c r="Y231" s="143">
        <v>3297918</v>
      </c>
      <c r="Z231" s="143">
        <v>3258447</v>
      </c>
      <c r="AA231" s="143">
        <v>3218976</v>
      </c>
      <c r="AB231" s="143">
        <v>3179505</v>
      </c>
      <c r="AC231" s="129">
        <f t="shared" si="98"/>
        <v>6382</v>
      </c>
      <c r="AD231" s="129">
        <f t="shared" si="98"/>
        <v>12764</v>
      </c>
      <c r="AE231" s="129">
        <f t="shared" si="98"/>
        <v>19146</v>
      </c>
      <c r="AF231" s="129">
        <f t="shared" si="99"/>
        <v>25528</v>
      </c>
      <c r="AG231" s="129">
        <f t="shared" si="100"/>
        <v>31910</v>
      </c>
      <c r="AH231" s="129">
        <f t="shared" si="101"/>
        <v>38292</v>
      </c>
      <c r="AI231" s="129">
        <f t="shared" si="102"/>
        <v>44674</v>
      </c>
      <c r="AJ231" s="129">
        <f t="shared" si="103"/>
        <v>51056</v>
      </c>
      <c r="AK231" s="129">
        <f t="shared" si="104"/>
        <v>57438</v>
      </c>
      <c r="AL231" s="127">
        <f t="shared" si="105"/>
        <v>1.8258945724696218E-3</v>
      </c>
      <c r="AM231" s="127">
        <f t="shared" si="105"/>
        <v>3.6934986437302531E-3</v>
      </c>
      <c r="AN231" s="127">
        <f t="shared" si="105"/>
        <v>5.6042579012396398E-3</v>
      </c>
      <c r="AO231" s="127">
        <f t="shared" si="106"/>
        <v>7.5596856251074485E-3</v>
      </c>
      <c r="AP231" s="127">
        <f t="shared" si="107"/>
        <v>9.5613666851541712E-3</v>
      </c>
      <c r="AQ231" s="127">
        <f t="shared" si="108"/>
        <v>1.1610961825005983E-2</v>
      </c>
      <c r="AR231" s="127">
        <f t="shared" si="109"/>
        <v>1.3710212257556975E-2</v>
      </c>
      <c r="AS231" s="127">
        <f t="shared" si="110"/>
        <v>1.5860944598530713E-2</v>
      </c>
      <c r="AT231" s="127">
        <f t="shared" si="111"/>
        <v>1.8065076167516736E-2</v>
      </c>
    </row>
    <row r="232" spans="1:46" s="18" customFormat="1" ht="13" x14ac:dyDescent="0.15">
      <c r="A232" s="29" t="s">
        <v>173</v>
      </c>
      <c r="B232" s="30">
        <f>IF(Data!D175=1, MAX(Data!AA175, $E$26) + INDEX(Duplicate!$E$39:$E$43, MATCH( Data!AD175, Duplicate!$B$39:$B$43, 0), 0), MAX(Data!AA175, $E$27) +  INDEX(Duplicate!$E$39:$E$43, MATCH( Data!AD175, Duplicate!$B$39:$B$43, 0), 0))</f>
        <v>0.01</v>
      </c>
      <c r="C232" s="128">
        <f>ROUND(Data!R175/13*100, 2)</f>
        <v>0</v>
      </c>
      <c r="D232" s="141">
        <f>ROUND(Data!Q175*C232, 0)</f>
        <v>0</v>
      </c>
      <c r="E232" s="142">
        <f>ROUND($E$22*Data!W175*B232, 0)</f>
        <v>429144</v>
      </c>
      <c r="F232" s="143">
        <f>IF(E232=0, 0,IF($E$31="Yes", IF(Data!D175=1, MAX(Duplicate!D232+Duplicate!E232, Data!AE175), Duplicate!D232+Duplicate!E232), Duplicate!D232+Duplicate!E232))</f>
        <v>429144</v>
      </c>
      <c r="G232" s="143">
        <v>459556</v>
      </c>
      <c r="H232" s="129">
        <f>F232-Data!AL175</f>
        <v>-32652</v>
      </c>
      <c r="I232" s="127">
        <f>((F232)/(Data!AL175)) - 1</f>
        <v>-7.0706545747472926E-2</v>
      </c>
      <c r="J232" s="127">
        <f t="shared" si="79"/>
        <v>-6.6176918590987843E-2</v>
      </c>
      <c r="K232" s="143">
        <f>ROUND(IF($E$31="Yes",IF(Data!AG175&gt;0,(Duplicate!$K$23*Data!AG175)+Data!AI175,(Duplicate!$K$24*Data!AG175)+Data!AI175),IF(Data!AF175&gt;0,(Duplicate!$K$23*Data!AF175)+Data!AI175,(Duplicate!$K$24*Data!AF175)+Data!AI175)),0)</f>
        <v>460364</v>
      </c>
      <c r="L232" s="143">
        <f>ROUND(IF($E$31="Yes",IF(Data!$AG175&gt;0,(Duplicate!$L$23*Data!$AG175)+K232,(Duplicate!$L$24*Data!$AG175)+K232),IF(Data!$AF175&gt;0,(Duplicate!$L$23*Data!$AF175)+K232,(Duplicate!$L$24*Data!$AF175)+K232)),0)</f>
        <v>457549</v>
      </c>
      <c r="M232" s="143">
        <f>ROUND(IF($E$31="Yes",IF(Data!$AG175&gt;0,(Duplicate!$M$23*Data!$AG175)+L232,(Duplicate!$M$24*Data!$AG175)+L232),IF(Data!$AF175&gt;0,(Duplicate!$M$23*Data!$AF175)+L232,(Duplicate!$M$24*Data!$AF175)+L232)),0)</f>
        <v>454734</v>
      </c>
      <c r="N232" s="143">
        <f>ROUND(IF($E$31="Yes",IF(Data!$AG175&gt;0,(Duplicate!$N$23*Data!$AG175)+M232,(Duplicate!$N$24*Data!$AG175)+M232),IF(Data!$AF175&gt;0,(Duplicate!$N$23*Data!$AF175)+M232,(Duplicate!$N$24*Data!$AF175)+M232)),0)</f>
        <v>451919</v>
      </c>
      <c r="O232" s="143">
        <f>ROUND(IF($E$31="Yes",IF(Data!$AG175&gt;0,(Duplicate!$O$23*Data!$AG175)+N232,(Duplicate!$O$24*Data!$AG175)+N232),IF(Data!$AF175&gt;0,(Duplicate!$O$23*Data!$AF175)+N232,(Duplicate!$O$24*Data!$AF175)+N232)),0)</f>
        <v>449104</v>
      </c>
      <c r="P232" s="143">
        <f>ROUND(IF($E$31="Yes",IF(Data!$AG175&gt;0,(Duplicate!$P$23*Data!$AG175)+O232,(Duplicate!$P$24*Data!$AG175)+O232),IF(Data!$AF175&gt;0,(Duplicate!$P$23*Data!$AF175)+O232,(Duplicate!$P$24*Data!$AF175)+O232)),0)</f>
        <v>446289</v>
      </c>
      <c r="Q232" s="143">
        <f>ROUND(IF($E$31="Yes",IF(Data!$AG175&gt;0,(Duplicate!$Q$23*Data!$AG175)+P232,(Duplicate!$Q$24*Data!$AG175)+P232),IF(Data!$AF175&gt;0,(Duplicate!$Q$23*Data!$AF175)+P232,(Duplicate!$Q$24*Data!$AF175)+P232)),0)</f>
        <v>443474</v>
      </c>
      <c r="R232" s="143">
        <f>ROUND(IF($E$31="Yes",IF(Data!$AG175&gt;0,(Duplicate!$R$23*Data!$AG175)+Q232,(Duplicate!$R$24*Data!$AG175)+Q232),IF(Data!$AF175&gt;0,(Duplicate!$R$23*Data!$AF175)+Q232,(Duplicate!$R$24*Data!$AF175)+Q232)),0)</f>
        <v>440659</v>
      </c>
      <c r="S232" s="143">
        <f>ROUND(IF($E$31="Yes",IF(Data!$AG175&gt;0,(Duplicate!$S$23*Data!$AG175)+R232,(Duplicate!$S$24*Data!$AG175)+R232),IF(Data!$AF175&gt;0,(Duplicate!$S$23*Data!$AF175)+R232,(Duplicate!$S$24*Data!$AF175)+R232)),0)</f>
        <v>437844</v>
      </c>
      <c r="T232" s="143">
        <v>462897</v>
      </c>
      <c r="U232" s="143">
        <v>462615</v>
      </c>
      <c r="V232" s="143">
        <v>462333</v>
      </c>
      <c r="W232" s="143">
        <v>462051</v>
      </c>
      <c r="X232" s="143">
        <v>461769</v>
      </c>
      <c r="Y232" s="143">
        <v>461487</v>
      </c>
      <c r="Z232" s="143">
        <v>461205</v>
      </c>
      <c r="AA232" s="143">
        <v>460923</v>
      </c>
      <c r="AB232" s="143">
        <v>460641</v>
      </c>
      <c r="AC232" s="129">
        <f t="shared" si="98"/>
        <v>-2533</v>
      </c>
      <c r="AD232" s="129">
        <f t="shared" si="98"/>
        <v>-5066</v>
      </c>
      <c r="AE232" s="129">
        <f t="shared" si="98"/>
        <v>-7599</v>
      </c>
      <c r="AF232" s="129">
        <f t="shared" si="99"/>
        <v>-10132</v>
      </c>
      <c r="AG232" s="129">
        <f t="shared" si="100"/>
        <v>-12665</v>
      </c>
      <c r="AH232" s="129">
        <f t="shared" si="101"/>
        <v>-15198</v>
      </c>
      <c r="AI232" s="129">
        <f t="shared" si="102"/>
        <v>-17731</v>
      </c>
      <c r="AJ232" s="129">
        <f t="shared" si="103"/>
        <v>-20264</v>
      </c>
      <c r="AK232" s="129">
        <f t="shared" si="104"/>
        <v>-22797</v>
      </c>
      <c r="AL232" s="127">
        <f t="shared" si="105"/>
        <v>-5.4720596590601689E-3</v>
      </c>
      <c r="AM232" s="127">
        <f t="shared" si="105"/>
        <v>-1.0950790614225658E-2</v>
      </c>
      <c r="AN232" s="127">
        <f t="shared" si="105"/>
        <v>-1.6436205072966836E-2</v>
      </c>
      <c r="AO232" s="127">
        <f t="shared" si="106"/>
        <v>-2.1928315272556453E-2</v>
      </c>
      <c r="AP232" s="127">
        <f t="shared" si="107"/>
        <v>-2.7427133480160015E-2</v>
      </c>
      <c r="AQ232" s="127">
        <f t="shared" si="108"/>
        <v>-3.2932671992927265E-2</v>
      </c>
      <c r="AR232" s="127">
        <f t="shared" si="109"/>
        <v>-3.8444943138083887E-2</v>
      </c>
      <c r="AS232" s="127">
        <f t="shared" si="110"/>
        <v>-4.3963959273023878E-2</v>
      </c>
      <c r="AT232" s="127">
        <f t="shared" si="111"/>
        <v>-4.9489732785401253E-2</v>
      </c>
    </row>
    <row r="233" spans="1:46" s="18" customFormat="1" ht="13" x14ac:dyDescent="0.15">
      <c r="A233" s="29" t="s">
        <v>174</v>
      </c>
      <c r="B233" s="30">
        <f>IF(Data!D176=1, MAX(Data!AA176, $E$26) + INDEX(Duplicate!$E$39:$E$43, MATCH( Data!AD176, Duplicate!$B$39:$B$43, 0), 0), MAX(Data!AA176, $E$27) +  INDEX(Duplicate!$E$39:$E$43, MATCH( Data!AD176, Duplicate!$B$39:$B$43, 0), 0))</f>
        <v>0.481599</v>
      </c>
      <c r="C233" s="128">
        <f>ROUND(Data!R176/13*100, 2)</f>
        <v>0</v>
      </c>
      <c r="D233" s="141">
        <f>ROUND(Data!Q176*C233, 0)</f>
        <v>0</v>
      </c>
      <c r="E233" s="142">
        <f>ROUND($E$22*Data!W176*B233, 0)</f>
        <v>6900515</v>
      </c>
      <c r="F233" s="143">
        <f>IF(E233=0, 0,IF($E$31="Yes", IF(Data!D176=1, MAX(Duplicate!D233+Duplicate!E233, Data!AE176), Duplicate!D233+Duplicate!E233), Duplicate!D233+Duplicate!E233))</f>
        <v>8024957</v>
      </c>
      <c r="G233" s="143">
        <v>8024957</v>
      </c>
      <c r="H233" s="129">
        <f>F233-Data!AL176</f>
        <v>0</v>
      </c>
      <c r="I233" s="127">
        <f>((F233)/(Data!AL176)) - 1</f>
        <v>0</v>
      </c>
      <c r="J233" s="127">
        <f t="shared" si="79"/>
        <v>0</v>
      </c>
      <c r="K233" s="143">
        <f>ROUND(IF($E$31="Yes",IF(Data!AG176&gt;0,(Duplicate!$K$23*Data!AG176)+Data!AI176,(Duplicate!$K$24*Data!AG176)+Data!AI176),IF(Data!AF176&gt;0,(Duplicate!$K$23*Data!AF176)+Data!AI176,(Duplicate!$K$24*Data!AF176)+Data!AI176)),0)</f>
        <v>8024957</v>
      </c>
      <c r="L233" s="143">
        <f>ROUND(IF($E$31="Yes",IF(Data!$AG176&gt;0,(Duplicate!$L$23*Data!$AG176)+K233,(Duplicate!$L$24*Data!$AG176)+K233),IF(Data!$AF176&gt;0,(Duplicate!$L$23*Data!$AF176)+K233,(Duplicate!$L$24*Data!$AF176)+K233)),0)</f>
        <v>8024957</v>
      </c>
      <c r="M233" s="143">
        <f>ROUND(IF($E$31="Yes",IF(Data!$AG176&gt;0,(Duplicate!$M$23*Data!$AG176)+L233,(Duplicate!$M$24*Data!$AG176)+L233),IF(Data!$AF176&gt;0,(Duplicate!$M$23*Data!$AF176)+L233,(Duplicate!$M$24*Data!$AF176)+L233)),0)</f>
        <v>8024957</v>
      </c>
      <c r="N233" s="143">
        <f>ROUND(IF($E$31="Yes",IF(Data!$AG176&gt;0,(Duplicate!$N$23*Data!$AG176)+M233,(Duplicate!$N$24*Data!$AG176)+M233),IF(Data!$AF176&gt;0,(Duplicate!$N$23*Data!$AF176)+M233,(Duplicate!$N$24*Data!$AF176)+M233)),0)</f>
        <v>8024957</v>
      </c>
      <c r="O233" s="143">
        <f>ROUND(IF($E$31="Yes",IF(Data!$AG176&gt;0,(Duplicate!$O$23*Data!$AG176)+N233,(Duplicate!$O$24*Data!$AG176)+N233),IF(Data!$AF176&gt;0,(Duplicate!$O$23*Data!$AF176)+N233,(Duplicate!$O$24*Data!$AF176)+N233)),0)</f>
        <v>8024957</v>
      </c>
      <c r="P233" s="143">
        <f>ROUND(IF($E$31="Yes",IF(Data!$AG176&gt;0,(Duplicate!$P$23*Data!$AG176)+O233,(Duplicate!$P$24*Data!$AG176)+O233),IF(Data!$AF176&gt;0,(Duplicate!$P$23*Data!$AF176)+O233,(Duplicate!$P$24*Data!$AF176)+O233)),0)</f>
        <v>8024957</v>
      </c>
      <c r="Q233" s="143">
        <f>ROUND(IF($E$31="Yes",IF(Data!$AG176&gt;0,(Duplicate!$Q$23*Data!$AG176)+P233,(Duplicate!$Q$24*Data!$AG176)+P233),IF(Data!$AF176&gt;0,(Duplicate!$Q$23*Data!$AF176)+P233,(Duplicate!$Q$24*Data!$AF176)+P233)),0)</f>
        <v>8024957</v>
      </c>
      <c r="R233" s="143">
        <f>ROUND(IF($E$31="Yes",IF(Data!$AG176&gt;0,(Duplicate!$R$23*Data!$AG176)+Q233,(Duplicate!$R$24*Data!$AG176)+Q233),IF(Data!$AF176&gt;0,(Duplicate!$R$23*Data!$AF176)+Q233,(Duplicate!$R$24*Data!$AF176)+Q233)),0)</f>
        <v>8024957</v>
      </c>
      <c r="S233" s="143">
        <f>ROUND(IF($E$31="Yes",IF(Data!$AG176&gt;0,(Duplicate!$S$23*Data!$AG176)+R233,(Duplicate!$S$24*Data!$AG176)+R233),IF(Data!$AF176&gt;0,(Duplicate!$S$23*Data!$AF176)+R233,(Duplicate!$S$24*Data!$AF176)+R233)),0)</f>
        <v>8024957</v>
      </c>
      <c r="T233" s="143">
        <v>8024957</v>
      </c>
      <c r="U233" s="143">
        <v>8024957</v>
      </c>
      <c r="V233" s="143">
        <v>8024957</v>
      </c>
      <c r="W233" s="143">
        <v>8024957</v>
      </c>
      <c r="X233" s="143">
        <v>8024957</v>
      </c>
      <c r="Y233" s="143">
        <v>8024957</v>
      </c>
      <c r="Z233" s="143">
        <v>8024957</v>
      </c>
      <c r="AA233" s="143">
        <v>8024957</v>
      </c>
      <c r="AB233" s="143">
        <v>8024957</v>
      </c>
      <c r="AC233" s="129">
        <f t="shared" si="98"/>
        <v>0</v>
      </c>
      <c r="AD233" s="129">
        <f t="shared" si="98"/>
        <v>0</v>
      </c>
      <c r="AE233" s="129">
        <f t="shared" si="98"/>
        <v>0</v>
      </c>
      <c r="AF233" s="129">
        <f t="shared" si="99"/>
        <v>0</v>
      </c>
      <c r="AG233" s="129">
        <f t="shared" si="100"/>
        <v>0</v>
      </c>
      <c r="AH233" s="129">
        <f t="shared" si="101"/>
        <v>0</v>
      </c>
      <c r="AI233" s="129">
        <f t="shared" si="102"/>
        <v>0</v>
      </c>
      <c r="AJ233" s="129">
        <f t="shared" si="103"/>
        <v>0</v>
      </c>
      <c r="AK233" s="129">
        <f t="shared" si="104"/>
        <v>0</v>
      </c>
      <c r="AL233" s="127">
        <f t="shared" si="105"/>
        <v>0</v>
      </c>
      <c r="AM233" s="127">
        <f t="shared" si="105"/>
        <v>0</v>
      </c>
      <c r="AN233" s="127">
        <f t="shared" si="105"/>
        <v>0</v>
      </c>
      <c r="AO233" s="127">
        <f t="shared" si="106"/>
        <v>0</v>
      </c>
      <c r="AP233" s="127">
        <f t="shared" si="107"/>
        <v>0</v>
      </c>
      <c r="AQ233" s="127">
        <f t="shared" si="108"/>
        <v>0</v>
      </c>
      <c r="AR233" s="127">
        <f t="shared" si="109"/>
        <v>0</v>
      </c>
      <c r="AS233" s="127">
        <f t="shared" si="110"/>
        <v>0</v>
      </c>
      <c r="AT233" s="127">
        <f t="shared" si="111"/>
        <v>0</v>
      </c>
    </row>
    <row r="234" spans="1:46" s="18" customFormat="1" ht="13" x14ac:dyDescent="0.15">
      <c r="A234" s="29" t="s">
        <v>175</v>
      </c>
      <c r="B234" s="30">
        <f>IF(Data!D177=1, MAX(Data!AA177, $E$26) + INDEX(Duplicate!$E$39:$E$43, MATCH( Data!AD177, Duplicate!$B$39:$B$43, 0), 0), MAX(Data!AA177, $E$27) +  INDEX(Duplicate!$E$39:$E$43, MATCH( Data!AD177, Duplicate!$B$39:$B$43, 0), 0))</f>
        <v>0.74066300000000007</v>
      </c>
      <c r="C234" s="128">
        <f>ROUND(Data!R177/13*100, 2)</f>
        <v>0</v>
      </c>
      <c r="D234" s="141">
        <f>ROUND(Data!Q177*C234, 0)</f>
        <v>0</v>
      </c>
      <c r="E234" s="142">
        <f>ROUND($E$22*Data!W177*B234, 0)</f>
        <v>35746177</v>
      </c>
      <c r="F234" s="143">
        <f>IF(E234=0, 0,IF($E$31="Yes", IF(Data!D177=1, MAX(Duplicate!D234+Duplicate!E234, Data!AE177), Duplicate!D234+Duplicate!E234), Duplicate!D234+Duplicate!E234))</f>
        <v>35746177</v>
      </c>
      <c r="G234" s="143">
        <v>36049287</v>
      </c>
      <c r="H234" s="129">
        <f>F234-Data!AL177</f>
        <v>6783198</v>
      </c>
      <c r="I234" s="127">
        <f>((F234)/(Data!AL177)) - 1</f>
        <v>0.23420235881122586</v>
      </c>
      <c r="J234" s="127">
        <f t="shared" si="79"/>
        <v>-8.4082106811155244E-3</v>
      </c>
      <c r="K234" s="143">
        <f>ROUND(IF($E$31="Yes",IF(Data!AG177&gt;0,(Duplicate!$K$23*Data!AG177)+Data!AI177,(Duplicate!$K$24*Data!AG177)+Data!AI177),IF(Data!AF177&gt;0,(Duplicate!$K$23*Data!AF177)+Data!AI177,(Duplicate!$K$24*Data!AF177)+Data!AI177)),0)</f>
        <v>27966698</v>
      </c>
      <c r="L234" s="143">
        <f>ROUND(IF($E$31="Yes",IF(Data!$AG177&gt;0,(Duplicate!$L$23*Data!$AG177)+K234,(Duplicate!$L$24*Data!$AG177)+K234),IF(Data!$AF177&gt;0,(Duplicate!$L$23*Data!$AF177)+K234,(Duplicate!$L$24*Data!$AF177)+K234)),0)</f>
        <v>28943592</v>
      </c>
      <c r="M234" s="143">
        <f>ROUND(IF($E$31="Yes",IF(Data!$AG177&gt;0,(Duplicate!$M$23*Data!$AG177)+L234,(Duplicate!$M$24*Data!$AG177)+L234),IF(Data!$AF177&gt;0,(Duplicate!$M$23*Data!$AF177)+L234,(Duplicate!$M$24*Data!$AF177)+L234)),0)</f>
        <v>29920486</v>
      </c>
      <c r="N234" s="143">
        <f>ROUND(IF($E$31="Yes",IF(Data!$AG177&gt;0,(Duplicate!$N$23*Data!$AG177)+M234,(Duplicate!$N$24*Data!$AG177)+M234),IF(Data!$AF177&gt;0,(Duplicate!$N$23*Data!$AF177)+M234,(Duplicate!$N$24*Data!$AF177)+M234)),0)</f>
        <v>30897380</v>
      </c>
      <c r="O234" s="143">
        <f>ROUND(IF($E$31="Yes",IF(Data!$AG177&gt;0,(Duplicate!$O$23*Data!$AG177)+N234,(Duplicate!$O$24*Data!$AG177)+N234),IF(Data!$AF177&gt;0,(Duplicate!$O$23*Data!$AF177)+N234,(Duplicate!$O$24*Data!$AF177)+N234)),0)</f>
        <v>31874274</v>
      </c>
      <c r="P234" s="143">
        <f>ROUND(IF($E$31="Yes",IF(Data!$AG177&gt;0,(Duplicate!$P$23*Data!$AG177)+O234,(Duplicate!$P$24*Data!$AG177)+O234),IF(Data!$AF177&gt;0,(Duplicate!$P$23*Data!$AF177)+O234,(Duplicate!$P$24*Data!$AF177)+O234)),0)</f>
        <v>32851168</v>
      </c>
      <c r="Q234" s="143">
        <f>ROUND(IF($E$31="Yes",IF(Data!$AG177&gt;0,(Duplicate!$Q$23*Data!$AG177)+P234,(Duplicate!$Q$24*Data!$AG177)+P234),IF(Data!$AF177&gt;0,(Duplicate!$Q$23*Data!$AF177)+P234,(Duplicate!$Q$24*Data!$AF177)+P234)),0)</f>
        <v>33828062</v>
      </c>
      <c r="R234" s="143">
        <f>ROUND(IF($E$31="Yes",IF(Data!$AG177&gt;0,(Duplicate!$R$23*Data!$AG177)+Q234,(Duplicate!$R$24*Data!$AG177)+Q234),IF(Data!$AF177&gt;0,(Duplicate!$R$23*Data!$AF177)+Q234,(Duplicate!$R$24*Data!$AF177)+Q234)),0)</f>
        <v>34804956</v>
      </c>
      <c r="S234" s="143">
        <f>ROUND(IF($E$31="Yes",IF(Data!$AG177&gt;0,(Duplicate!$S$23*Data!$AG177)+R234,(Duplicate!$S$24*Data!$AG177)+R234),IF(Data!$AF177&gt;0,(Duplicate!$S$23*Data!$AF177)+R234,(Duplicate!$S$24*Data!$AF177)+R234)),0)</f>
        <v>35781850</v>
      </c>
      <c r="T234" s="143">
        <v>27999010</v>
      </c>
      <c r="U234" s="143">
        <v>29008215</v>
      </c>
      <c r="V234" s="143">
        <v>30017420</v>
      </c>
      <c r="W234" s="143">
        <v>31026625</v>
      </c>
      <c r="X234" s="143">
        <v>32035830</v>
      </c>
      <c r="Y234" s="143">
        <v>33045035</v>
      </c>
      <c r="Z234" s="143">
        <v>34054240</v>
      </c>
      <c r="AA234" s="143">
        <v>35063445</v>
      </c>
      <c r="AB234" s="143">
        <v>36072650</v>
      </c>
      <c r="AC234" s="129">
        <f t="shared" si="98"/>
        <v>-32312</v>
      </c>
      <c r="AD234" s="129">
        <f t="shared" si="98"/>
        <v>-64623</v>
      </c>
      <c r="AE234" s="129">
        <f t="shared" si="98"/>
        <v>-96934</v>
      </c>
      <c r="AF234" s="129">
        <f t="shared" si="99"/>
        <v>-129245</v>
      </c>
      <c r="AG234" s="129">
        <f t="shared" si="100"/>
        <v>-161556</v>
      </c>
      <c r="AH234" s="129">
        <f t="shared" si="101"/>
        <v>-193867</v>
      </c>
      <c r="AI234" s="129">
        <f t="shared" si="102"/>
        <v>-226178</v>
      </c>
      <c r="AJ234" s="129">
        <f t="shared" si="103"/>
        <v>-258489</v>
      </c>
      <c r="AK234" s="129">
        <f t="shared" si="104"/>
        <v>-290800</v>
      </c>
      <c r="AL234" s="127">
        <f t="shared" si="105"/>
        <v>-1.1540408035856098E-3</v>
      </c>
      <c r="AM234" s="127">
        <f t="shared" si="105"/>
        <v>-2.2277482430408391E-3</v>
      </c>
      <c r="AN234" s="127">
        <f t="shared" si="105"/>
        <v>-3.2292582107322776E-3</v>
      </c>
      <c r="AO234" s="127">
        <f t="shared" si="106"/>
        <v>-4.1656158218948969E-3</v>
      </c>
      <c r="AP234" s="127">
        <f t="shared" si="107"/>
        <v>-5.0429784400778388E-3</v>
      </c>
      <c r="AQ234" s="127">
        <f t="shared" si="108"/>
        <v>-5.8667512381209708E-3</v>
      </c>
      <c r="AR234" s="127">
        <f t="shared" si="109"/>
        <v>-6.6416986548517576E-3</v>
      </c>
      <c r="AS234" s="127">
        <f t="shared" si="110"/>
        <v>-7.372036603933263E-3</v>
      </c>
      <c r="AT234" s="127">
        <f t="shared" si="111"/>
        <v>-8.061509204341788E-3</v>
      </c>
    </row>
    <row r="235" spans="1:46" s="18" customFormat="1" ht="13" x14ac:dyDescent="0.15">
      <c r="A235" s="29" t="s">
        <v>176</v>
      </c>
      <c r="B235" s="30">
        <f>IF(Data!D178=1, MAX(Data!AA178, $E$26) + INDEX(Duplicate!$E$39:$E$43, MATCH( Data!AD178, Duplicate!$B$39:$B$43, 0), 0), MAX(Data!AA178, $E$27) +  INDEX(Duplicate!$E$39:$E$43, MATCH( Data!AD178, Duplicate!$B$39:$B$43, 0), 0))</f>
        <v>0.22514000000000001</v>
      </c>
      <c r="C235" s="128">
        <f>ROUND(Data!R178/13*100, 2)</f>
        <v>0</v>
      </c>
      <c r="D235" s="141">
        <f>ROUND(Data!Q178*C235, 0)</f>
        <v>0</v>
      </c>
      <c r="E235" s="142">
        <f>ROUND($E$22*Data!W178*B235, 0)</f>
        <v>11525777</v>
      </c>
      <c r="F235" s="143">
        <f>IF(E235=0, 0,IF($E$31="Yes", IF(Data!D178=1, MAX(Duplicate!D235+Duplicate!E235, Data!AE178), Duplicate!D235+Duplicate!E235), Duplicate!D235+Duplicate!E235))</f>
        <v>12130392</v>
      </c>
      <c r="G235" s="143">
        <v>12130392</v>
      </c>
      <c r="H235" s="129">
        <f>F235-Data!AL178</f>
        <v>0</v>
      </c>
      <c r="I235" s="127">
        <f>((F235)/(Data!AL178)) - 1</f>
        <v>0</v>
      </c>
      <c r="J235" s="127">
        <f t="shared" si="79"/>
        <v>0</v>
      </c>
      <c r="K235" s="143">
        <f>ROUND(IF($E$31="Yes",IF(Data!AG178&gt;0,(Duplicate!$K$23*Data!AG178)+Data!AI178,(Duplicate!$K$24*Data!AG178)+Data!AI178),IF(Data!AF178&gt;0,(Duplicate!$K$23*Data!AF178)+Data!AI178,(Duplicate!$K$24*Data!AF178)+Data!AI178)),0)</f>
        <v>12130392</v>
      </c>
      <c r="L235" s="143">
        <f>ROUND(IF($E$31="Yes",IF(Data!$AG178&gt;0,(Duplicate!$L$23*Data!$AG178)+K235,(Duplicate!$L$24*Data!$AG178)+K235),IF(Data!$AF178&gt;0,(Duplicate!$L$23*Data!$AF178)+K235,(Duplicate!$L$24*Data!$AF178)+K235)),0)</f>
        <v>12130392</v>
      </c>
      <c r="M235" s="143">
        <f>ROUND(IF($E$31="Yes",IF(Data!$AG178&gt;0,(Duplicate!$M$23*Data!$AG178)+L235,(Duplicate!$M$24*Data!$AG178)+L235),IF(Data!$AF178&gt;0,(Duplicate!$M$23*Data!$AF178)+L235,(Duplicate!$M$24*Data!$AF178)+L235)),0)</f>
        <v>12130392</v>
      </c>
      <c r="N235" s="143">
        <f>ROUND(IF($E$31="Yes",IF(Data!$AG178&gt;0,(Duplicate!$N$23*Data!$AG178)+M235,(Duplicate!$N$24*Data!$AG178)+M235),IF(Data!$AF178&gt;0,(Duplicate!$N$23*Data!$AF178)+M235,(Duplicate!$N$24*Data!$AF178)+M235)),0)</f>
        <v>12130392</v>
      </c>
      <c r="O235" s="143">
        <f>ROUND(IF($E$31="Yes",IF(Data!$AG178&gt;0,(Duplicate!$O$23*Data!$AG178)+N235,(Duplicate!$O$24*Data!$AG178)+N235),IF(Data!$AF178&gt;0,(Duplicate!$O$23*Data!$AF178)+N235,(Duplicate!$O$24*Data!$AF178)+N235)),0)</f>
        <v>12130392</v>
      </c>
      <c r="P235" s="143">
        <f>ROUND(IF($E$31="Yes",IF(Data!$AG178&gt;0,(Duplicate!$P$23*Data!$AG178)+O235,(Duplicate!$P$24*Data!$AG178)+O235),IF(Data!$AF178&gt;0,(Duplicate!$P$23*Data!$AF178)+O235,(Duplicate!$P$24*Data!$AF178)+O235)),0)</f>
        <v>12130392</v>
      </c>
      <c r="Q235" s="143">
        <f>ROUND(IF($E$31="Yes",IF(Data!$AG178&gt;0,(Duplicate!$Q$23*Data!$AG178)+P235,(Duplicate!$Q$24*Data!$AG178)+P235),IF(Data!$AF178&gt;0,(Duplicate!$Q$23*Data!$AF178)+P235,(Duplicate!$Q$24*Data!$AF178)+P235)),0)</f>
        <v>12130392</v>
      </c>
      <c r="R235" s="143">
        <f>ROUND(IF($E$31="Yes",IF(Data!$AG178&gt;0,(Duplicate!$R$23*Data!$AG178)+Q235,(Duplicate!$R$24*Data!$AG178)+Q235),IF(Data!$AF178&gt;0,(Duplicate!$R$23*Data!$AF178)+Q235,(Duplicate!$R$24*Data!$AF178)+Q235)),0)</f>
        <v>12130392</v>
      </c>
      <c r="S235" s="143">
        <f>ROUND(IF($E$31="Yes",IF(Data!$AG178&gt;0,(Duplicate!$S$23*Data!$AG178)+R235,(Duplicate!$S$24*Data!$AG178)+R235),IF(Data!$AF178&gt;0,(Duplicate!$S$23*Data!$AF178)+R235,(Duplicate!$S$24*Data!$AF178)+R235)),0)</f>
        <v>12130392</v>
      </c>
      <c r="T235" s="143">
        <v>12130392</v>
      </c>
      <c r="U235" s="143">
        <v>12130392</v>
      </c>
      <c r="V235" s="143">
        <v>12130392</v>
      </c>
      <c r="W235" s="143">
        <v>12130392</v>
      </c>
      <c r="X235" s="143">
        <v>12130392</v>
      </c>
      <c r="Y235" s="143">
        <v>12130392</v>
      </c>
      <c r="Z235" s="143">
        <v>12130392</v>
      </c>
      <c r="AA235" s="143">
        <v>12130392</v>
      </c>
      <c r="AB235" s="143">
        <v>12130392</v>
      </c>
      <c r="AC235" s="129">
        <f t="shared" si="98"/>
        <v>0</v>
      </c>
      <c r="AD235" s="129">
        <f t="shared" si="98"/>
        <v>0</v>
      </c>
      <c r="AE235" s="129">
        <f t="shared" si="98"/>
        <v>0</v>
      </c>
      <c r="AF235" s="129">
        <f t="shared" si="99"/>
        <v>0</v>
      </c>
      <c r="AG235" s="129">
        <f t="shared" si="100"/>
        <v>0</v>
      </c>
      <c r="AH235" s="129">
        <f t="shared" si="101"/>
        <v>0</v>
      </c>
      <c r="AI235" s="129">
        <f t="shared" si="102"/>
        <v>0</v>
      </c>
      <c r="AJ235" s="129">
        <f t="shared" si="103"/>
        <v>0</v>
      </c>
      <c r="AK235" s="129">
        <f t="shared" si="104"/>
        <v>0</v>
      </c>
      <c r="AL235" s="127">
        <f t="shared" si="105"/>
        <v>0</v>
      </c>
      <c r="AM235" s="127">
        <f t="shared" si="105"/>
        <v>0</v>
      </c>
      <c r="AN235" s="127">
        <f t="shared" si="105"/>
        <v>0</v>
      </c>
      <c r="AO235" s="127">
        <f t="shared" si="106"/>
        <v>0</v>
      </c>
      <c r="AP235" s="127">
        <f t="shared" si="107"/>
        <v>0</v>
      </c>
      <c r="AQ235" s="127">
        <f t="shared" si="108"/>
        <v>0</v>
      </c>
      <c r="AR235" s="127">
        <f t="shared" si="109"/>
        <v>0</v>
      </c>
      <c r="AS235" s="127">
        <f t="shared" si="110"/>
        <v>0</v>
      </c>
      <c r="AT235" s="127">
        <f t="shared" si="111"/>
        <v>0</v>
      </c>
    </row>
    <row r="236" spans="1:46" s="18" customFormat="1" ht="13" x14ac:dyDescent="0.15">
      <c r="A236" s="29" t="s">
        <v>177</v>
      </c>
      <c r="B236" s="30">
        <f>IF(Data!D179=1, MAX(Data!AA179, $E$26) + INDEX(Duplicate!$E$39:$E$43, MATCH( Data!AD179, Duplicate!$B$39:$B$43, 0), 0), MAX(Data!AA179, $E$27) +  INDEX(Duplicate!$E$39:$E$43, MATCH( Data!AD179, Duplicate!$B$39:$B$43, 0), 0))</f>
        <v>0.24851899999999999</v>
      </c>
      <c r="C236" s="128">
        <f>ROUND(Data!R179/13*100, 2)</f>
        <v>0</v>
      </c>
      <c r="D236" s="141">
        <f>ROUND(Data!Q179*C236, 0)</f>
        <v>0</v>
      </c>
      <c r="E236" s="142">
        <f>ROUND($E$22*Data!W179*B236, 0)</f>
        <v>5060407</v>
      </c>
      <c r="F236" s="143">
        <f>IF(E236=0, 0,IF($E$31="Yes", IF(Data!D179=1, MAX(Duplicate!D236+Duplicate!E236, Data!AE179), Duplicate!D236+Duplicate!E236), Duplicate!D236+Duplicate!E236))</f>
        <v>5167806</v>
      </c>
      <c r="G236" s="143">
        <v>5662979</v>
      </c>
      <c r="H236" s="129">
        <f>F236-Data!AL179</f>
        <v>-57493</v>
      </c>
      <c r="I236" s="127">
        <f>((F236)/(Data!AL179)) - 1</f>
        <v>-1.1002815341284777E-2</v>
      </c>
      <c r="J236" s="127">
        <f t="shared" si="79"/>
        <v>-8.7440373697306617E-2</v>
      </c>
      <c r="K236" s="143">
        <f>ROUND(IF($E$31="Yes",IF(Data!AG179&gt;0,(Duplicate!$K$23*Data!AG179)+Data!AI179,(Duplicate!$K$24*Data!AG179)+Data!AI179),IF(Data!AF179&gt;0,(Duplicate!$K$23*Data!AF179)+Data!AI179,(Duplicate!$K$24*Data!AF179)+Data!AI179)),0)</f>
        <v>5179536</v>
      </c>
      <c r="L236" s="143">
        <f>ROUND(IF($E$31="Yes",IF(Data!$AG179&gt;0,(Duplicate!$L$23*Data!$AG179)+K236,(Duplicate!$L$24*Data!$AG179)+K236),IF(Data!$AF179&gt;0,(Duplicate!$L$23*Data!$AF179)+K236,(Duplicate!$L$24*Data!$AF179)+K236)),0)</f>
        <v>5179536</v>
      </c>
      <c r="M236" s="143">
        <f>ROUND(IF($E$31="Yes",IF(Data!$AG179&gt;0,(Duplicate!$M$23*Data!$AG179)+L236,(Duplicate!$M$24*Data!$AG179)+L236),IF(Data!$AF179&gt;0,(Duplicate!$M$23*Data!$AF179)+L236,(Duplicate!$M$24*Data!$AF179)+L236)),0)</f>
        <v>5179536</v>
      </c>
      <c r="N236" s="143">
        <f>ROUND(IF($E$31="Yes",IF(Data!$AG179&gt;0,(Duplicate!$N$23*Data!$AG179)+M236,(Duplicate!$N$24*Data!$AG179)+M236),IF(Data!$AF179&gt;0,(Duplicate!$N$23*Data!$AF179)+M236,(Duplicate!$N$24*Data!$AF179)+M236)),0)</f>
        <v>5179536</v>
      </c>
      <c r="O236" s="143">
        <f>ROUND(IF($E$31="Yes",IF(Data!$AG179&gt;0,(Duplicate!$O$23*Data!$AG179)+N236,(Duplicate!$O$24*Data!$AG179)+N236),IF(Data!$AF179&gt;0,(Duplicate!$O$23*Data!$AF179)+N236,(Duplicate!$O$24*Data!$AF179)+N236)),0)</f>
        <v>5179536</v>
      </c>
      <c r="P236" s="143">
        <f>ROUND(IF($E$31="Yes",IF(Data!$AG179&gt;0,(Duplicate!$P$23*Data!$AG179)+O236,(Duplicate!$P$24*Data!$AG179)+O236),IF(Data!$AF179&gt;0,(Duplicate!$P$23*Data!$AF179)+O236,(Duplicate!$P$24*Data!$AF179)+O236)),0)</f>
        <v>5179536</v>
      </c>
      <c r="Q236" s="143">
        <f>ROUND(IF($E$31="Yes",IF(Data!$AG179&gt;0,(Duplicate!$Q$23*Data!$AG179)+P236,(Duplicate!$Q$24*Data!$AG179)+P236),IF(Data!$AF179&gt;0,(Duplicate!$Q$23*Data!$AF179)+P236,(Duplicate!$Q$24*Data!$AF179)+P236)),0)</f>
        <v>5179536</v>
      </c>
      <c r="R236" s="143">
        <f>ROUND(IF($E$31="Yes",IF(Data!$AG179&gt;0,(Duplicate!$R$23*Data!$AG179)+Q236,(Duplicate!$R$24*Data!$AG179)+Q236),IF(Data!$AF179&gt;0,(Duplicate!$R$23*Data!$AF179)+Q236,(Duplicate!$R$24*Data!$AF179)+Q236)),0)</f>
        <v>5179536</v>
      </c>
      <c r="S236" s="143">
        <f>ROUND(IF($E$31="Yes",IF(Data!$AG179&gt;0,(Duplicate!$S$23*Data!$AG179)+R236,(Duplicate!$S$24*Data!$AG179)+R236),IF(Data!$AF179&gt;0,(Duplicate!$S$23*Data!$AF179)+R236,(Duplicate!$S$24*Data!$AF179)+R236)),0)</f>
        <v>5179536</v>
      </c>
      <c r="T236" s="143">
        <v>5232321</v>
      </c>
      <c r="U236" s="143">
        <v>5285106</v>
      </c>
      <c r="V236" s="143">
        <v>5337891</v>
      </c>
      <c r="W236" s="143">
        <v>5390676</v>
      </c>
      <c r="X236" s="143">
        <v>5443461</v>
      </c>
      <c r="Y236" s="143">
        <v>5496246</v>
      </c>
      <c r="Z236" s="143">
        <v>5549031</v>
      </c>
      <c r="AA236" s="143">
        <v>5601816</v>
      </c>
      <c r="AB236" s="143">
        <v>5654601</v>
      </c>
      <c r="AC236" s="129">
        <f t="shared" si="98"/>
        <v>-52785</v>
      </c>
      <c r="AD236" s="129">
        <f t="shared" si="98"/>
        <v>-105570</v>
      </c>
      <c r="AE236" s="129">
        <f t="shared" si="98"/>
        <v>-158355</v>
      </c>
      <c r="AF236" s="129">
        <f t="shared" si="99"/>
        <v>-211140</v>
      </c>
      <c r="AG236" s="129">
        <f t="shared" si="100"/>
        <v>-263925</v>
      </c>
      <c r="AH236" s="129">
        <f t="shared" si="101"/>
        <v>-316710</v>
      </c>
      <c r="AI236" s="129">
        <f t="shared" si="102"/>
        <v>-369495</v>
      </c>
      <c r="AJ236" s="129">
        <f t="shared" si="103"/>
        <v>-422280</v>
      </c>
      <c r="AK236" s="129">
        <f t="shared" si="104"/>
        <v>-475065</v>
      </c>
      <c r="AL236" s="127">
        <f t="shared" si="105"/>
        <v>-1.008825719981632E-2</v>
      </c>
      <c r="AM236" s="127">
        <f t="shared" si="105"/>
        <v>-1.9975001447463892E-2</v>
      </c>
      <c r="AN236" s="127">
        <f t="shared" si="105"/>
        <v>-2.9666210868674492E-2</v>
      </c>
      <c r="AO236" s="127">
        <f t="shared" si="106"/>
        <v>-3.9167629440166718E-2</v>
      </c>
      <c r="AP236" s="127">
        <f t="shared" si="107"/>
        <v>-4.8484778342308354E-2</v>
      </c>
      <c r="AQ236" s="127">
        <f t="shared" si="108"/>
        <v>-5.7622966657605912E-2</v>
      </c>
      <c r="AR236" s="127">
        <f t="shared" si="109"/>
        <v>-6.658730145857894E-2</v>
      </c>
      <c r="AS236" s="127">
        <f t="shared" si="110"/>
        <v>-7.53826973252959E-2</v>
      </c>
      <c r="AT236" s="127">
        <f t="shared" si="111"/>
        <v>-8.4013885329840221E-2</v>
      </c>
    </row>
    <row r="237" spans="1:46" s="18" customFormat="1" ht="13" x14ac:dyDescent="0.15">
      <c r="A237" s="29" t="s">
        <v>178</v>
      </c>
      <c r="B237" s="30">
        <f>IF(Data!D180=1, MAX(Data!AA180, $E$26) + INDEX(Duplicate!$E$39:$E$43, MATCH( Data!AD180, Duplicate!$B$39:$B$43, 0), 0), MAX(Data!AA180, $E$27) +  INDEX(Duplicate!$E$39:$E$43, MATCH( Data!AD180, Duplicate!$B$39:$B$43, 0), 0))</f>
        <v>0.38839800000000002</v>
      </c>
      <c r="C237" s="128">
        <f>ROUND(Data!R180/13*100, 2)</f>
        <v>0</v>
      </c>
      <c r="D237" s="141">
        <f>ROUND(Data!Q180*C237, 0)</f>
        <v>0</v>
      </c>
      <c r="E237" s="142">
        <f>ROUND($E$22*Data!W180*B237, 0)</f>
        <v>11297835</v>
      </c>
      <c r="F237" s="143">
        <f>IF(E237=0, 0,IF($E$31="Yes", IF(Data!D180=1, MAX(Duplicate!D237+Duplicate!E237, Data!AE180), Duplicate!D237+Duplicate!E237), Duplicate!D237+Duplicate!E237))</f>
        <v>11297835</v>
      </c>
      <c r="G237" s="143">
        <v>11091874</v>
      </c>
      <c r="H237" s="129">
        <f>F237-Data!AL180</f>
        <v>-1089336</v>
      </c>
      <c r="I237" s="127">
        <f>((F237)/(Data!AL180)) - 1</f>
        <v>-8.7940660543073146E-2</v>
      </c>
      <c r="J237" s="127">
        <f t="shared" si="79"/>
        <v>1.8568638626800027E-2</v>
      </c>
      <c r="K237" s="143">
        <f>ROUND(IF($E$31="Yes",IF(Data!AG180&gt;0,(Duplicate!$K$23*Data!AG180)+Data!AI180,(Duplicate!$K$24*Data!AG180)+Data!AI180),IF(Data!AF180&gt;0,(Duplicate!$K$23*Data!AF180)+Data!AI180,(Duplicate!$K$24*Data!AF180)+Data!AI180)),0)</f>
        <v>12606850</v>
      </c>
      <c r="L237" s="143">
        <f>ROUND(IF($E$31="Yes",IF(Data!$AG180&gt;0,(Duplicate!$L$23*Data!$AG180)+K237,(Duplicate!$L$24*Data!$AG180)+K237),IF(Data!$AF180&gt;0,(Duplicate!$L$23*Data!$AF180)+K237,(Duplicate!$L$24*Data!$AF180)+K237)),0)</f>
        <v>12429776</v>
      </c>
      <c r="M237" s="143">
        <f>ROUND(IF($E$31="Yes",IF(Data!$AG180&gt;0,(Duplicate!$M$23*Data!$AG180)+L237,(Duplicate!$M$24*Data!$AG180)+L237),IF(Data!$AF180&gt;0,(Duplicate!$M$23*Data!$AF180)+L237,(Duplicate!$M$24*Data!$AF180)+L237)),0)</f>
        <v>12252702</v>
      </c>
      <c r="N237" s="143">
        <f>ROUND(IF($E$31="Yes",IF(Data!$AG180&gt;0,(Duplicate!$N$23*Data!$AG180)+M237,(Duplicate!$N$24*Data!$AG180)+M237),IF(Data!$AF180&gt;0,(Duplicate!$N$23*Data!$AF180)+M237,(Duplicate!$N$24*Data!$AF180)+M237)),0)</f>
        <v>12075628</v>
      </c>
      <c r="O237" s="143">
        <f>ROUND(IF($E$31="Yes",IF(Data!$AG180&gt;0,(Duplicate!$O$23*Data!$AG180)+N237,(Duplicate!$O$24*Data!$AG180)+N237),IF(Data!$AF180&gt;0,(Duplicate!$O$23*Data!$AF180)+N237,(Duplicate!$O$24*Data!$AF180)+N237)),0)</f>
        <v>11898554</v>
      </c>
      <c r="P237" s="143">
        <f>ROUND(IF($E$31="Yes",IF(Data!$AG180&gt;0,(Duplicate!$P$23*Data!$AG180)+O237,(Duplicate!$P$24*Data!$AG180)+O237),IF(Data!$AF180&gt;0,(Duplicate!$P$23*Data!$AF180)+O237,(Duplicate!$P$24*Data!$AF180)+O237)),0)</f>
        <v>11721480</v>
      </c>
      <c r="Q237" s="143">
        <f>ROUND(IF($E$31="Yes",IF(Data!$AG180&gt;0,(Duplicate!$Q$23*Data!$AG180)+P237,(Duplicate!$Q$24*Data!$AG180)+P237),IF(Data!$AF180&gt;0,(Duplicate!$Q$23*Data!$AF180)+P237,(Duplicate!$Q$24*Data!$AF180)+P237)),0)</f>
        <v>11544406</v>
      </c>
      <c r="R237" s="143">
        <f>ROUND(IF($E$31="Yes",IF(Data!$AG180&gt;0,(Duplicate!$R$23*Data!$AG180)+Q237,(Duplicate!$R$24*Data!$AG180)+Q237),IF(Data!$AF180&gt;0,(Duplicate!$R$23*Data!$AF180)+Q237,(Duplicate!$R$24*Data!$AF180)+Q237)),0)</f>
        <v>11367332</v>
      </c>
      <c r="S237" s="143">
        <f>ROUND(IF($E$31="Yes",IF(Data!$AG180&gt;0,(Duplicate!$S$23*Data!$AG180)+R237,(Duplicate!$S$24*Data!$AG180)+R237),IF(Data!$AF180&gt;0,(Duplicate!$S$23*Data!$AF180)+R237,(Duplicate!$S$24*Data!$AF180)+R237)),0)</f>
        <v>11190258</v>
      </c>
      <c r="T237" s="143">
        <v>12589694</v>
      </c>
      <c r="U237" s="143">
        <v>12395463</v>
      </c>
      <c r="V237" s="143">
        <v>12201232</v>
      </c>
      <c r="W237" s="143">
        <v>12007001</v>
      </c>
      <c r="X237" s="143">
        <v>11812770</v>
      </c>
      <c r="Y237" s="143">
        <v>11618539</v>
      </c>
      <c r="Z237" s="143">
        <v>11424308</v>
      </c>
      <c r="AA237" s="143">
        <v>11230077</v>
      </c>
      <c r="AB237" s="143">
        <v>11035846</v>
      </c>
      <c r="AC237" s="129">
        <f t="shared" si="98"/>
        <v>17156</v>
      </c>
      <c r="AD237" s="129">
        <f t="shared" si="98"/>
        <v>34313</v>
      </c>
      <c r="AE237" s="129">
        <f t="shared" si="98"/>
        <v>51470</v>
      </c>
      <c r="AF237" s="129">
        <f t="shared" si="99"/>
        <v>68627</v>
      </c>
      <c r="AG237" s="129">
        <f t="shared" si="100"/>
        <v>85784</v>
      </c>
      <c r="AH237" s="129">
        <f t="shared" si="101"/>
        <v>102941</v>
      </c>
      <c r="AI237" s="129">
        <f t="shared" si="102"/>
        <v>120098</v>
      </c>
      <c r="AJ237" s="129">
        <f t="shared" si="103"/>
        <v>137255</v>
      </c>
      <c r="AK237" s="129">
        <f t="shared" si="104"/>
        <v>154412</v>
      </c>
      <c r="AL237" s="127">
        <f t="shared" si="105"/>
        <v>1.3627019052249167E-3</v>
      </c>
      <c r="AM237" s="127">
        <f t="shared" si="105"/>
        <v>2.7681902644540735E-3</v>
      </c>
      <c r="AN237" s="127">
        <f t="shared" si="105"/>
        <v>4.2184264670976912E-3</v>
      </c>
      <c r="AO237" s="127">
        <f t="shared" si="106"/>
        <v>5.7155821008092467E-3</v>
      </c>
      <c r="AP237" s="127">
        <f t="shared" si="107"/>
        <v>7.2619715782158423E-3</v>
      </c>
      <c r="AQ237" s="127">
        <f t="shared" si="108"/>
        <v>8.8600640751819171E-3</v>
      </c>
      <c r="AR237" s="127">
        <f t="shared" si="109"/>
        <v>1.0512496686889028E-2</v>
      </c>
      <c r="AS237" s="127">
        <f t="shared" si="110"/>
        <v>1.2222088949167542E-2</v>
      </c>
      <c r="AT237" s="127">
        <f t="shared" si="111"/>
        <v>1.3991858893282805E-2</v>
      </c>
    </row>
    <row r="238" spans="1:46" s="18" customFormat="1" ht="13" x14ac:dyDescent="0.15">
      <c r="A238" s="29" t="s">
        <v>179</v>
      </c>
      <c r="B238" s="30">
        <f>IF(Data!D181=1, MAX(Data!AA181, $E$26) + INDEX(Duplicate!$E$39:$E$43, MATCH( Data!AD181, Duplicate!$B$39:$B$43, 0), 0), MAX(Data!AA181, $E$27) +  INDEX(Duplicate!$E$39:$E$43, MATCH( Data!AD181, Duplicate!$B$39:$B$43, 0), 0))</f>
        <v>0.01</v>
      </c>
      <c r="C238" s="128">
        <f>ROUND(Data!R181/13*100, 2)</f>
        <v>46.15</v>
      </c>
      <c r="D238" s="141">
        <f>ROUND(Data!Q181*C238, 0)</f>
        <v>32443</v>
      </c>
      <c r="E238" s="142">
        <f>ROUND($E$22*Data!W181*B238, 0)</f>
        <v>185259</v>
      </c>
      <c r="F238" s="143">
        <f>IF(E238=0, 0,IF($E$31="Yes", IF(Data!D181=1, MAX(Duplicate!D238+Duplicate!E238, Data!AE181), Duplicate!D238+Duplicate!E238), Duplicate!D238+Duplicate!E238))</f>
        <v>217702</v>
      </c>
      <c r="G238" s="143">
        <v>216411</v>
      </c>
      <c r="H238" s="129">
        <f>F238-Data!AL181</f>
        <v>-253873</v>
      </c>
      <c r="I238" s="127">
        <f>((F238)/(Data!AL181)) - 1</f>
        <v>-0.5383512696813868</v>
      </c>
      <c r="J238" s="127">
        <f t="shared" si="79"/>
        <v>5.9655008294403622E-3</v>
      </c>
      <c r="K238" s="143">
        <f>ROUND(IF($E$31="Yes",IF(Data!AG181&gt;0,(Duplicate!$K$23*Data!AG181)+Data!AI181,(Duplicate!$K$24*Data!AG181)+Data!AI181),IF(Data!AF181&gt;0,(Duplicate!$K$23*Data!AF181)+Data!AI181,(Duplicate!$K$24*Data!AF181)+Data!AI181)),0)</f>
        <v>540597</v>
      </c>
      <c r="L238" s="143">
        <f>ROUND(IF($E$31="Yes",IF(Data!$AG181&gt;0,(Duplicate!$L$23*Data!$AG181)+K238,(Duplicate!$L$24*Data!$AG181)+K238),IF(Data!$AF181&gt;0,(Duplicate!$L$23*Data!$AF181)+K238,(Duplicate!$L$24*Data!$AF181)+K238)),0)</f>
        <v>536505</v>
      </c>
      <c r="M238" s="143">
        <f>ROUND(IF($E$31="Yes",IF(Data!$AG181&gt;0,(Duplicate!$M$23*Data!$AG181)+L238,(Duplicate!$M$24*Data!$AG181)+L238),IF(Data!$AF181&gt;0,(Duplicate!$M$23*Data!$AF181)+L238,(Duplicate!$M$24*Data!$AF181)+L238)),0)</f>
        <v>532413</v>
      </c>
      <c r="N238" s="143">
        <f>ROUND(IF($E$31="Yes",IF(Data!$AG181&gt;0,(Duplicate!$N$23*Data!$AG181)+M238,(Duplicate!$N$24*Data!$AG181)+M238),IF(Data!$AF181&gt;0,(Duplicate!$N$23*Data!$AF181)+M238,(Duplicate!$N$24*Data!$AF181)+M238)),0)</f>
        <v>528321</v>
      </c>
      <c r="O238" s="143">
        <f>ROUND(IF($E$31="Yes",IF(Data!$AG181&gt;0,(Duplicate!$O$23*Data!$AG181)+N238,(Duplicate!$O$24*Data!$AG181)+N238),IF(Data!$AF181&gt;0,(Duplicate!$O$23*Data!$AF181)+N238,(Duplicate!$O$24*Data!$AF181)+N238)),0)</f>
        <v>524229</v>
      </c>
      <c r="P238" s="143">
        <f>ROUND(IF($E$31="Yes",IF(Data!$AG181&gt;0,(Duplicate!$P$23*Data!$AG181)+O238,(Duplicate!$P$24*Data!$AG181)+O238),IF(Data!$AF181&gt;0,(Duplicate!$P$23*Data!$AF181)+O238,(Duplicate!$P$24*Data!$AF181)+O238)),0)</f>
        <v>520137</v>
      </c>
      <c r="Q238" s="143">
        <f>ROUND(IF($E$31="Yes",IF(Data!$AG181&gt;0,(Duplicate!$Q$23*Data!$AG181)+P238,(Duplicate!$Q$24*Data!$AG181)+P238),IF(Data!$AF181&gt;0,(Duplicate!$Q$23*Data!$AF181)+P238,(Duplicate!$Q$24*Data!$AF181)+P238)),0)</f>
        <v>516045</v>
      </c>
      <c r="R238" s="143">
        <f>ROUND(IF($E$31="Yes",IF(Data!$AG181&gt;0,(Duplicate!$R$23*Data!$AG181)+Q238,(Duplicate!$R$24*Data!$AG181)+Q238),IF(Data!$AF181&gt;0,(Duplicate!$R$23*Data!$AF181)+Q238,(Duplicate!$R$24*Data!$AF181)+Q238)),0)</f>
        <v>511953</v>
      </c>
      <c r="S238" s="143">
        <f>ROUND(IF($E$31="Yes",IF(Data!$AG181&gt;0,(Duplicate!$S$23*Data!$AG181)+R238,(Duplicate!$S$24*Data!$AG181)+R238),IF(Data!$AF181&gt;0,(Duplicate!$S$23*Data!$AF181)+R238,(Duplicate!$S$24*Data!$AF181)+R238)),0)</f>
        <v>507861</v>
      </c>
      <c r="T238" s="143">
        <v>508056</v>
      </c>
      <c r="U238" s="143">
        <v>471423</v>
      </c>
      <c r="V238" s="143">
        <v>434790</v>
      </c>
      <c r="W238" s="143">
        <v>398157</v>
      </c>
      <c r="X238" s="143">
        <v>361524</v>
      </c>
      <c r="Y238" s="143">
        <v>324891</v>
      </c>
      <c r="Z238" s="143">
        <v>288258</v>
      </c>
      <c r="AA238" s="143">
        <v>251625</v>
      </c>
      <c r="AB238" s="143">
        <v>214992</v>
      </c>
      <c r="AC238" s="129">
        <f t="shared" si="98"/>
        <v>32541</v>
      </c>
      <c r="AD238" s="129">
        <f t="shared" si="98"/>
        <v>65082</v>
      </c>
      <c r="AE238" s="129">
        <f t="shared" si="98"/>
        <v>97623</v>
      </c>
      <c r="AF238" s="129">
        <f t="shared" si="99"/>
        <v>130164</v>
      </c>
      <c r="AG238" s="129">
        <f t="shared" si="100"/>
        <v>162705</v>
      </c>
      <c r="AH238" s="129">
        <f t="shared" si="101"/>
        <v>195246</v>
      </c>
      <c r="AI238" s="129">
        <f t="shared" si="102"/>
        <v>227787</v>
      </c>
      <c r="AJ238" s="129">
        <f t="shared" si="103"/>
        <v>260328</v>
      </c>
      <c r="AK238" s="129">
        <f t="shared" si="104"/>
        <v>292869</v>
      </c>
      <c r="AL238" s="127">
        <f t="shared" si="105"/>
        <v>6.405002598138787E-2</v>
      </c>
      <c r="AM238" s="127">
        <f t="shared" si="105"/>
        <v>0.13805435882424066</v>
      </c>
      <c r="AN238" s="127">
        <f t="shared" si="105"/>
        <v>0.22452908300558883</v>
      </c>
      <c r="AO238" s="127">
        <f t="shared" si="106"/>
        <v>0.32691626669881479</v>
      </c>
      <c r="AP238" s="127">
        <f t="shared" si="107"/>
        <v>0.45005310850731894</v>
      </c>
      <c r="AQ238" s="127">
        <f t="shared" si="108"/>
        <v>0.60095847530402513</v>
      </c>
      <c r="AR238" s="127">
        <f t="shared" si="109"/>
        <v>0.79021917865245728</v>
      </c>
      <c r="AS238" s="127">
        <f t="shared" si="110"/>
        <v>1.0345871833084948</v>
      </c>
      <c r="AT238" s="127">
        <f t="shared" si="111"/>
        <v>1.3622320830542534</v>
      </c>
    </row>
    <row r="239" spans="1:46" s="18" customFormat="1" ht="13" x14ac:dyDescent="0.15">
      <c r="A239" s="29" t="s">
        <v>180</v>
      </c>
      <c r="B239" s="30">
        <f>IF(Data!D182=1, MAX(Data!AA182, $E$26) + INDEX(Duplicate!$E$39:$E$43, MATCH( Data!AD182, Duplicate!$B$39:$B$43, 0), 0), MAX(Data!AA182, $E$27) +  INDEX(Duplicate!$E$39:$E$43, MATCH( Data!AD182, Duplicate!$B$39:$B$43, 0), 0))</f>
        <v>0.224743</v>
      </c>
      <c r="C239" s="128">
        <f>ROUND(Data!R182/13*100, 2)</f>
        <v>100</v>
      </c>
      <c r="D239" s="141">
        <f>ROUND(Data!Q182*C239, 0)</f>
        <v>99300</v>
      </c>
      <c r="E239" s="142">
        <f>ROUND($E$22*Data!W182*B239, 0)</f>
        <v>2703535</v>
      </c>
      <c r="F239" s="143">
        <f>IF(E239=0, 0,IF($E$31="Yes", IF(Data!D182=1, MAX(Duplicate!D239+Duplicate!E239, Data!AE182), Duplicate!D239+Duplicate!E239), Duplicate!D239+Duplicate!E239))</f>
        <v>2802835</v>
      </c>
      <c r="G239" s="143">
        <v>2364177</v>
      </c>
      <c r="H239" s="129">
        <f>F239-Data!AL182</f>
        <v>1262976</v>
      </c>
      <c r="I239" s="127">
        <f>((F239)/(Data!AL182)) - 1</f>
        <v>0.82018938097579075</v>
      </c>
      <c r="J239" s="127">
        <f t="shared" si="79"/>
        <v>0.18554363738417212</v>
      </c>
      <c r="K239" s="143">
        <f>ROUND(IF($E$31="Yes",IF(Data!AG182&gt;0,(Duplicate!$K$23*Data!AG182)+Data!AI182,(Duplicate!$K$24*Data!AG182)+Data!AI182),IF(Data!AF182&gt;0,(Duplicate!$K$23*Data!AF182)+Data!AI182,(Duplicate!$K$24*Data!AF182)+Data!AI182)),0)</f>
        <v>1602489</v>
      </c>
      <c r="L239" s="143">
        <f>ROUND(IF($E$31="Yes",IF(Data!$AG182&gt;0,(Duplicate!$L$23*Data!$AG182)+K239,(Duplicate!$L$24*Data!$AG182)+K239),IF(Data!$AF182&gt;0,(Duplicate!$L$23*Data!$AF182)+K239,(Duplicate!$L$24*Data!$AF182)+K239)),0)</f>
        <v>1892188</v>
      </c>
      <c r="M239" s="143">
        <f>ROUND(IF($E$31="Yes",IF(Data!$AG182&gt;0,(Duplicate!$M$23*Data!$AG182)+L239,(Duplicate!$M$24*Data!$AG182)+L239),IF(Data!$AF182&gt;0,(Duplicate!$M$23*Data!$AF182)+L239,(Duplicate!$M$24*Data!$AF182)+L239)),0)</f>
        <v>2181887</v>
      </c>
      <c r="N239" s="143">
        <f>ROUND(IF($E$31="Yes",IF(Data!$AG182&gt;0,(Duplicate!$N$23*Data!$AG182)+M239,(Duplicate!$N$24*Data!$AG182)+M239),IF(Data!$AF182&gt;0,(Duplicate!$N$23*Data!$AF182)+M239,(Duplicate!$N$24*Data!$AF182)+M239)),0)</f>
        <v>2471586</v>
      </c>
      <c r="O239" s="143">
        <f>ROUND(IF($E$31="Yes",IF(Data!$AG182&gt;0,(Duplicate!$O$23*Data!$AG182)+N239,(Duplicate!$O$24*Data!$AG182)+N239),IF(Data!$AF182&gt;0,(Duplicate!$O$23*Data!$AF182)+N239,(Duplicate!$O$24*Data!$AF182)+N239)),0)</f>
        <v>2761285</v>
      </c>
      <c r="P239" s="143">
        <f>ROUND(IF($E$31="Yes",IF(Data!$AG182&gt;0,(Duplicate!$P$23*Data!$AG182)+O239,(Duplicate!$P$24*Data!$AG182)+O239),IF(Data!$AF182&gt;0,(Duplicate!$P$23*Data!$AF182)+O239,(Duplicate!$P$24*Data!$AF182)+O239)),0)</f>
        <v>3050984</v>
      </c>
      <c r="Q239" s="143">
        <f>ROUND(IF($E$31="Yes",IF(Data!$AG182&gt;0,(Duplicate!$Q$23*Data!$AG182)+P239,(Duplicate!$Q$24*Data!$AG182)+P239),IF(Data!$AF182&gt;0,(Duplicate!$Q$23*Data!$AF182)+P239,(Duplicate!$Q$24*Data!$AF182)+P239)),0)</f>
        <v>3340683</v>
      </c>
      <c r="R239" s="143">
        <f>ROUND(IF($E$31="Yes",IF(Data!$AG182&gt;0,(Duplicate!$R$23*Data!$AG182)+Q239,(Duplicate!$R$24*Data!$AG182)+Q239),IF(Data!$AF182&gt;0,(Duplicate!$R$23*Data!$AF182)+Q239,(Duplicate!$R$24*Data!$AF182)+Q239)),0)</f>
        <v>3630382</v>
      </c>
      <c r="S239" s="143">
        <f>ROUND(IF($E$31="Yes",IF(Data!$AG182&gt;0,(Duplicate!$S$23*Data!$AG182)+R239,(Duplicate!$S$24*Data!$AG182)+R239),IF(Data!$AF182&gt;0,(Duplicate!$S$23*Data!$AF182)+R239,(Duplicate!$S$24*Data!$AF182)+R239)),0)</f>
        <v>3920081</v>
      </c>
      <c r="T239" s="143">
        <v>1428703</v>
      </c>
      <c r="U239" s="143">
        <v>1544616</v>
      </c>
      <c r="V239" s="143">
        <v>1660529</v>
      </c>
      <c r="W239" s="143">
        <v>1776442</v>
      </c>
      <c r="X239" s="143">
        <v>1892355</v>
      </c>
      <c r="Y239" s="143">
        <v>2008268</v>
      </c>
      <c r="Z239" s="143">
        <v>2124181</v>
      </c>
      <c r="AA239" s="143">
        <v>2240094</v>
      </c>
      <c r="AB239" s="143">
        <v>2356007</v>
      </c>
      <c r="AC239" s="129">
        <f t="shared" si="98"/>
        <v>173786</v>
      </c>
      <c r="AD239" s="129">
        <f t="shared" si="98"/>
        <v>347572</v>
      </c>
      <c r="AE239" s="129">
        <f t="shared" si="98"/>
        <v>521358</v>
      </c>
      <c r="AF239" s="129">
        <f t="shared" si="99"/>
        <v>695144</v>
      </c>
      <c r="AG239" s="129">
        <f t="shared" si="100"/>
        <v>868930</v>
      </c>
      <c r="AH239" s="129">
        <f t="shared" si="101"/>
        <v>1042716</v>
      </c>
      <c r="AI239" s="129">
        <f t="shared" si="102"/>
        <v>1216502</v>
      </c>
      <c r="AJ239" s="129">
        <f t="shared" si="103"/>
        <v>1390288</v>
      </c>
      <c r="AK239" s="129">
        <f t="shared" si="104"/>
        <v>1564074</v>
      </c>
      <c r="AL239" s="127">
        <f t="shared" si="105"/>
        <v>0.12163899704837178</v>
      </c>
      <c r="AM239" s="127">
        <f t="shared" si="105"/>
        <v>0.22502162349736121</v>
      </c>
      <c r="AN239" s="127">
        <f t="shared" si="105"/>
        <v>0.3139710297140248</v>
      </c>
      <c r="AO239" s="127">
        <f t="shared" si="106"/>
        <v>0.39131252244655323</v>
      </c>
      <c r="AP239" s="127">
        <f t="shared" si="107"/>
        <v>0.45917917092723082</v>
      </c>
      <c r="AQ239" s="127">
        <f t="shared" si="108"/>
        <v>0.51921157933104545</v>
      </c>
      <c r="AR239" s="127">
        <f t="shared" si="109"/>
        <v>0.57269225174314231</v>
      </c>
      <c r="AS239" s="127">
        <f t="shared" si="110"/>
        <v>0.62063824107381205</v>
      </c>
      <c r="AT239" s="127">
        <f t="shared" si="111"/>
        <v>0.66386644861411703</v>
      </c>
    </row>
    <row r="240" spans="1:46" s="18" customFormat="1" ht="13" x14ac:dyDescent="0.15">
      <c r="A240" s="29" t="s">
        <v>181</v>
      </c>
      <c r="B240" s="30">
        <f>IF(Data!D183=1, MAX(Data!AA183, $E$26) + INDEX(Duplicate!$E$39:$E$43, MATCH( Data!AD183, Duplicate!$B$39:$B$43, 0), 0), MAX(Data!AA183, $E$27) +  INDEX(Duplicate!$E$39:$E$43, MATCH( Data!AD183, Duplicate!$B$39:$B$43, 0), 0))</f>
        <v>0.25857200000000002</v>
      </c>
      <c r="C240" s="128">
        <f>ROUND(Data!R183/13*100, 2)</f>
        <v>0</v>
      </c>
      <c r="D240" s="141">
        <f>ROUND(Data!Q183*C240, 0)</f>
        <v>0</v>
      </c>
      <c r="E240" s="142">
        <f>ROUND($E$22*Data!W183*B240, 0)</f>
        <v>3922749</v>
      </c>
      <c r="F240" s="143">
        <f>IF(E240=0, 0,IF($E$31="Yes", IF(Data!D183=1, MAX(Duplicate!D240+Duplicate!E240, Data!AE183), Duplicate!D240+Duplicate!E240), Duplicate!D240+Duplicate!E240))</f>
        <v>3922749</v>
      </c>
      <c r="G240" s="143">
        <v>4446749</v>
      </c>
      <c r="H240" s="129">
        <f>F240-Data!AL183</f>
        <v>-1067783</v>
      </c>
      <c r="I240" s="127">
        <f>((F240)/(Data!AL183)) - 1</f>
        <v>-0.21396175798492023</v>
      </c>
      <c r="J240" s="127">
        <f t="shared" si="79"/>
        <v>-0.11783889758562938</v>
      </c>
      <c r="K240" s="143">
        <f>ROUND(IF($E$31="Yes",IF(Data!AG183&gt;0,(Duplicate!$K$23*Data!AG183)+Data!AI183,(Duplicate!$K$24*Data!AG183)+Data!AI183),IF(Data!AF183&gt;0,(Duplicate!$K$23*Data!AF183)+Data!AI183,(Duplicate!$K$24*Data!AF183)+Data!AI183)),0)</f>
        <v>5047367</v>
      </c>
      <c r="L240" s="143">
        <f>ROUND(IF($E$31="Yes",IF(Data!$AG183&gt;0,(Duplicate!$L$23*Data!$AG183)+K240,(Duplicate!$L$24*Data!$AG183)+K240),IF(Data!$AF183&gt;0,(Duplicate!$L$23*Data!$AF183)+K240,(Duplicate!$L$24*Data!$AF183)+K240)),0)</f>
        <v>4942893</v>
      </c>
      <c r="M240" s="143">
        <f>ROUND(IF($E$31="Yes",IF(Data!$AG183&gt;0,(Duplicate!$M$23*Data!$AG183)+L240,(Duplicate!$M$24*Data!$AG183)+L240),IF(Data!$AF183&gt;0,(Duplicate!$M$23*Data!$AF183)+L240,(Duplicate!$M$24*Data!$AF183)+L240)),0)</f>
        <v>4838419</v>
      </c>
      <c r="N240" s="143">
        <f>ROUND(IF($E$31="Yes",IF(Data!$AG183&gt;0,(Duplicate!$N$23*Data!$AG183)+M240,(Duplicate!$N$24*Data!$AG183)+M240),IF(Data!$AF183&gt;0,(Duplicate!$N$23*Data!$AF183)+M240,(Duplicate!$N$24*Data!$AF183)+M240)),0)</f>
        <v>4733945</v>
      </c>
      <c r="O240" s="143">
        <f>ROUND(IF($E$31="Yes",IF(Data!$AG183&gt;0,(Duplicate!$O$23*Data!$AG183)+N240,(Duplicate!$O$24*Data!$AG183)+N240),IF(Data!$AF183&gt;0,(Duplicate!$O$23*Data!$AF183)+N240,(Duplicate!$O$24*Data!$AF183)+N240)),0)</f>
        <v>4629471</v>
      </c>
      <c r="P240" s="143">
        <f>ROUND(IF($E$31="Yes",IF(Data!$AG183&gt;0,(Duplicate!$P$23*Data!$AG183)+O240,(Duplicate!$P$24*Data!$AG183)+O240),IF(Data!$AF183&gt;0,(Duplicate!$P$23*Data!$AF183)+O240,(Duplicate!$P$24*Data!$AF183)+O240)),0)</f>
        <v>4524997</v>
      </c>
      <c r="Q240" s="143">
        <f>ROUND(IF($E$31="Yes",IF(Data!$AG183&gt;0,(Duplicate!$Q$23*Data!$AG183)+P240,(Duplicate!$Q$24*Data!$AG183)+P240),IF(Data!$AF183&gt;0,(Duplicate!$Q$23*Data!$AF183)+P240,(Duplicate!$Q$24*Data!$AF183)+P240)),0)</f>
        <v>4420523</v>
      </c>
      <c r="R240" s="143">
        <f>ROUND(IF($E$31="Yes",IF(Data!$AG183&gt;0,(Duplicate!$R$23*Data!$AG183)+Q240,(Duplicate!$R$24*Data!$AG183)+Q240),IF(Data!$AF183&gt;0,(Duplicate!$R$23*Data!$AF183)+Q240,(Duplicate!$R$24*Data!$AF183)+Q240)),0)</f>
        <v>4316049</v>
      </c>
      <c r="S240" s="143">
        <f>ROUND(IF($E$31="Yes",IF(Data!$AG183&gt;0,(Duplicate!$S$23*Data!$AG183)+R240,(Duplicate!$S$24*Data!$AG183)+R240),IF(Data!$AF183&gt;0,(Duplicate!$S$23*Data!$AF183)+R240,(Duplicate!$S$24*Data!$AF183)+R240)),0)</f>
        <v>4211575</v>
      </c>
      <c r="T240" s="143">
        <v>5076056</v>
      </c>
      <c r="U240" s="143">
        <v>5000270</v>
      </c>
      <c r="V240" s="143">
        <v>4924484</v>
      </c>
      <c r="W240" s="143">
        <v>4848698</v>
      </c>
      <c r="X240" s="143">
        <v>4772912</v>
      </c>
      <c r="Y240" s="143">
        <v>4697126</v>
      </c>
      <c r="Z240" s="143">
        <v>4621340</v>
      </c>
      <c r="AA240" s="143">
        <v>4545554</v>
      </c>
      <c r="AB240" s="143">
        <v>4469768</v>
      </c>
      <c r="AC240" s="129">
        <f t="shared" si="98"/>
        <v>-28689</v>
      </c>
      <c r="AD240" s="129">
        <f t="shared" si="98"/>
        <v>-57377</v>
      </c>
      <c r="AE240" s="129">
        <f t="shared" si="98"/>
        <v>-86065</v>
      </c>
      <c r="AF240" s="129">
        <f t="shared" si="99"/>
        <v>-114753</v>
      </c>
      <c r="AG240" s="129">
        <f t="shared" si="100"/>
        <v>-143441</v>
      </c>
      <c r="AH240" s="129">
        <f t="shared" si="101"/>
        <v>-172129</v>
      </c>
      <c r="AI240" s="129">
        <f t="shared" si="102"/>
        <v>-200817</v>
      </c>
      <c r="AJ240" s="129">
        <f t="shared" si="103"/>
        <v>-229505</v>
      </c>
      <c r="AK240" s="129">
        <f t="shared" si="104"/>
        <v>-258193</v>
      </c>
      <c r="AL240" s="127">
        <f t="shared" si="105"/>
        <v>-5.6518289002327471E-3</v>
      </c>
      <c r="AM240" s="127">
        <f t="shared" si="105"/>
        <v>-1.1474780361860448E-2</v>
      </c>
      <c r="AN240" s="127">
        <f t="shared" si="105"/>
        <v>-1.7476957991943931E-2</v>
      </c>
      <c r="AO240" s="127">
        <f t="shared" si="106"/>
        <v>-2.3666765799808531E-2</v>
      </c>
      <c r="AP240" s="127">
        <f t="shared" si="107"/>
        <v>-3.0053141562216057E-2</v>
      </c>
      <c r="AQ240" s="127">
        <f t="shared" si="108"/>
        <v>-3.664559988384386E-2</v>
      </c>
      <c r="AR240" s="127">
        <f t="shared" si="109"/>
        <v>-4.345427949469205E-2</v>
      </c>
      <c r="AS240" s="127">
        <f t="shared" si="110"/>
        <v>-5.0489995278903299E-2</v>
      </c>
      <c r="AT240" s="127">
        <f t="shared" si="111"/>
        <v>-5.7764295596549942E-2</v>
      </c>
    </row>
    <row r="241" spans="2:5" s="1" customFormat="1" x14ac:dyDescent="0.15"/>
    <row r="243" spans="2:5" x14ac:dyDescent="0.15">
      <c r="B243" s="9"/>
      <c r="C243" s="9"/>
    </row>
    <row r="253" spans="2:5" x14ac:dyDescent="0.15">
      <c r="B253" s="7"/>
      <c r="C253" s="7"/>
      <c r="D253" s="7"/>
      <c r="E253" s="7"/>
    </row>
    <row r="254" spans="2:5" x14ac:dyDescent="0.15">
      <c r="B254" s="7"/>
      <c r="C254" s="7"/>
      <c r="D254" s="7"/>
      <c r="E254" s="7"/>
    </row>
    <row r="255" spans="2:5" x14ac:dyDescent="0.15">
      <c r="B255" s="7"/>
      <c r="C255" s="7"/>
      <c r="D255" s="7"/>
      <c r="E255" s="7"/>
    </row>
    <row r="256" spans="2:5" x14ac:dyDescent="0.15">
      <c r="B256" s="7"/>
      <c r="C256" s="7"/>
      <c r="D256" s="7"/>
      <c r="E256" s="7"/>
    </row>
    <row r="257" spans="2:5" x14ac:dyDescent="0.15">
      <c r="B257" s="7"/>
      <c r="C257" s="7"/>
      <c r="D257" s="7"/>
      <c r="E257" s="7"/>
    </row>
    <row r="258" spans="2:5" x14ac:dyDescent="0.15">
      <c r="B258" s="7"/>
      <c r="C258" s="7"/>
      <c r="D258" s="7"/>
      <c r="E258" s="7"/>
    </row>
    <row r="259" spans="2:5" x14ac:dyDescent="0.15">
      <c r="B259" s="7"/>
      <c r="C259" s="7"/>
      <c r="D259" s="7"/>
      <c r="E259" s="7"/>
    </row>
    <row r="260" spans="2:5" x14ac:dyDescent="0.15">
      <c r="B260" s="7"/>
      <c r="C260" s="7"/>
      <c r="D260" s="7"/>
      <c r="E260" s="7"/>
    </row>
    <row r="261" spans="2:5" x14ac:dyDescent="0.15">
      <c r="B261" s="7"/>
      <c r="C261" s="7"/>
      <c r="D261" s="7"/>
      <c r="E261" s="7"/>
    </row>
    <row r="262" spans="2:5" x14ac:dyDescent="0.15">
      <c r="B262" s="7"/>
      <c r="C262" s="7"/>
      <c r="D262" s="7"/>
      <c r="E262" s="7"/>
    </row>
    <row r="263" spans="2:5" x14ac:dyDescent="0.15">
      <c r="B263" s="7"/>
      <c r="C263" s="7"/>
      <c r="D263" s="7"/>
      <c r="E263" s="7"/>
    </row>
    <row r="264" spans="2:5" x14ac:dyDescent="0.15">
      <c r="B264" s="7"/>
      <c r="C264" s="7"/>
      <c r="D264" s="7"/>
      <c r="E264" s="7"/>
    </row>
    <row r="265" spans="2:5" x14ac:dyDescent="0.15">
      <c r="B265" s="7"/>
      <c r="C265" s="7"/>
      <c r="D265" s="7"/>
      <c r="E265" s="7"/>
    </row>
    <row r="266" spans="2:5" x14ac:dyDescent="0.15">
      <c r="B266" s="7"/>
      <c r="C266" s="7"/>
      <c r="D266" s="7"/>
      <c r="E266" s="7"/>
    </row>
    <row r="267" spans="2:5" x14ac:dyDescent="0.15">
      <c r="B267" s="7"/>
      <c r="C267" s="7"/>
      <c r="D267" s="7"/>
      <c r="E267" s="7"/>
    </row>
    <row r="268" spans="2:5" x14ac:dyDescent="0.15">
      <c r="B268" s="7"/>
      <c r="C268" s="7"/>
      <c r="D268" s="7"/>
      <c r="E268" s="7"/>
    </row>
    <row r="277" spans="1:5" x14ac:dyDescent="0.15">
      <c r="A277" s="17"/>
    </row>
    <row r="278" spans="1:5" x14ac:dyDescent="0.15">
      <c r="A278" s="17"/>
    </row>
    <row r="279" spans="1:5" x14ac:dyDescent="0.15">
      <c r="A279" s="17"/>
    </row>
    <row r="280" spans="1:5" x14ac:dyDescent="0.15">
      <c r="A280" s="17"/>
    </row>
    <row r="285" spans="1:5" x14ac:dyDescent="0.15">
      <c r="B285" s="7"/>
      <c r="C285" s="7"/>
      <c r="D285" s="7"/>
      <c r="E285" s="7"/>
    </row>
    <row r="286" spans="1:5" x14ac:dyDescent="0.15">
      <c r="B286" s="7"/>
      <c r="C286" s="7"/>
      <c r="D286" s="7"/>
      <c r="E286" s="7"/>
    </row>
    <row r="287" spans="1:5" x14ac:dyDescent="0.15">
      <c r="B287" s="7"/>
      <c r="C287" s="7"/>
      <c r="D287" s="7"/>
      <c r="E287" s="7"/>
    </row>
    <row r="288" spans="1:5" x14ac:dyDescent="0.15">
      <c r="B288" s="7"/>
      <c r="C288" s="7"/>
      <c r="D288" s="7"/>
      <c r="E288" s="7"/>
    </row>
    <row r="289" spans="2:5" x14ac:dyDescent="0.15">
      <c r="B289" s="7"/>
      <c r="C289" s="7"/>
      <c r="D289" s="7"/>
      <c r="E289" s="7"/>
    </row>
    <row r="290" spans="2:5" x14ac:dyDescent="0.15">
      <c r="B290" s="7"/>
      <c r="C290" s="7"/>
      <c r="D290" s="7"/>
      <c r="E290" s="7"/>
    </row>
    <row r="291" spans="2:5" x14ac:dyDescent="0.15">
      <c r="B291" s="7"/>
      <c r="C291" s="7"/>
      <c r="D291" s="7"/>
      <c r="E291" s="7"/>
    </row>
    <row r="292" spans="2:5" x14ac:dyDescent="0.15">
      <c r="B292" s="7"/>
      <c r="C292" s="7"/>
      <c r="D292" s="7"/>
      <c r="E292" s="7"/>
    </row>
    <row r="293" spans="2:5" x14ac:dyDescent="0.15">
      <c r="B293" s="7"/>
      <c r="C293" s="7"/>
      <c r="D293" s="7"/>
      <c r="E293" s="7"/>
    </row>
    <row r="294" spans="2:5" x14ac:dyDescent="0.15">
      <c r="B294" s="7"/>
      <c r="C294" s="7"/>
      <c r="D294" s="7"/>
      <c r="E294" s="7"/>
    </row>
    <row r="295" spans="2:5" x14ac:dyDescent="0.15">
      <c r="B295" s="7"/>
      <c r="C295" s="7"/>
      <c r="D295" s="7"/>
      <c r="E295" s="7"/>
    </row>
    <row r="296" spans="2:5" x14ac:dyDescent="0.15">
      <c r="B296" s="7"/>
      <c r="C296" s="7"/>
      <c r="D296" s="7"/>
      <c r="E296" s="7"/>
    </row>
    <row r="297" spans="2:5" x14ac:dyDescent="0.15">
      <c r="B297" s="7"/>
      <c r="C297" s="7"/>
      <c r="D297" s="7"/>
      <c r="E297" s="7"/>
    </row>
    <row r="298" spans="2:5" x14ac:dyDescent="0.15">
      <c r="B298" s="7"/>
      <c r="C298" s="7"/>
      <c r="D298" s="7"/>
      <c r="E298" s="7"/>
    </row>
    <row r="299" spans="2:5" x14ac:dyDescent="0.15">
      <c r="B299" s="7"/>
      <c r="C299" s="7"/>
      <c r="D299" s="7"/>
      <c r="E299" s="7"/>
    </row>
    <row r="300" spans="2:5" x14ac:dyDescent="0.15">
      <c r="B300" s="7"/>
      <c r="C300" s="7"/>
      <c r="D300" s="7"/>
      <c r="E300" s="7"/>
    </row>
    <row r="301" spans="2:5" x14ac:dyDescent="0.15">
      <c r="B301" s="7"/>
      <c r="C301" s="7"/>
      <c r="D301" s="7"/>
      <c r="E301" s="7"/>
    </row>
    <row r="302" spans="2:5" x14ac:dyDescent="0.15">
      <c r="B302" s="7"/>
      <c r="C302" s="7"/>
      <c r="D302" s="7"/>
      <c r="E302" s="7"/>
    </row>
    <row r="303" spans="2:5" x14ac:dyDescent="0.15">
      <c r="B303" s="7"/>
      <c r="C303" s="7"/>
      <c r="D303" s="7"/>
      <c r="E303" s="7"/>
    </row>
    <row r="304" spans="2:5" x14ac:dyDescent="0.15">
      <c r="B304" s="7"/>
      <c r="C304" s="7"/>
      <c r="D304" s="7"/>
      <c r="E304" s="7"/>
    </row>
    <row r="305" spans="2:5" x14ac:dyDescent="0.15">
      <c r="B305" s="7"/>
      <c r="C305" s="7"/>
      <c r="D305" s="7"/>
      <c r="E305" s="7"/>
    </row>
    <row r="306" spans="2:5" x14ac:dyDescent="0.15">
      <c r="B306" s="7"/>
      <c r="C306" s="7"/>
      <c r="D306" s="7"/>
      <c r="E306" s="7"/>
    </row>
    <row r="307" spans="2:5" x14ac:dyDescent="0.15">
      <c r="B307" s="7"/>
      <c r="C307" s="7"/>
      <c r="D307" s="7"/>
      <c r="E307" s="7"/>
    </row>
    <row r="308" spans="2:5" x14ac:dyDescent="0.15">
      <c r="B308" s="7"/>
      <c r="C308" s="7"/>
      <c r="D308" s="7"/>
      <c r="E308" s="7"/>
    </row>
    <row r="309" spans="2:5" x14ac:dyDescent="0.15">
      <c r="B309" s="7"/>
      <c r="C309" s="7"/>
      <c r="D309" s="7"/>
      <c r="E309" s="7"/>
    </row>
    <row r="310" spans="2:5" x14ac:dyDescent="0.15">
      <c r="B310" s="7"/>
      <c r="C310" s="7"/>
      <c r="D310" s="7"/>
      <c r="E310" s="7"/>
    </row>
    <row r="311" spans="2:5" x14ac:dyDescent="0.15">
      <c r="B311" s="7"/>
      <c r="C311" s="7"/>
      <c r="D311" s="7"/>
      <c r="E311" s="7"/>
    </row>
    <row r="312" spans="2:5" x14ac:dyDescent="0.15">
      <c r="B312" s="7"/>
      <c r="C312" s="7"/>
      <c r="D312" s="7"/>
      <c r="E312" s="7"/>
    </row>
    <row r="313" spans="2:5" x14ac:dyDescent="0.15">
      <c r="B313" s="7"/>
      <c r="C313" s="7"/>
      <c r="D313" s="7"/>
      <c r="E313" s="7"/>
    </row>
    <row r="314" spans="2:5" x14ac:dyDescent="0.15">
      <c r="B314" s="7"/>
      <c r="C314" s="7"/>
      <c r="D314" s="7"/>
      <c r="E314" s="7"/>
    </row>
    <row r="315" spans="2:5" x14ac:dyDescent="0.15">
      <c r="B315" s="7"/>
      <c r="C315" s="7"/>
      <c r="D315" s="7"/>
      <c r="E315" s="7"/>
    </row>
    <row r="316" spans="2:5" x14ac:dyDescent="0.15">
      <c r="B316" s="7"/>
      <c r="C316" s="7"/>
      <c r="D316" s="7"/>
      <c r="E316" s="7"/>
    </row>
    <row r="317" spans="2:5" x14ac:dyDescent="0.15">
      <c r="B317" s="7"/>
      <c r="C317" s="7"/>
      <c r="D317" s="7"/>
      <c r="E317" s="7"/>
    </row>
    <row r="318" spans="2:5" x14ac:dyDescent="0.15">
      <c r="B318" s="7"/>
      <c r="C318" s="7"/>
      <c r="D318" s="7"/>
      <c r="E318" s="7"/>
    </row>
    <row r="319" spans="2:5" x14ac:dyDescent="0.15">
      <c r="B319" s="7"/>
      <c r="C319" s="7"/>
      <c r="D319" s="7"/>
      <c r="E319" s="7"/>
    </row>
    <row r="320" spans="2:5" x14ac:dyDescent="0.15">
      <c r="B320" s="7"/>
      <c r="C320" s="7"/>
      <c r="D320" s="7"/>
      <c r="E320" s="7"/>
    </row>
    <row r="321" spans="2:5" x14ac:dyDescent="0.15">
      <c r="B321" s="7"/>
      <c r="C321" s="7"/>
      <c r="D321" s="7"/>
      <c r="E321" s="7"/>
    </row>
    <row r="322" spans="2:5" x14ac:dyDescent="0.15">
      <c r="B322" s="7"/>
      <c r="C322" s="7"/>
      <c r="D322" s="7"/>
      <c r="E322" s="7"/>
    </row>
    <row r="323" spans="2:5" x14ac:dyDescent="0.15">
      <c r="B323" s="7"/>
      <c r="C323" s="7"/>
      <c r="D323" s="7"/>
      <c r="E323" s="7"/>
    </row>
    <row r="324" spans="2:5" x14ac:dyDescent="0.15">
      <c r="B324" s="7"/>
      <c r="C324" s="7"/>
      <c r="D324" s="7"/>
      <c r="E324" s="7"/>
    </row>
    <row r="325" spans="2:5" x14ac:dyDescent="0.15">
      <c r="B325" s="7"/>
      <c r="C325" s="7"/>
      <c r="D325" s="7"/>
      <c r="E325" s="7"/>
    </row>
    <row r="326" spans="2:5" x14ac:dyDescent="0.15">
      <c r="B326" s="7"/>
      <c r="C326" s="7"/>
      <c r="D326" s="7"/>
      <c r="E326" s="7"/>
    </row>
    <row r="327" spans="2:5" x14ac:dyDescent="0.15">
      <c r="B327" s="7"/>
      <c r="C327" s="7"/>
      <c r="D327" s="7"/>
      <c r="E327" s="7"/>
    </row>
    <row r="328" spans="2:5" x14ac:dyDescent="0.15">
      <c r="B328" s="7"/>
      <c r="C328" s="7"/>
      <c r="D328" s="7"/>
      <c r="E328" s="7"/>
    </row>
    <row r="329" spans="2:5" x14ac:dyDescent="0.15">
      <c r="B329" s="7"/>
      <c r="C329" s="7"/>
      <c r="D329" s="7"/>
      <c r="E329" s="7"/>
    </row>
    <row r="330" spans="2:5" x14ac:dyDescent="0.15">
      <c r="B330" s="7"/>
      <c r="C330" s="7"/>
      <c r="D330" s="7"/>
      <c r="E330" s="7"/>
    </row>
    <row r="331" spans="2:5" x14ac:dyDescent="0.15">
      <c r="B331" s="7"/>
      <c r="C331" s="7"/>
      <c r="D331" s="7"/>
      <c r="E331" s="7"/>
    </row>
    <row r="332" spans="2:5" x14ac:dyDescent="0.15">
      <c r="B332" s="7"/>
      <c r="C332" s="7"/>
      <c r="D332" s="7"/>
      <c r="E332" s="7"/>
    </row>
    <row r="333" spans="2:5" x14ac:dyDescent="0.15">
      <c r="B333" s="7"/>
      <c r="C333" s="7"/>
      <c r="D333" s="7"/>
      <c r="E333" s="7"/>
    </row>
    <row r="334" spans="2:5" x14ac:dyDescent="0.15">
      <c r="B334" s="7"/>
      <c r="C334" s="7"/>
      <c r="D334" s="7"/>
      <c r="E334" s="7"/>
    </row>
    <row r="335" spans="2:5" x14ac:dyDescent="0.15">
      <c r="B335" s="7"/>
      <c r="C335" s="7"/>
      <c r="D335" s="7"/>
      <c r="E335" s="7"/>
    </row>
    <row r="336" spans="2:5" x14ac:dyDescent="0.15">
      <c r="B336" s="7"/>
      <c r="C336" s="7"/>
      <c r="D336" s="7"/>
      <c r="E336" s="7"/>
    </row>
    <row r="337" spans="2:5" x14ac:dyDescent="0.15">
      <c r="B337" s="7"/>
      <c r="C337" s="7"/>
      <c r="D337" s="7"/>
      <c r="E337" s="7"/>
    </row>
    <row r="338" spans="2:5" x14ac:dyDescent="0.15">
      <c r="B338" s="7"/>
      <c r="C338" s="7"/>
      <c r="D338" s="7"/>
      <c r="E338" s="7"/>
    </row>
    <row r="339" spans="2:5" x14ac:dyDescent="0.15">
      <c r="B339" s="7"/>
      <c r="C339" s="7"/>
      <c r="D339" s="7"/>
      <c r="E339" s="7"/>
    </row>
    <row r="340" spans="2:5" x14ac:dyDescent="0.15">
      <c r="B340" s="7"/>
      <c r="C340" s="7"/>
      <c r="D340" s="7"/>
      <c r="E340" s="7"/>
    </row>
    <row r="341" spans="2:5" x14ac:dyDescent="0.15">
      <c r="B341" s="7"/>
      <c r="C341" s="7"/>
      <c r="D341" s="7"/>
      <c r="E341" s="7"/>
    </row>
    <row r="342" spans="2:5" x14ac:dyDescent="0.15">
      <c r="B342" s="7"/>
      <c r="C342" s="7"/>
      <c r="D342" s="7"/>
      <c r="E342" s="7"/>
    </row>
    <row r="343" spans="2:5" x14ac:dyDescent="0.15">
      <c r="B343" s="7"/>
      <c r="C343" s="7"/>
      <c r="D343" s="7"/>
      <c r="E343" s="7"/>
    </row>
    <row r="344" spans="2:5" x14ac:dyDescent="0.15">
      <c r="B344" s="7"/>
      <c r="C344" s="7"/>
      <c r="D344" s="7"/>
      <c r="E344" s="7"/>
    </row>
    <row r="345" spans="2:5" x14ac:dyDescent="0.15">
      <c r="B345" s="7"/>
      <c r="C345" s="7"/>
      <c r="D345" s="7"/>
      <c r="E345" s="7"/>
    </row>
    <row r="346" spans="2:5" x14ac:dyDescent="0.15">
      <c r="B346" s="7"/>
      <c r="C346" s="7"/>
      <c r="D346" s="7"/>
      <c r="E346" s="7"/>
    </row>
    <row r="347" spans="2:5" x14ac:dyDescent="0.15">
      <c r="B347" s="7"/>
      <c r="C347" s="7"/>
      <c r="D347" s="7"/>
      <c r="E347" s="7"/>
    </row>
    <row r="348" spans="2:5" x14ac:dyDescent="0.15">
      <c r="B348" s="7"/>
      <c r="C348" s="7"/>
      <c r="D348" s="7"/>
      <c r="E348" s="7"/>
    </row>
    <row r="349" spans="2:5" x14ac:dyDescent="0.15">
      <c r="B349" s="7"/>
      <c r="C349" s="7"/>
      <c r="D349" s="7"/>
      <c r="E349" s="7"/>
    </row>
    <row r="350" spans="2:5" x14ac:dyDescent="0.15">
      <c r="B350" s="7"/>
      <c r="C350" s="7"/>
      <c r="D350" s="7"/>
      <c r="E350" s="7"/>
    </row>
    <row r="351" spans="2:5" x14ac:dyDescent="0.15">
      <c r="B351" s="7"/>
      <c r="C351" s="7"/>
      <c r="D351" s="7"/>
      <c r="E351" s="7"/>
    </row>
    <row r="352" spans="2:5" x14ac:dyDescent="0.15">
      <c r="B352" s="7"/>
      <c r="C352" s="7"/>
      <c r="D352" s="7"/>
      <c r="E352" s="7"/>
    </row>
    <row r="353" spans="2:5" x14ac:dyDescent="0.15">
      <c r="B353" s="7"/>
      <c r="C353" s="7"/>
      <c r="D353" s="7"/>
      <c r="E353" s="7"/>
    </row>
    <row r="354" spans="2:5" x14ac:dyDescent="0.15">
      <c r="B354" s="7"/>
      <c r="C354" s="7"/>
      <c r="D354" s="7"/>
      <c r="E354" s="7"/>
    </row>
    <row r="355" spans="2:5" x14ac:dyDescent="0.15">
      <c r="B355" s="7"/>
      <c r="C355" s="7"/>
      <c r="D355" s="7"/>
      <c r="E355" s="7"/>
    </row>
    <row r="356" spans="2:5" x14ac:dyDescent="0.15">
      <c r="B356" s="7"/>
      <c r="C356" s="7"/>
      <c r="D356" s="7"/>
      <c r="E356" s="7"/>
    </row>
    <row r="357" spans="2:5" x14ac:dyDescent="0.15">
      <c r="B357" s="7"/>
      <c r="C357" s="7"/>
      <c r="D357" s="7"/>
      <c r="E357" s="7"/>
    </row>
    <row r="358" spans="2:5" x14ac:dyDescent="0.15">
      <c r="B358" s="7"/>
      <c r="C358" s="7"/>
      <c r="D358" s="7"/>
      <c r="E358" s="7"/>
    </row>
    <row r="359" spans="2:5" x14ac:dyDescent="0.15">
      <c r="B359" s="7"/>
      <c r="C359" s="7"/>
      <c r="D359" s="7"/>
      <c r="E359" s="7"/>
    </row>
    <row r="360" spans="2:5" x14ac:dyDescent="0.15">
      <c r="B360" s="7"/>
      <c r="C360" s="7"/>
      <c r="D360" s="7"/>
      <c r="E360" s="7"/>
    </row>
    <row r="361" spans="2:5" x14ac:dyDescent="0.15">
      <c r="B361" s="7"/>
      <c r="C361" s="7"/>
      <c r="D361" s="7"/>
      <c r="E361" s="7"/>
    </row>
    <row r="362" spans="2:5" x14ac:dyDescent="0.15">
      <c r="B362" s="7"/>
      <c r="C362" s="7"/>
      <c r="D362" s="7"/>
      <c r="E362" s="7"/>
    </row>
    <row r="363" spans="2:5" x14ac:dyDescent="0.15">
      <c r="B363" s="7"/>
      <c r="C363" s="7"/>
      <c r="D363" s="7"/>
      <c r="E363" s="7"/>
    </row>
    <row r="364" spans="2:5" x14ac:dyDescent="0.15">
      <c r="B364" s="7"/>
      <c r="C364" s="7"/>
      <c r="D364" s="7"/>
      <c r="E364" s="7"/>
    </row>
    <row r="365" spans="2:5" x14ac:dyDescent="0.15">
      <c r="B365" s="7"/>
      <c r="C365" s="7"/>
      <c r="D365" s="7"/>
      <c r="E365" s="7"/>
    </row>
    <row r="366" spans="2:5" x14ac:dyDescent="0.15">
      <c r="B366" s="7"/>
      <c r="C366" s="7"/>
      <c r="D366" s="7"/>
      <c r="E366" s="7"/>
    </row>
    <row r="367" spans="2:5" x14ac:dyDescent="0.15">
      <c r="B367" s="7"/>
      <c r="C367" s="7"/>
      <c r="D367" s="7"/>
      <c r="E367" s="7"/>
    </row>
    <row r="368" spans="2:5" x14ac:dyDescent="0.15">
      <c r="B368" s="7"/>
      <c r="C368" s="7"/>
      <c r="D368" s="7"/>
      <c r="E368" s="7"/>
    </row>
    <row r="369" spans="2:5" x14ac:dyDescent="0.15">
      <c r="B369" s="7"/>
      <c r="C369" s="7"/>
      <c r="D369" s="7"/>
      <c r="E369" s="7"/>
    </row>
    <row r="370" spans="2:5" x14ac:dyDescent="0.15">
      <c r="B370" s="7"/>
      <c r="C370" s="7"/>
      <c r="D370" s="7"/>
      <c r="E370" s="7"/>
    </row>
    <row r="371" spans="2:5" x14ac:dyDescent="0.15">
      <c r="B371" s="7"/>
      <c r="C371" s="7"/>
      <c r="D371" s="7"/>
      <c r="E371" s="7"/>
    </row>
    <row r="372" spans="2:5" x14ac:dyDescent="0.15">
      <c r="B372" s="7"/>
      <c r="C372" s="7"/>
      <c r="D372" s="7"/>
      <c r="E372" s="7"/>
    </row>
    <row r="373" spans="2:5" x14ac:dyDescent="0.15">
      <c r="B373" s="7"/>
      <c r="C373" s="7"/>
      <c r="D373" s="7"/>
      <c r="E373" s="7"/>
    </row>
    <row r="374" spans="2:5" x14ac:dyDescent="0.15">
      <c r="B374" s="7"/>
      <c r="C374" s="7"/>
      <c r="D374" s="7"/>
      <c r="E374" s="7"/>
    </row>
    <row r="375" spans="2:5" x14ac:dyDescent="0.15">
      <c r="B375" s="7"/>
      <c r="C375" s="7"/>
      <c r="D375" s="7"/>
      <c r="E375" s="7"/>
    </row>
    <row r="376" spans="2:5" x14ac:dyDescent="0.15">
      <c r="B376" s="7"/>
      <c r="C376" s="7"/>
      <c r="D376" s="7"/>
      <c r="E376" s="7"/>
    </row>
    <row r="377" spans="2:5" x14ac:dyDescent="0.15">
      <c r="B377" s="7"/>
      <c r="C377" s="7"/>
      <c r="D377" s="7"/>
      <c r="E377" s="7"/>
    </row>
    <row r="378" spans="2:5" x14ac:dyDescent="0.15">
      <c r="B378" s="7"/>
      <c r="C378" s="7"/>
      <c r="D378" s="7"/>
      <c r="E378" s="7"/>
    </row>
    <row r="379" spans="2:5" x14ac:dyDescent="0.15">
      <c r="B379" s="7"/>
      <c r="C379" s="7"/>
      <c r="D379" s="7"/>
      <c r="E379" s="7"/>
    </row>
    <row r="380" spans="2:5" x14ac:dyDescent="0.15">
      <c r="B380" s="7"/>
      <c r="C380" s="7"/>
      <c r="D380" s="7"/>
      <c r="E380" s="7"/>
    </row>
    <row r="381" spans="2:5" x14ac:dyDescent="0.15">
      <c r="B381" s="7"/>
      <c r="C381" s="7"/>
      <c r="D381" s="7"/>
      <c r="E381" s="7"/>
    </row>
    <row r="382" spans="2:5" x14ac:dyDescent="0.15">
      <c r="B382" s="7"/>
      <c r="C382" s="7"/>
      <c r="D382" s="7"/>
      <c r="E382" s="7"/>
    </row>
    <row r="383" spans="2:5" x14ac:dyDescent="0.15">
      <c r="B383" s="7"/>
      <c r="C383" s="7"/>
      <c r="D383" s="7"/>
      <c r="E383" s="7"/>
    </row>
    <row r="384" spans="2:5" x14ac:dyDescent="0.15">
      <c r="B384" s="7"/>
      <c r="C384" s="7"/>
      <c r="D384" s="7"/>
      <c r="E384" s="7"/>
    </row>
    <row r="385" spans="2:5" x14ac:dyDescent="0.15">
      <c r="B385" s="7"/>
      <c r="C385" s="7"/>
      <c r="D385" s="7"/>
      <c r="E385" s="7"/>
    </row>
    <row r="386" spans="2:5" x14ac:dyDescent="0.15">
      <c r="B386" s="7"/>
      <c r="C386" s="7"/>
      <c r="D386" s="7"/>
      <c r="E386" s="7"/>
    </row>
    <row r="387" spans="2:5" x14ac:dyDescent="0.15">
      <c r="B387" s="7"/>
      <c r="C387" s="7"/>
      <c r="D387" s="7"/>
      <c r="E387" s="7"/>
    </row>
    <row r="388" spans="2:5" x14ac:dyDescent="0.15">
      <c r="B388" s="7"/>
      <c r="C388" s="7"/>
      <c r="D388" s="7"/>
      <c r="E388" s="7"/>
    </row>
    <row r="389" spans="2:5" x14ac:dyDescent="0.15">
      <c r="B389" s="7"/>
      <c r="C389" s="7"/>
      <c r="D389" s="7"/>
      <c r="E389" s="7"/>
    </row>
    <row r="390" spans="2:5" x14ac:dyDescent="0.15">
      <c r="B390" s="7"/>
      <c r="C390" s="7"/>
      <c r="D390" s="7"/>
      <c r="E390" s="7"/>
    </row>
    <row r="391" spans="2:5" x14ac:dyDescent="0.15">
      <c r="B391" s="7"/>
      <c r="C391" s="7"/>
      <c r="D391" s="7"/>
      <c r="E391" s="7"/>
    </row>
    <row r="392" spans="2:5" x14ac:dyDescent="0.15">
      <c r="B392" s="7"/>
      <c r="C392" s="7"/>
      <c r="D392" s="7"/>
      <c r="E392" s="7"/>
    </row>
    <row r="393" spans="2:5" x14ac:dyDescent="0.15">
      <c r="B393" s="7"/>
      <c r="C393" s="7"/>
      <c r="D393" s="7"/>
      <c r="E393" s="7"/>
    </row>
    <row r="394" spans="2:5" x14ac:dyDescent="0.15">
      <c r="B394" s="7"/>
      <c r="C394" s="7"/>
      <c r="D394" s="7"/>
      <c r="E394" s="7"/>
    </row>
    <row r="395" spans="2:5" x14ac:dyDescent="0.15">
      <c r="B395" s="7"/>
      <c r="C395" s="7"/>
      <c r="D395" s="7"/>
      <c r="E395" s="7"/>
    </row>
    <row r="396" spans="2:5" x14ac:dyDescent="0.15">
      <c r="B396" s="7"/>
      <c r="C396" s="7"/>
      <c r="D396" s="7"/>
      <c r="E396" s="7"/>
    </row>
    <row r="397" spans="2:5" x14ac:dyDescent="0.15">
      <c r="B397" s="7"/>
      <c r="C397" s="7"/>
      <c r="D397" s="7"/>
      <c r="E397" s="7"/>
    </row>
    <row r="398" spans="2:5" x14ac:dyDescent="0.15">
      <c r="B398" s="7"/>
      <c r="C398" s="7"/>
      <c r="D398" s="7"/>
      <c r="E398" s="7"/>
    </row>
    <row r="399" spans="2:5" x14ac:dyDescent="0.15">
      <c r="B399" s="7"/>
      <c r="C399" s="7"/>
      <c r="D399" s="7"/>
      <c r="E399" s="7"/>
    </row>
    <row r="400" spans="2:5" x14ac:dyDescent="0.15">
      <c r="B400" s="7"/>
      <c r="C400" s="7"/>
      <c r="D400" s="7"/>
      <c r="E400" s="7"/>
    </row>
    <row r="401" spans="2:5" x14ac:dyDescent="0.15">
      <c r="B401" s="7"/>
      <c r="C401" s="7"/>
      <c r="D401" s="7"/>
      <c r="E401" s="7"/>
    </row>
    <row r="402" spans="2:5" x14ac:dyDescent="0.15">
      <c r="B402" s="7"/>
      <c r="C402" s="7"/>
      <c r="D402" s="7"/>
      <c r="E402" s="7"/>
    </row>
    <row r="403" spans="2:5" x14ac:dyDescent="0.15">
      <c r="B403" s="7"/>
      <c r="C403" s="7"/>
      <c r="D403" s="7"/>
      <c r="E403" s="7"/>
    </row>
    <row r="404" spans="2:5" x14ac:dyDescent="0.15">
      <c r="B404" s="7"/>
      <c r="C404" s="7"/>
      <c r="D404" s="7"/>
      <c r="E404" s="7"/>
    </row>
    <row r="405" spans="2:5" x14ac:dyDescent="0.15">
      <c r="B405" s="7"/>
      <c r="C405" s="7"/>
      <c r="D405" s="7"/>
      <c r="E405" s="7"/>
    </row>
    <row r="406" spans="2:5" x14ac:dyDescent="0.15">
      <c r="B406" s="7"/>
      <c r="C406" s="7"/>
      <c r="D406" s="7"/>
      <c r="E406" s="7"/>
    </row>
    <row r="407" spans="2:5" x14ac:dyDescent="0.15">
      <c r="B407" s="7"/>
      <c r="C407" s="7"/>
      <c r="D407" s="7"/>
      <c r="E407" s="7"/>
    </row>
    <row r="408" spans="2:5" x14ac:dyDescent="0.15">
      <c r="B408" s="7"/>
      <c r="C408" s="7"/>
      <c r="D408" s="7"/>
      <c r="E408" s="7"/>
    </row>
    <row r="409" spans="2:5" x14ac:dyDescent="0.15">
      <c r="B409" s="7"/>
      <c r="C409" s="7"/>
      <c r="D409" s="7"/>
      <c r="E409" s="7"/>
    </row>
    <row r="410" spans="2:5" x14ac:dyDescent="0.15">
      <c r="B410" s="7"/>
      <c r="C410" s="7"/>
      <c r="D410" s="7"/>
      <c r="E410" s="7"/>
    </row>
  </sheetData>
  <mergeCells count="16">
    <mergeCell ref="C25:D25"/>
    <mergeCell ref="B14:F16"/>
    <mergeCell ref="C21:D21"/>
    <mergeCell ref="C22:D22"/>
    <mergeCell ref="C23:D23"/>
    <mergeCell ref="C24:D24"/>
    <mergeCell ref="C32:D32"/>
    <mergeCell ref="C33:D33"/>
    <mergeCell ref="C34:D34"/>
    <mergeCell ref="B50:F53"/>
    <mergeCell ref="C26:D26"/>
    <mergeCell ref="C27:D27"/>
    <mergeCell ref="C28:D28"/>
    <mergeCell ref="C29:D29"/>
    <mergeCell ref="C30:D30"/>
    <mergeCell ref="C31:D31"/>
  </mergeCells>
  <conditionalFormatting sqref="H72:H240">
    <cfRule type="cellIs" dxfId="62" priority="62" operator="lessThan">
      <formula>0</formula>
    </cfRule>
    <cfRule type="cellIs" dxfId="61" priority="63" operator="greaterThan">
      <formula>0</formula>
    </cfRule>
  </conditionalFormatting>
  <conditionalFormatting sqref="H72:H240">
    <cfRule type="cellIs" dxfId="60" priority="61" operator="equal">
      <formula>0</formula>
    </cfRule>
  </conditionalFormatting>
  <conditionalFormatting sqref="I72:I240">
    <cfRule type="cellIs" dxfId="59" priority="59" operator="lessThan">
      <formula>0</formula>
    </cfRule>
    <cfRule type="cellIs" dxfId="58" priority="60" operator="greaterThan">
      <formula>0</formula>
    </cfRule>
  </conditionalFormatting>
  <conditionalFormatting sqref="I72:I240">
    <cfRule type="cellIs" dxfId="57" priority="58" operator="equal">
      <formula>0</formula>
    </cfRule>
  </conditionalFormatting>
  <conditionalFormatting sqref="J72:J240">
    <cfRule type="cellIs" dxfId="56" priority="56" operator="lessThan">
      <formula>0</formula>
    </cfRule>
    <cfRule type="cellIs" dxfId="55" priority="57" operator="greaterThan">
      <formula>0</formula>
    </cfRule>
  </conditionalFormatting>
  <conditionalFormatting sqref="J72:J240">
    <cfRule type="cellIs" dxfId="54" priority="55" operator="equal">
      <formula>0</formula>
    </cfRule>
  </conditionalFormatting>
  <conditionalFormatting sqref="AC72:AC240">
    <cfRule type="cellIs" dxfId="53" priority="53" operator="lessThan">
      <formula>0</formula>
    </cfRule>
    <cfRule type="cellIs" dxfId="52" priority="54" operator="greaterThan">
      <formula>0</formula>
    </cfRule>
  </conditionalFormatting>
  <conditionalFormatting sqref="AC72:AC240">
    <cfRule type="cellIs" dxfId="51" priority="52" operator="equal">
      <formula>0</formula>
    </cfRule>
  </conditionalFormatting>
  <conditionalFormatting sqref="AL72:AL240">
    <cfRule type="cellIs" dxfId="50" priority="50" operator="lessThan">
      <formula>0</formula>
    </cfRule>
    <cfRule type="cellIs" dxfId="49" priority="51" operator="greaterThan">
      <formula>0</formula>
    </cfRule>
  </conditionalFormatting>
  <conditionalFormatting sqref="AL72:AL240">
    <cfRule type="cellIs" dxfId="48" priority="49" operator="equal">
      <formula>0</formula>
    </cfRule>
  </conditionalFormatting>
  <conditionalFormatting sqref="AD72:AD240">
    <cfRule type="cellIs" dxfId="47" priority="47" operator="lessThan">
      <formula>0</formula>
    </cfRule>
    <cfRule type="cellIs" dxfId="46" priority="48" operator="greaterThan">
      <formula>0</formula>
    </cfRule>
  </conditionalFormatting>
  <conditionalFormatting sqref="AD72:AD240">
    <cfRule type="cellIs" dxfId="45" priority="46" operator="equal">
      <formula>0</formula>
    </cfRule>
  </conditionalFormatting>
  <conditionalFormatting sqref="AM72:AM240">
    <cfRule type="cellIs" dxfId="44" priority="44" operator="lessThan">
      <formula>0</formula>
    </cfRule>
    <cfRule type="cellIs" dxfId="43" priority="45" operator="greaterThan">
      <formula>0</formula>
    </cfRule>
  </conditionalFormatting>
  <conditionalFormatting sqref="AM72:AM240">
    <cfRule type="cellIs" dxfId="42" priority="43" operator="equal">
      <formula>0</formula>
    </cfRule>
  </conditionalFormatting>
  <conditionalFormatting sqref="AE72:AE240">
    <cfRule type="cellIs" dxfId="41" priority="41" operator="lessThan">
      <formula>0</formula>
    </cfRule>
    <cfRule type="cellIs" dxfId="40" priority="42" operator="greaterThan">
      <formula>0</formula>
    </cfRule>
  </conditionalFormatting>
  <conditionalFormatting sqref="AE72:AE240">
    <cfRule type="cellIs" dxfId="39" priority="40" operator="equal">
      <formula>0</formula>
    </cfRule>
  </conditionalFormatting>
  <conditionalFormatting sqref="AN72:AN240">
    <cfRule type="cellIs" dxfId="38" priority="38" operator="lessThan">
      <formula>0</formula>
    </cfRule>
    <cfRule type="cellIs" dxfId="37" priority="39" operator="greaterThan">
      <formula>0</formula>
    </cfRule>
  </conditionalFormatting>
  <conditionalFormatting sqref="AN72:AN240">
    <cfRule type="cellIs" dxfId="36" priority="37" operator="equal">
      <formula>0</formula>
    </cfRule>
  </conditionalFormatting>
  <conditionalFormatting sqref="AF72:AF240">
    <cfRule type="cellIs" dxfId="35" priority="35" operator="lessThan">
      <formula>0</formula>
    </cfRule>
    <cfRule type="cellIs" dxfId="34" priority="36" operator="greaterThan">
      <formula>0</formula>
    </cfRule>
  </conditionalFormatting>
  <conditionalFormatting sqref="AF72:AF240">
    <cfRule type="cellIs" dxfId="33" priority="34" operator="equal">
      <formula>0</formula>
    </cfRule>
  </conditionalFormatting>
  <conditionalFormatting sqref="AO72:AO240">
    <cfRule type="cellIs" dxfId="32" priority="32" operator="lessThan">
      <formula>0</formula>
    </cfRule>
    <cfRule type="cellIs" dxfId="31" priority="33" operator="greaterThan">
      <formula>0</formula>
    </cfRule>
  </conditionalFormatting>
  <conditionalFormatting sqref="AO72:AO240">
    <cfRule type="cellIs" dxfId="30" priority="31" operator="equal">
      <formula>0</formula>
    </cfRule>
  </conditionalFormatting>
  <conditionalFormatting sqref="AG72:AG240">
    <cfRule type="cellIs" dxfId="29" priority="29" operator="lessThan">
      <formula>0</formula>
    </cfRule>
    <cfRule type="cellIs" dxfId="28" priority="30" operator="greaterThan">
      <formula>0</formula>
    </cfRule>
  </conditionalFormatting>
  <conditionalFormatting sqref="AG72:AG240">
    <cfRule type="cellIs" dxfId="27" priority="28" operator="equal">
      <formula>0</formula>
    </cfRule>
  </conditionalFormatting>
  <conditionalFormatting sqref="AP72:AP240">
    <cfRule type="cellIs" dxfId="26" priority="26" operator="lessThan">
      <formula>0</formula>
    </cfRule>
    <cfRule type="cellIs" dxfId="25" priority="27" operator="greaterThan">
      <formula>0</formula>
    </cfRule>
  </conditionalFormatting>
  <conditionalFormatting sqref="AP72:AP240">
    <cfRule type="cellIs" dxfId="24" priority="25" operator="equal">
      <formula>0</formula>
    </cfRule>
  </conditionalFormatting>
  <conditionalFormatting sqref="AH72:AH240">
    <cfRule type="cellIs" dxfId="23" priority="23" operator="lessThan">
      <formula>0</formula>
    </cfRule>
    <cfRule type="cellIs" dxfId="22" priority="24" operator="greaterThan">
      <formula>0</formula>
    </cfRule>
  </conditionalFormatting>
  <conditionalFormatting sqref="AH72:AH240">
    <cfRule type="cellIs" dxfId="21" priority="22" operator="equal">
      <formula>0</formula>
    </cfRule>
  </conditionalFormatting>
  <conditionalFormatting sqref="AQ72:AQ240">
    <cfRule type="cellIs" dxfId="20" priority="20" operator="lessThan">
      <formula>0</formula>
    </cfRule>
    <cfRule type="cellIs" dxfId="19" priority="21" operator="greaterThan">
      <formula>0</formula>
    </cfRule>
  </conditionalFormatting>
  <conditionalFormatting sqref="AQ72:AQ240">
    <cfRule type="cellIs" dxfId="18" priority="19" operator="equal">
      <formula>0</formula>
    </cfRule>
  </conditionalFormatting>
  <conditionalFormatting sqref="AI72:AI240">
    <cfRule type="cellIs" dxfId="17" priority="17" operator="lessThan">
      <formula>0</formula>
    </cfRule>
    <cfRule type="cellIs" dxfId="16" priority="18" operator="greaterThan">
      <formula>0</formula>
    </cfRule>
  </conditionalFormatting>
  <conditionalFormatting sqref="AI72:AI240">
    <cfRule type="cellIs" dxfId="15" priority="16" operator="equal">
      <formula>0</formula>
    </cfRule>
  </conditionalFormatting>
  <conditionalFormatting sqref="AR72:AR240">
    <cfRule type="cellIs" dxfId="14" priority="14" operator="lessThan">
      <formula>0</formula>
    </cfRule>
    <cfRule type="cellIs" dxfId="13" priority="15" operator="greaterThan">
      <formula>0</formula>
    </cfRule>
  </conditionalFormatting>
  <conditionalFormatting sqref="AR72:AR240">
    <cfRule type="cellIs" dxfId="12" priority="13" operator="equal">
      <formula>0</formula>
    </cfRule>
  </conditionalFormatting>
  <conditionalFormatting sqref="AJ72:AJ240">
    <cfRule type="cellIs" dxfId="11" priority="11" operator="lessThan">
      <formula>0</formula>
    </cfRule>
    <cfRule type="cellIs" dxfId="10" priority="12" operator="greaterThan">
      <formula>0</formula>
    </cfRule>
  </conditionalFormatting>
  <conditionalFormatting sqref="AJ72:AJ240">
    <cfRule type="cellIs" dxfId="9" priority="10" operator="equal">
      <formula>0</formula>
    </cfRule>
  </conditionalFormatting>
  <conditionalFormatting sqref="AS72:AS240">
    <cfRule type="cellIs" dxfId="8" priority="8" operator="lessThan">
      <formula>0</formula>
    </cfRule>
    <cfRule type="cellIs" dxfId="7" priority="9" operator="greaterThan">
      <formula>0</formula>
    </cfRule>
  </conditionalFormatting>
  <conditionalFormatting sqref="AS72:AS240">
    <cfRule type="cellIs" dxfId="6" priority="7" operator="equal">
      <formula>0</formula>
    </cfRule>
  </conditionalFormatting>
  <conditionalFormatting sqref="AK72:AK240">
    <cfRule type="cellIs" dxfId="5" priority="5" operator="lessThan">
      <formula>0</formula>
    </cfRule>
    <cfRule type="cellIs" dxfId="4" priority="6" operator="greaterThan">
      <formula>0</formula>
    </cfRule>
  </conditionalFormatting>
  <conditionalFormatting sqref="AK72:AK240">
    <cfRule type="cellIs" dxfId="3" priority="4" operator="equal">
      <formula>0</formula>
    </cfRule>
  </conditionalFormatting>
  <conditionalFormatting sqref="AT72:AT240">
    <cfRule type="cellIs" dxfId="2" priority="2" operator="lessThan">
      <formula>0</formula>
    </cfRule>
    <cfRule type="cellIs" dxfId="1" priority="3" operator="greaterThan">
      <formula>0</formula>
    </cfRule>
  </conditionalFormatting>
  <conditionalFormatting sqref="AT72:AT240">
    <cfRule type="cellIs" dxfId="0" priority="1" operator="equal">
      <formula>0</formula>
    </cfRule>
  </conditionalFormatting>
  <dataValidations count="5">
    <dataValidation type="list" allowBlank="1" showInputMessage="1" showErrorMessage="1" sqref="E31" xr:uid="{00000000-0002-0000-0800-000000000000}">
      <formula1>"Yes, No"</formula1>
    </dataValidation>
    <dataValidation type="decimal" allowBlank="1" showErrorMessage="1" errorTitle="Base Aid Ratio Error" error="Please input a value between 0% and 100%." promptTitle="Base Aid Ratio Error" prompt="Please input a value between 0% and 100%" sqref="E30 E28" xr:uid="{00000000-0002-0000-0800-000001000000}">
      <formula1>0</formula1>
      <formula2>1</formula2>
    </dataValidation>
    <dataValidation type="decimal" allowBlank="1" showInputMessage="1" showErrorMessage="1" errorTitle="Base Aid Ratio Error" error="Please input a value between 0% and 100%." sqref="E26:E27" xr:uid="{00000000-0002-0000-0800-000002000000}">
      <formula1>0</formula1>
      <formula2>1</formula2>
    </dataValidation>
    <dataValidation type="decimal" operator="greaterThan" allowBlank="1" showInputMessage="1" showErrorMessage="1" errorTitle="Base Aid Ratio Error" error="Please input a numerical Threshold Factor amount greater than 0." sqref="E32" xr:uid="{00000000-0002-0000-0800-000003000000}">
      <formula1>0</formula1>
    </dataValidation>
    <dataValidation type="decimal" operator="greaterThan" allowBlank="1" showInputMessage="1" showErrorMessage="1" errorTitle="Foundation Error" error="Pelase input a numerical Foundation amount greater than $0." sqref="E22" xr:uid="{00000000-0002-0000-0800-000004000000}">
      <formula1>0</formula1>
    </dataValidation>
  </dataValidations>
  <pageMargins left="0.7" right="0.7" top="0.75" bottom="0.75" header="0.3" footer="0.3"/>
  <pageSetup scale="43"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Inputs</vt:lpstr>
      <vt:lpstr>Outputs</vt:lpstr>
      <vt:lpstr>Data</vt:lpstr>
      <vt:lpstr>FY 21 OFA Shell</vt:lpstr>
      <vt:lpstr>Data Match</vt:lpstr>
      <vt:lpstr>FY 22 OFA Shell</vt:lpstr>
      <vt:lpstr>FY 23 OFA Shell</vt:lpstr>
      <vt:lpstr>Duplicate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Gibson</dc:creator>
  <cp:lastModifiedBy>Microsoft Office User</cp:lastModifiedBy>
  <cp:lastPrinted>2017-02-17T22:21:25Z</cp:lastPrinted>
  <dcterms:created xsi:type="dcterms:W3CDTF">2017-02-15T14:31:15Z</dcterms:created>
  <dcterms:modified xsi:type="dcterms:W3CDTF">2021-07-21T21:47:13Z</dcterms:modified>
</cp:coreProperties>
</file>